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9215" yWindow="-15" windowWidth="19260" windowHeight="11370" tabRatio="896"/>
  </bookViews>
  <sheets>
    <sheet name="Page 1 - PIS" sheetId="17" r:id="rId1"/>
    <sheet name="Page 2 - Accum Depr" sheetId="1" r:id="rId2"/>
    <sheet name="Page 3 - CWIP" sheetId="18" r:id="rId3"/>
    <sheet name="Page 4 - ADIT" sheetId="6" r:id="rId4"/>
    <sheet name="Page 5 - Net Prefunded AFUDC" sheetId="19" r:id="rId5"/>
    <sheet name="Page 6 - PHFU" sheetId="15" r:id="rId6"/>
    <sheet name="Page 7 - M&amp;S" sheetId="7" r:id="rId7"/>
    <sheet name="Page 8 - Prepayments" sheetId="8" r:id="rId8"/>
    <sheet name="Page 9-11 - Funct" sheetId="13" r:id="rId9"/>
    <sheet name="Page 12a - Sch 10 Exp" sheetId="31" r:id="rId10"/>
    <sheet name="Page 12b - A&amp;G Exp" sheetId="20" r:id="rId11"/>
    <sheet name="Page 13 - Depr Exp" sheetId="9" r:id="rId12"/>
    <sheet name="Page 14 - Prop Tax" sheetId="21" r:id="rId13"/>
    <sheet name="Page 15 - Invest Tax" sheetId="14" r:id="rId14"/>
    <sheet name="Page 16 - FERC Acct 561" sheetId="22" r:id="rId15"/>
    <sheet name="Page 17 - Labor Ratios" sheetId="10" r:id="rId16"/>
    <sheet name="Page 18 - Equity" sheetId="12" r:id="rId17"/>
    <sheet name="Page 19 - Elec Debt" sheetId="11" r:id="rId18"/>
    <sheet name="Page 20 - Revenues" sheetId="23" r:id="rId19"/>
    <sheet name="Page 20a - FERC 454 Recon" sheetId="30" r:id="rId20"/>
    <sheet name="Page 20b - MISO Tariff Revenue" sheetId="25" r:id="rId21"/>
    <sheet name="Page 21 - Income Tax Rate Calc" sheetId="28" r:id="rId22"/>
    <sheet name="Page 21a - Income Tax Rate Calc" sheetId="29" r:id="rId23"/>
    <sheet name="Attachment GG Projects" sheetId="24" r:id="rId24"/>
    <sheet name="Attachment MM Projects" sheetId="26" r:id="rId25"/>
    <sheet name="Info" sheetId="27" state="hidden" r:id="rId26"/>
  </sheets>
  <externalReferences>
    <externalReference r:id="rId27"/>
  </externalReferences>
  <definedNames>
    <definedName name="\P" localSheetId="24">#REF!</definedName>
    <definedName name="\P" localSheetId="9">#REF!</definedName>
    <definedName name="\P" localSheetId="2">#REF!</definedName>
    <definedName name="\P" localSheetId="4">#REF!</definedName>
    <definedName name="\P">#REF!</definedName>
    <definedName name="__HH_F">[1]factors:memo!$G$36:$N$82</definedName>
    <definedName name="_xlnm._FilterDatabase" localSheetId="19" hidden="1">'Page 20a - FERC 454 Recon'!$B$7:$K$7</definedName>
    <definedName name="_Order1" hidden="1">255</definedName>
    <definedName name="_PG1" localSheetId="24">#REF!</definedName>
    <definedName name="_PG1" localSheetId="9">#REF!</definedName>
    <definedName name="_PG1" localSheetId="2">#REF!</definedName>
    <definedName name="_PG1" localSheetId="4">#REF!</definedName>
    <definedName name="_PG1">#REF!</definedName>
    <definedName name="_PG2" localSheetId="24">#REF!</definedName>
    <definedName name="_PG2" localSheetId="9">#REF!</definedName>
    <definedName name="_PG2" localSheetId="2">#REF!</definedName>
    <definedName name="_PG2" localSheetId="4">#REF!</definedName>
    <definedName name="_PG2">#REF!</definedName>
    <definedName name="_PR1" localSheetId="24">#REF!</definedName>
    <definedName name="_PR1" localSheetId="9">#REF!</definedName>
    <definedName name="_PR1" localSheetId="13">#REF!</definedName>
    <definedName name="_PR1" localSheetId="2">#REF!</definedName>
    <definedName name="_PR1" localSheetId="4">#REF!</definedName>
    <definedName name="_PR1">#REF!</definedName>
    <definedName name="_PR2" localSheetId="24">#REF!</definedName>
    <definedName name="_PR2" localSheetId="9">#REF!</definedName>
    <definedName name="_PR2" localSheetId="13">#REF!</definedName>
    <definedName name="_PR2" localSheetId="2">#REF!</definedName>
    <definedName name="_PR2" localSheetId="4">#REF!</definedName>
    <definedName name="_PR2">#REF!</definedName>
    <definedName name="_PR3" localSheetId="24">#REF!</definedName>
    <definedName name="_PR3" localSheetId="9">#REF!</definedName>
    <definedName name="_PR3" localSheetId="13">#REF!</definedName>
    <definedName name="_PR3" localSheetId="2">#REF!</definedName>
    <definedName name="_PR3" localSheetId="4">#REF!</definedName>
    <definedName name="_PR3">#REF!</definedName>
    <definedName name="Amount" localSheetId="24">#REF!</definedName>
    <definedName name="Amount" localSheetId="9">#REF!</definedName>
    <definedName name="Amount" localSheetId="2">#REF!</definedName>
    <definedName name="Amount" localSheetId="4">#REF!</definedName>
    <definedName name="Amount">#REF!</definedName>
    <definedName name="CCOSS_Data" localSheetId="24">#REF!</definedName>
    <definedName name="CCOSS_Data" localSheetId="9">#REF!</definedName>
    <definedName name="CCOSS_Data" localSheetId="13">#REF!</definedName>
    <definedName name="CCOSS_Data" localSheetId="2">#REF!</definedName>
    <definedName name="CCOSS_Data" localSheetId="4">#REF!</definedName>
    <definedName name="CCOSS_Data">#REF!</definedName>
    <definedName name="D__M" localSheetId="24">#REF!</definedName>
    <definedName name="D__M" localSheetId="9">#REF!</definedName>
    <definedName name="D__M" localSheetId="13">#REF!</definedName>
    <definedName name="D__M" localSheetId="2">#REF!</definedName>
    <definedName name="D__M" localSheetId="4">#REF!</definedName>
    <definedName name="D__M">#REF!</definedName>
    <definedName name="DB" localSheetId="24">#REF!</definedName>
    <definedName name="DB" localSheetId="9">#REF!</definedName>
    <definedName name="DB" localSheetId="2">#REF!</definedName>
    <definedName name="DB" localSheetId="4">#REF!</definedName>
    <definedName name="DB">#REF!</definedName>
    <definedName name="EV__CVPARAMS__" hidden="1">"Nested Row!$B$20:$C$41;"</definedName>
    <definedName name="EV__DECIMALSYMBOL__" hidden="1">"."</definedName>
    <definedName name="EV__EXPOPTIONS__" hidden="1">0</definedName>
    <definedName name="EV__LASTREFTIME__" hidden="1">39443.4710648148</definedName>
    <definedName name="EV__LOCKEDCVW__CAPITAL" hidden="1">"AP_DAYS_OS,ALL_BUDGET_NOS,ACT,All_Sources,OTP,USD,ALL_SUB_TYPES,1999.TOTAL,ALL_WO_NUMBERS,PERIODIC,"</definedName>
    <definedName name="EV__LOCKEDCVW__FINANCE" hidden="1">"OTP,Corp_Earnings,FCST,LC,periodic,All_Sources,2008.TOTAL,"</definedName>
    <definedName name="EV__LOCKEDCVW__RATE" hidden="1">"ACT,DZD,Avg,RateInput,1999.TOTAL,PERIODIC,"</definedName>
    <definedName name="EV__LOCKSTATUS__" hidden="1">4</definedName>
    <definedName name="EV__MAXEXPCOLS__" hidden="1">100</definedName>
    <definedName name="EV__MAXEXPROWS__" hidden="1">20000</definedName>
    <definedName name="EV__MEMORYCVW__" hidden="1">0</definedName>
    <definedName name="EV__WBEVMODE__" hidden="1">0</definedName>
    <definedName name="EV__WBREFOPTIONS__" hidden="1">134217783</definedName>
    <definedName name="EV__WBVERSION__" hidden="1">0</definedName>
    <definedName name="Federal" localSheetId="24">#REF!</definedName>
    <definedName name="Federal" localSheetId="9">#REF!</definedName>
    <definedName name="Federal" localSheetId="2">#REF!</definedName>
    <definedName name="Federal" localSheetId="4">#REF!</definedName>
    <definedName name="Federal">#REF!</definedName>
    <definedName name="FERC" localSheetId="24">#REF!</definedName>
    <definedName name="FERC" localSheetId="9">#REF!</definedName>
    <definedName name="FERC" localSheetId="2">#REF!</definedName>
    <definedName name="FERC" localSheetId="4">#REF!</definedName>
    <definedName name="FERC">#REF!</definedName>
    <definedName name="K2_WBEVMODE" hidden="1">0</definedName>
    <definedName name="PNT" localSheetId="24">#REF!</definedName>
    <definedName name="PNT" localSheetId="9">#REF!</definedName>
    <definedName name="PNT" localSheetId="2">#REF!</definedName>
    <definedName name="PNT" localSheetId="4">#REF!</definedName>
    <definedName name="PNT">#REF!</definedName>
    <definedName name="PRINT" localSheetId="24">#REF!</definedName>
    <definedName name="PRINT" localSheetId="9">#REF!</definedName>
    <definedName name="PRINT" localSheetId="2">#REF!</definedName>
    <definedName name="PRINT" localSheetId="4">#REF!</definedName>
    <definedName name="PRINT">#REF!</definedName>
    <definedName name="_xlnm.Print_Area" localSheetId="23">'Attachment GG Projects'!$A$1:$I$61</definedName>
    <definedName name="_xlnm.Print_Area" localSheetId="24">'Attachment MM Projects'!$A$1:$F$61</definedName>
    <definedName name="_xlnm.Print_Area" localSheetId="0">'Page 1 - PIS'!$A$1:$M$25</definedName>
    <definedName name="_xlnm.Print_Area" localSheetId="9">'Page 12a - Sch 10 Exp'!$A$1:$G$13</definedName>
    <definedName name="_xlnm.Print_Area" localSheetId="10">'Page 12b - A&amp;G Exp'!$A$1:$H$72</definedName>
    <definedName name="_xlnm.Print_Area" localSheetId="11">'Page 13 - Depr Exp'!$A$1:$H$25</definedName>
    <definedName name="_xlnm.Print_Area" localSheetId="12">'Page 14 - Prop Tax'!$A$1:$T$43</definedName>
    <definedName name="_xlnm.Print_Area" localSheetId="13">'Page 15 - Invest Tax'!$A$1:$C$15</definedName>
    <definedName name="_xlnm.Print_Area" localSheetId="14">'Page 16 - FERC Acct 561'!$A$1:$H$64</definedName>
    <definedName name="_xlnm.Print_Area" localSheetId="15">'Page 17 - Labor Ratios'!$A$1:$F$26</definedName>
    <definedName name="_xlnm.Print_Area" localSheetId="16">'Page 18 - Equity'!$A$1:$P$26</definedName>
    <definedName name="_xlnm.Print_Area" localSheetId="17">'Page 19 - Elec Debt'!$B$1:$V$32</definedName>
    <definedName name="_xlnm.Print_Area" localSheetId="1">'Page 2 - Accum Depr'!$H$1:$P$26</definedName>
    <definedName name="_xlnm.Print_Area" localSheetId="18">'Page 20 - Revenues'!$A$1:$K$29</definedName>
    <definedName name="_xlnm.Print_Area" localSheetId="19">'Page 20a - FERC 454 Recon'!$A$1:$N$97</definedName>
    <definedName name="_xlnm.Print_Area" localSheetId="20">'Page 20b - MISO Tariff Revenue'!$A$1:$R$18</definedName>
    <definedName name="_xlnm.Print_Area" localSheetId="21">'Page 21 - Income Tax Rate Calc'!$A$1:$L$74</definedName>
    <definedName name="_xlnm.Print_Area" localSheetId="22">'Page 21a - Income Tax Rate Calc'!$A$1:$G$28</definedName>
    <definedName name="_xlnm.Print_Area" localSheetId="2">'Page 3 - CWIP'!$A$1:$I$28</definedName>
    <definedName name="_xlnm.Print_Area" localSheetId="3">'Page 4 - ADIT'!$A$1:$F$19</definedName>
    <definedName name="_xlnm.Print_Area" localSheetId="4">'Page 5 - Net Prefunded AFUDC'!$A$1:$F$28</definedName>
    <definedName name="_xlnm.Print_Area" localSheetId="5">'Page 6 - PHFU'!$A$1:$H$26</definedName>
    <definedName name="_xlnm.Print_Area" localSheetId="6">'Page 7 - M&amp;S'!$A$1:$L$30</definedName>
    <definedName name="_xlnm.Print_Area" localSheetId="7">'Page 8 - Prepayments'!$A$1:$D$27</definedName>
    <definedName name="_xlnm.Print_Area" localSheetId="8">'Page 9-11 - Funct'!$A$1:$D$197</definedName>
    <definedName name="_xlnm.Print_Titles" localSheetId="8">'Page 9-11 - Funct'!$1:$6</definedName>
    <definedName name="Print_Titles_MI" localSheetId="24">#REF!</definedName>
    <definedName name="Print_Titles_MI" localSheetId="9">#REF!</definedName>
    <definedName name="Print_Titles_MI" localSheetId="2">#REF!</definedName>
    <definedName name="Print_Titles_MI" localSheetId="4">#REF!</definedName>
    <definedName name="Print_Titles_MI">#REF!</definedName>
    <definedName name="PRNT" localSheetId="24">#REF!</definedName>
    <definedName name="PRNT" localSheetId="9">#REF!</definedName>
    <definedName name="PRNT" localSheetId="2">#REF!</definedName>
    <definedName name="PRNT" localSheetId="4">#REF!</definedName>
    <definedName name="PRNT">#REF!</definedName>
    <definedName name="TOTAL" localSheetId="24">#REF!</definedName>
    <definedName name="TOTAL" localSheetId="9">#REF!</definedName>
    <definedName name="TOTAL" localSheetId="13">#REF!</definedName>
    <definedName name="TOTAL" localSheetId="2">#REF!</definedName>
    <definedName name="TOTAL" localSheetId="4">#REF!</definedName>
    <definedName name="TOTAL">#REF!</definedName>
    <definedName name="TOTAL2" localSheetId="24">#REF!</definedName>
    <definedName name="TOTAL2" localSheetId="9">#REF!</definedName>
    <definedName name="TOTAL2" localSheetId="13">#REF!</definedName>
    <definedName name="TOTAL2" localSheetId="2">#REF!</definedName>
    <definedName name="TOTAL2" localSheetId="4">#REF!</definedName>
    <definedName name="TOTAL2">#REF!</definedName>
  </definedNames>
  <calcPr calcId="145621"/>
</workbook>
</file>

<file path=xl/calcChain.xml><?xml version="1.0" encoding="utf-8"?>
<calcChain xmlns="http://schemas.openxmlformats.org/spreadsheetml/2006/main">
  <c r="L91" i="30" l="1"/>
  <c r="K91" i="30"/>
  <c r="M90" i="30"/>
  <c r="L90" i="30"/>
  <c r="K90" i="30"/>
  <c r="F40" i="24" l="1"/>
  <c r="F41" i="24"/>
  <c r="F42" i="24"/>
  <c r="F61" i="24" l="1"/>
  <c r="C20" i="12" l="1"/>
  <c r="G18" i="22" l="1"/>
  <c r="C25" i="26"/>
  <c r="C24" i="26"/>
  <c r="C23" i="26"/>
  <c r="C22" i="26"/>
  <c r="C21" i="26"/>
  <c r="C20" i="26"/>
  <c r="C19" i="26"/>
  <c r="C18" i="26"/>
  <c r="C17" i="26"/>
  <c r="C16" i="26"/>
  <c r="C15" i="26"/>
  <c r="C14" i="26"/>
  <c r="C13" i="26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I25" i="18" l="1"/>
  <c r="I16" i="18"/>
  <c r="I15" i="18"/>
  <c r="I14" i="18"/>
  <c r="I13" i="18"/>
  <c r="I17" i="18"/>
  <c r="I18" i="18"/>
  <c r="I19" i="18"/>
  <c r="I20" i="18"/>
  <c r="I21" i="18"/>
  <c r="I22" i="18"/>
  <c r="I23" i="18"/>
  <c r="I24" i="18"/>
  <c r="G24" i="22" l="1"/>
  <c r="G10" i="22"/>
  <c r="G16" i="22"/>
  <c r="G17" i="22"/>
  <c r="G19" i="22"/>
  <c r="G20" i="22"/>
  <c r="G35" i="22"/>
  <c r="G36" i="22"/>
  <c r="G37" i="22"/>
  <c r="G38" i="22"/>
  <c r="G39" i="22"/>
  <c r="G40" i="22"/>
  <c r="G25" i="22"/>
  <c r="G26" i="22"/>
  <c r="G27" i="22"/>
  <c r="G28" i="22"/>
  <c r="G29" i="22"/>
  <c r="G30" i="22"/>
  <c r="G31" i="22"/>
  <c r="G32" i="22"/>
  <c r="G55" i="22"/>
  <c r="G23" i="22"/>
  <c r="G22" i="22"/>
  <c r="G21" i="22"/>
  <c r="G65" i="20"/>
  <c r="G31" i="20"/>
  <c r="G32" i="20"/>
  <c r="G33" i="20"/>
  <c r="G34" i="20"/>
  <c r="G35" i="20"/>
  <c r="G36" i="20"/>
  <c r="G37" i="20"/>
  <c r="G38" i="20"/>
  <c r="G39" i="20"/>
  <c r="G43" i="20"/>
  <c r="G44" i="20"/>
  <c r="G45" i="20"/>
  <c r="G46" i="20"/>
  <c r="G49" i="20"/>
  <c r="G50" i="20"/>
  <c r="G51" i="20"/>
  <c r="G52" i="20"/>
  <c r="G53" i="20"/>
  <c r="G56" i="20"/>
  <c r="G57" i="20"/>
  <c r="G58" i="20"/>
  <c r="G59" i="20"/>
  <c r="G60" i="20"/>
  <c r="G63" i="20"/>
  <c r="G64" i="20"/>
  <c r="G66" i="20" l="1"/>
  <c r="G61" i="20"/>
  <c r="G40" i="20"/>
  <c r="E13" i="10"/>
  <c r="F57" i="24" l="1"/>
  <c r="I55" i="24"/>
  <c r="I44" i="24"/>
  <c r="I45" i="24"/>
  <c r="I46" i="24"/>
  <c r="I47" i="24"/>
  <c r="I48" i="24"/>
  <c r="I49" i="24"/>
  <c r="I50" i="24"/>
  <c r="I51" i="24"/>
  <c r="I52" i="24"/>
  <c r="I53" i="24"/>
  <c r="I54" i="24"/>
  <c r="I43" i="24"/>
  <c r="I13" i="24"/>
  <c r="F27" i="24" l="1"/>
  <c r="F59" i="24" s="1"/>
  <c r="I61" i="24"/>
  <c r="G45" i="9"/>
  <c r="G44" i="9"/>
  <c r="G37" i="9"/>
  <c r="A11" i="31"/>
  <c r="A12" i="31" s="1"/>
  <c r="K30" i="28"/>
  <c r="B13" i="23"/>
  <c r="K88" i="30"/>
  <c r="L87" i="30"/>
  <c r="L79" i="30"/>
  <c r="L78" i="30"/>
  <c r="L56" i="30"/>
  <c r="M97" i="30" l="1"/>
  <c r="M95" i="30"/>
  <c r="G46" i="9"/>
  <c r="G47" i="9" s="1"/>
  <c r="K67" i="28"/>
  <c r="I20" i="28"/>
  <c r="I22" i="28" s="1"/>
  <c r="I27" i="28" s="1"/>
  <c r="L88" i="30"/>
  <c r="M79" i="30" s="1"/>
  <c r="G41" i="22"/>
  <c r="G42" i="22"/>
  <c r="G43" i="22"/>
  <c r="G44" i="22"/>
  <c r="G45" i="22"/>
  <c r="G46" i="22"/>
  <c r="G47" i="22"/>
  <c r="G48" i="22"/>
  <c r="G49" i="22"/>
  <c r="G50" i="22"/>
  <c r="G51" i="22"/>
  <c r="G52" i="22"/>
  <c r="G12" i="22"/>
  <c r="G13" i="22"/>
  <c r="G11" i="22"/>
  <c r="I53" i="22"/>
  <c r="I59" i="22" s="1"/>
  <c r="I33" i="22"/>
  <c r="I14" i="22"/>
  <c r="J66" i="20"/>
  <c r="J61" i="20"/>
  <c r="J54" i="20"/>
  <c r="J47" i="20"/>
  <c r="J40" i="20"/>
  <c r="M87" i="30" l="1"/>
  <c r="M78" i="30"/>
  <c r="M88" i="30" s="1"/>
  <c r="I57" i="22"/>
  <c r="I61" i="22" s="1"/>
  <c r="J68" i="20"/>
  <c r="J71" i="20" s="1"/>
  <c r="T35" i="21" l="1"/>
  <c r="E18" i="29"/>
  <c r="H39" i="28" l="1"/>
  <c r="D20" i="29"/>
  <c r="E20" i="29"/>
  <c r="E23" i="29" s="1"/>
  <c r="D12" i="29" s="1"/>
  <c r="F20" i="29"/>
  <c r="F18" i="29"/>
  <c r="J39" i="28"/>
  <c r="J38" i="28"/>
  <c r="J41" i="28" l="1"/>
  <c r="F23" i="29"/>
  <c r="E25" i="29"/>
  <c r="E27" i="29" s="1"/>
  <c r="F25" i="29" l="1"/>
  <c r="F27" i="29" s="1"/>
  <c r="D13" i="29"/>
  <c r="D14" i="29" s="1"/>
  <c r="D18" i="29" s="1"/>
  <c r="D23" i="29" s="1"/>
  <c r="D25" i="29" s="1"/>
  <c r="D27" i="29" s="1"/>
  <c r="J43" i="28"/>
  <c r="H36" i="28"/>
  <c r="H38" i="28" s="1"/>
  <c r="H41" i="28" s="1"/>
  <c r="H43" i="28" s="1"/>
  <c r="I70" i="28"/>
  <c r="A6" i="26"/>
  <c r="A9" i="30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90" i="30" s="1"/>
  <c r="A91" i="30" s="1"/>
  <c r="A92" i="30" s="1"/>
  <c r="A93" i="30" s="1"/>
  <c r="A94" i="30" s="1"/>
  <c r="A95" i="30" s="1"/>
  <c r="A96" i="30" s="1"/>
  <c r="A97" i="30" s="1"/>
  <c r="G43" i="28" l="1"/>
  <c r="K46" i="28" s="1"/>
  <c r="J70" i="28"/>
  <c r="G27" i="29"/>
  <c r="G70" i="28" s="1"/>
  <c r="H70" i="28"/>
  <c r="G25" i="29"/>
  <c r="K67" i="30"/>
  <c r="L66" i="30"/>
  <c r="L57" i="30"/>
  <c r="K46" i="30"/>
  <c r="L45" i="30"/>
  <c r="L36" i="30"/>
  <c r="L35" i="30"/>
  <c r="K26" i="30"/>
  <c r="L25" i="30"/>
  <c r="L17" i="30"/>
  <c r="L16" i="30"/>
  <c r="K73" i="28" l="1"/>
  <c r="M36" i="30"/>
  <c r="M17" i="30"/>
  <c r="L46" i="30"/>
  <c r="M45" i="30"/>
  <c r="M35" i="30"/>
  <c r="L26" i="30"/>
  <c r="L67" i="30"/>
  <c r="M57" i="30" s="1"/>
  <c r="M16" i="30"/>
  <c r="M25" i="30"/>
  <c r="M46" i="30" l="1"/>
  <c r="M91" i="30"/>
  <c r="M66" i="30"/>
  <c r="M56" i="30"/>
  <c r="M26" i="30"/>
  <c r="E61" i="24"/>
  <c r="K13" i="23" l="1"/>
  <c r="M67" i="30"/>
  <c r="R17" i="25"/>
  <c r="R16" i="25"/>
  <c r="E35" i="6" l="1"/>
  <c r="E14" i="6" s="1"/>
  <c r="F16" i="25"/>
  <c r="J16" i="25"/>
  <c r="N16" i="25"/>
  <c r="G16" i="25"/>
  <c r="K16" i="25"/>
  <c r="O16" i="25"/>
  <c r="L16" i="25"/>
  <c r="P16" i="25"/>
  <c r="I16" i="25"/>
  <c r="M16" i="25"/>
  <c r="Q16" i="25"/>
  <c r="H16" i="25"/>
  <c r="F17" i="25"/>
  <c r="J17" i="25"/>
  <c r="N17" i="25"/>
  <c r="G17" i="25"/>
  <c r="K17" i="25"/>
  <c r="O17" i="25"/>
  <c r="H17" i="25"/>
  <c r="L17" i="25"/>
  <c r="P17" i="25"/>
  <c r="I17" i="25"/>
  <c r="M17" i="25"/>
  <c r="Q17" i="25"/>
  <c r="C29" i="14"/>
  <c r="C12" i="14" s="1"/>
  <c r="C24" i="14"/>
  <c r="C10" i="14" s="1"/>
  <c r="C35" i="6"/>
  <c r="C14" i="6" s="1"/>
  <c r="E31" i="6"/>
  <c r="E12" i="6" s="1"/>
  <c r="C31" i="6"/>
  <c r="C12" i="6" s="1"/>
  <c r="H61" i="24"/>
  <c r="H57" i="24"/>
  <c r="B14" i="24"/>
  <c r="B14" i="26" s="1"/>
  <c r="B13" i="24"/>
  <c r="B13" i="26" s="1"/>
  <c r="C26" i="6" l="1"/>
  <c r="C10" i="6" s="1"/>
  <c r="S16" i="25"/>
  <c r="E26" i="6"/>
  <c r="E10" i="6" s="1"/>
  <c r="F7" i="25"/>
  <c r="B3" i="25"/>
  <c r="R14" i="25" l="1"/>
  <c r="B17" i="1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10" i="22" l="1"/>
  <c r="B39" i="22" s="1"/>
  <c r="B43" i="22" l="1"/>
  <c r="B47" i="22"/>
  <c r="E9" i="10"/>
  <c r="B31" i="20"/>
  <c r="B35" i="20" s="1"/>
  <c r="B45" i="20" l="1"/>
  <c r="B52" i="20"/>
  <c r="B34" i="20"/>
  <c r="A4" i="13"/>
  <c r="D9" i="13" s="1"/>
  <c r="H13" i="7"/>
  <c r="H12" i="7"/>
  <c r="E12" i="15"/>
  <c r="E11" i="15"/>
  <c r="B14" i="19"/>
  <c r="B13" i="19"/>
  <c r="B13" i="18"/>
  <c r="B14" i="18"/>
  <c r="G5" i="7"/>
  <c r="A6" i="19"/>
  <c r="D5" i="15"/>
  <c r="A6" i="18"/>
  <c r="I12" i="1"/>
  <c r="I11" i="1"/>
  <c r="H5" i="1" l="1"/>
  <c r="G5" i="17"/>
  <c r="H11" i="17"/>
  <c r="H10" i="17" l="1"/>
  <c r="G61" i="24"/>
  <c r="G57" i="24"/>
  <c r="D61" i="24"/>
  <c r="E57" i="24"/>
  <c r="C61" i="24" l="1"/>
  <c r="I62" i="24" s="1"/>
  <c r="G40" i="24"/>
  <c r="G41" i="24"/>
  <c r="G42" i="24"/>
  <c r="G27" i="24"/>
  <c r="G59" i="24" s="1"/>
  <c r="D27" i="18"/>
  <c r="E14" i="24" l="1"/>
  <c r="E15" i="24" l="1"/>
  <c r="I14" i="24"/>
  <c r="D61" i="26"/>
  <c r="C61" i="26"/>
  <c r="C57" i="26"/>
  <c r="E16" i="24" l="1"/>
  <c r="I15" i="24"/>
  <c r="F43" i="26"/>
  <c r="E17" i="24" l="1"/>
  <c r="I16" i="24"/>
  <c r="G19" i="20"/>
  <c r="E18" i="24" l="1"/>
  <c r="I17" i="24"/>
  <c r="G11" i="20"/>
  <c r="E19" i="24" l="1"/>
  <c r="I18" i="24"/>
  <c r="G15" i="20"/>
  <c r="E20" i="24" l="1"/>
  <c r="I19" i="24"/>
  <c r="G47" i="20"/>
  <c r="B46" i="20"/>
  <c r="B43" i="20"/>
  <c r="B65" i="20"/>
  <c r="B64" i="20"/>
  <c r="B63" i="20"/>
  <c r="B60" i="20"/>
  <c r="B59" i="20"/>
  <c r="B58" i="20"/>
  <c r="B57" i="20"/>
  <c r="B56" i="20"/>
  <c r="B53" i="20"/>
  <c r="B51" i="20"/>
  <c r="B50" i="20"/>
  <c r="B49" i="20"/>
  <c r="B44" i="20"/>
  <c r="B42" i="20"/>
  <c r="B33" i="20"/>
  <c r="B36" i="20"/>
  <c r="B37" i="20"/>
  <c r="B38" i="20"/>
  <c r="B39" i="20"/>
  <c r="B32" i="20"/>
  <c r="E21" i="24" l="1"/>
  <c r="I20" i="24"/>
  <c r="C38" i="26"/>
  <c r="D38" i="26"/>
  <c r="E38" i="26"/>
  <c r="F38" i="26"/>
  <c r="B38" i="26"/>
  <c r="E22" i="24" l="1"/>
  <c r="I21" i="24"/>
  <c r="D57" i="26"/>
  <c r="E57" i="26"/>
  <c r="E14" i="26"/>
  <c r="E15" i="26"/>
  <c r="E16" i="26"/>
  <c r="E17" i="26"/>
  <c r="E18" i="26"/>
  <c r="E19" i="26"/>
  <c r="E20" i="26"/>
  <c r="E21" i="26"/>
  <c r="E22" i="26"/>
  <c r="E23" i="26"/>
  <c r="E24" i="26"/>
  <c r="E25" i="26"/>
  <c r="E13" i="26"/>
  <c r="D14" i="26"/>
  <c r="D15" i="26"/>
  <c r="D16" i="26"/>
  <c r="D17" i="26"/>
  <c r="D18" i="26"/>
  <c r="D19" i="26"/>
  <c r="D20" i="26"/>
  <c r="D21" i="26"/>
  <c r="D22" i="26"/>
  <c r="D23" i="26"/>
  <c r="D24" i="26"/>
  <c r="D25" i="26"/>
  <c r="D13" i="26"/>
  <c r="E61" i="26"/>
  <c r="F52" i="26"/>
  <c r="F51" i="26"/>
  <c r="F50" i="26"/>
  <c r="F49" i="26"/>
  <c r="F48" i="26"/>
  <c r="F47" i="26"/>
  <c r="F46" i="26"/>
  <c r="F45" i="26"/>
  <c r="F44" i="26"/>
  <c r="B44" i="26"/>
  <c r="A44" i="26"/>
  <c r="A45" i="26" s="1"/>
  <c r="A46" i="26" s="1"/>
  <c r="A47" i="26" s="1"/>
  <c r="A48" i="26" s="1"/>
  <c r="A49" i="26" s="1"/>
  <c r="A50" i="26" s="1"/>
  <c r="A51" i="26" s="1"/>
  <c r="A52" i="26" s="1"/>
  <c r="A53" i="26" s="1"/>
  <c r="A54" i="26" s="1"/>
  <c r="A55" i="26" s="1"/>
  <c r="A56" i="26" s="1"/>
  <c r="A57" i="26" s="1"/>
  <c r="B43" i="26"/>
  <c r="E42" i="26"/>
  <c r="D42" i="26"/>
  <c r="C42" i="26"/>
  <c r="E41" i="26"/>
  <c r="D41" i="26"/>
  <c r="C41" i="26"/>
  <c r="E40" i="26"/>
  <c r="D40" i="26"/>
  <c r="C40" i="26"/>
  <c r="A14" i="26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E23" i="24" l="1"/>
  <c r="I22" i="24"/>
  <c r="F57" i="26"/>
  <c r="F19" i="26"/>
  <c r="F17" i="26"/>
  <c r="F15" i="26"/>
  <c r="F24" i="26"/>
  <c r="F22" i="26"/>
  <c r="F13" i="26"/>
  <c r="C27" i="26"/>
  <c r="C59" i="26" s="1"/>
  <c r="F20" i="26"/>
  <c r="F18" i="26"/>
  <c r="F16" i="26"/>
  <c r="F14" i="26"/>
  <c r="F25" i="26"/>
  <c r="F23" i="26"/>
  <c r="F21" i="26"/>
  <c r="F55" i="26"/>
  <c r="F61" i="26" s="1"/>
  <c r="F54" i="26"/>
  <c r="F53" i="26"/>
  <c r="E27" i="26"/>
  <c r="E59" i="26" s="1"/>
  <c r="D27" i="26"/>
  <c r="D59" i="26" s="1"/>
  <c r="E24" i="24" l="1"/>
  <c r="I23" i="24"/>
  <c r="F62" i="26"/>
  <c r="F27" i="26"/>
  <c r="E25" i="24" l="1"/>
  <c r="I25" i="24" s="1"/>
  <c r="I24" i="24"/>
  <c r="G27" i="26"/>
  <c r="F59" i="26"/>
  <c r="G59" i="26" s="1"/>
  <c r="F12" i="6" l="1"/>
  <c r="F10" i="6"/>
  <c r="C27" i="18"/>
  <c r="E27" i="18"/>
  <c r="F27" i="18"/>
  <c r="G27" i="18"/>
  <c r="H27" i="18"/>
  <c r="I27" i="18" l="1"/>
  <c r="J27" i="18" s="1"/>
  <c r="H42" i="24"/>
  <c r="M23" i="11" l="1"/>
  <c r="I23" i="11"/>
  <c r="T27" i="21"/>
  <c r="D25" i="12"/>
  <c r="E25" i="12" s="1"/>
  <c r="F25" i="12" s="1"/>
  <c r="G25" i="12" s="1"/>
  <c r="H25" i="12" s="1"/>
  <c r="I25" i="12" s="1"/>
  <c r="J25" i="12" s="1"/>
  <c r="K25" i="12" s="1"/>
  <c r="L25" i="12" s="1"/>
  <c r="M25" i="12" s="1"/>
  <c r="N25" i="12" s="1"/>
  <c r="O25" i="12" s="1"/>
  <c r="R23" i="11"/>
  <c r="T28" i="21"/>
  <c r="O23" i="11"/>
  <c r="J23" i="11"/>
  <c r="U21" i="11"/>
  <c r="Q23" i="11"/>
  <c r="L23" i="11"/>
  <c r="S23" i="11"/>
  <c r="H23" i="11"/>
  <c r="K23" i="11"/>
  <c r="C24" i="12"/>
  <c r="D20" i="12" s="1"/>
  <c r="D24" i="12" s="1"/>
  <c r="E20" i="12" s="1"/>
  <c r="N23" i="11"/>
  <c r="U27" i="11"/>
  <c r="P23" i="11"/>
  <c r="U22" i="11"/>
  <c r="T23" i="11"/>
  <c r="S17" i="25"/>
  <c r="P25" i="12" l="1"/>
  <c r="B44" i="24"/>
  <c r="B43" i="24"/>
  <c r="H40" i="24"/>
  <c r="H41" i="24"/>
  <c r="H27" i="24"/>
  <c r="H59" i="24" s="1"/>
  <c r="U17" i="11" l="1"/>
  <c r="U18" i="11"/>
  <c r="U19" i="11"/>
  <c r="U20" i="11"/>
  <c r="U16" i="11"/>
  <c r="U23" i="11" l="1"/>
  <c r="V23" i="11"/>
  <c r="V32" i="11" s="1"/>
  <c r="B55" i="22" l="1"/>
  <c r="G53" i="22"/>
  <c r="G59" i="22" s="1"/>
  <c r="B46" i="22"/>
  <c r="B48" i="22"/>
  <c r="B49" i="22"/>
  <c r="B44" i="22"/>
  <c r="B45" i="22"/>
  <c r="B41" i="22"/>
  <c r="B42" i="22"/>
  <c r="B36" i="22"/>
  <c r="B37" i="22"/>
  <c r="B38" i="22"/>
  <c r="G33" i="22"/>
  <c r="B19" i="22"/>
  <c r="B20" i="22"/>
  <c r="B16" i="22"/>
  <c r="B17" i="22"/>
  <c r="A32" i="20" l="1"/>
  <c r="A33" i="20" s="1"/>
  <c r="A36" i="20" s="1"/>
  <c r="A37" i="20" s="1"/>
  <c r="A38" i="20" s="1"/>
  <c r="A39" i="20" s="1"/>
  <c r="A40" i="20" s="1"/>
  <c r="A41" i="20" s="1"/>
  <c r="A42" i="20" s="1"/>
  <c r="A43" i="20" s="1"/>
  <c r="A44" i="20" s="1"/>
  <c r="A46" i="20" s="1"/>
  <c r="A47" i="20" s="1"/>
  <c r="A48" i="20" s="1"/>
  <c r="A49" i="20" s="1"/>
  <c r="A50" i="20" s="1"/>
  <c r="A51" i="20" s="1"/>
  <c r="A53" i="20" s="1"/>
  <c r="A54" i="20" s="1"/>
  <c r="A55" i="20" s="1"/>
  <c r="A56" i="20" s="1"/>
  <c r="G54" i="20"/>
  <c r="A57" i="20" l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s="1"/>
  <c r="R15" i="25" l="1"/>
  <c r="R13" i="25"/>
  <c r="R12" i="25"/>
  <c r="R11" i="25"/>
  <c r="R10" i="25"/>
  <c r="R9" i="25"/>
  <c r="B10" i="25"/>
  <c r="B11" i="25" s="1"/>
  <c r="B12" i="25" s="1"/>
  <c r="B13" i="25" s="1"/>
  <c r="B14" i="25" s="1"/>
  <c r="B15" i="25" s="1"/>
  <c r="B16" i="25" s="1"/>
  <c r="B17" i="25" s="1"/>
  <c r="R7" i="25"/>
  <c r="Q7" i="25"/>
  <c r="P7" i="25"/>
  <c r="O7" i="25"/>
  <c r="N7" i="25"/>
  <c r="M7" i="25"/>
  <c r="L7" i="25"/>
  <c r="K7" i="25"/>
  <c r="J7" i="25"/>
  <c r="I7" i="25"/>
  <c r="H7" i="25"/>
  <c r="G7" i="25"/>
  <c r="I29" i="11"/>
  <c r="I32" i="11" s="1"/>
  <c r="J29" i="11"/>
  <c r="J32" i="11" s="1"/>
  <c r="K29" i="11"/>
  <c r="K32" i="11" s="1"/>
  <c r="L29" i="11"/>
  <c r="L32" i="11" s="1"/>
  <c r="M29" i="11"/>
  <c r="M32" i="11" s="1"/>
  <c r="N29" i="11"/>
  <c r="N32" i="11" s="1"/>
  <c r="O29" i="11"/>
  <c r="O32" i="11" s="1"/>
  <c r="P29" i="11"/>
  <c r="P32" i="11" s="1"/>
  <c r="Q29" i="11"/>
  <c r="Q32" i="11" s="1"/>
  <c r="R29" i="11"/>
  <c r="R32" i="11" s="1"/>
  <c r="S29" i="11"/>
  <c r="S32" i="11" s="1"/>
  <c r="T29" i="11"/>
  <c r="T32" i="11" s="1"/>
  <c r="U29" i="11"/>
  <c r="U32" i="11" s="1"/>
  <c r="H29" i="11"/>
  <c r="H32" i="11" s="1"/>
  <c r="D12" i="6"/>
  <c r="P16" i="12"/>
  <c r="D40" i="24"/>
  <c r="C40" i="24"/>
  <c r="E40" i="24"/>
  <c r="D41" i="24"/>
  <c r="C41" i="24"/>
  <c r="E41" i="24"/>
  <c r="D42" i="24"/>
  <c r="C42" i="24"/>
  <c r="E42" i="24"/>
  <c r="B52" i="22"/>
  <c r="B51" i="22"/>
  <c r="B50" i="22"/>
  <c r="B40" i="22"/>
  <c r="B35" i="22"/>
  <c r="B32" i="22"/>
  <c r="B31" i="22"/>
  <c r="B30" i="22"/>
  <c r="B29" i="22"/>
  <c r="B28" i="22"/>
  <c r="B27" i="22"/>
  <c r="B26" i="22"/>
  <c r="B25" i="22"/>
  <c r="B24" i="22"/>
  <c r="B23" i="22"/>
  <c r="B22" i="22"/>
  <c r="B21" i="22"/>
  <c r="B18" i="22"/>
  <c r="B12" i="22"/>
  <c r="B13" i="22"/>
  <c r="B11" i="22"/>
  <c r="A36" i="24"/>
  <c r="A36" i="26" s="1"/>
  <c r="A5" i="10"/>
  <c r="A4" i="20"/>
  <c r="A5" i="9" s="1"/>
  <c r="A5" i="23" s="1"/>
  <c r="A4" i="30" s="1"/>
  <c r="D57" i="24"/>
  <c r="C57" i="24"/>
  <c r="A44" i="24"/>
  <c r="A45" i="24" s="1"/>
  <c r="A46" i="24" s="1"/>
  <c r="A47" i="24" s="1"/>
  <c r="A48" i="24" s="1"/>
  <c r="A49" i="24" s="1"/>
  <c r="A50" i="24" s="1"/>
  <c r="A51" i="24" s="1"/>
  <c r="A52" i="24" s="1"/>
  <c r="A53" i="24" s="1"/>
  <c r="A54" i="24" s="1"/>
  <c r="A55" i="24" s="1"/>
  <c r="A56" i="24" s="1"/>
  <c r="A57" i="24" s="1"/>
  <c r="E27" i="24"/>
  <c r="E59" i="24" s="1"/>
  <c r="A14" i="24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P22" i="12"/>
  <c r="P23" i="12"/>
  <c r="P21" i="12"/>
  <c r="K23" i="23"/>
  <c r="A12" i="23"/>
  <c r="A13" i="23" s="1"/>
  <c r="A14" i="23" s="1"/>
  <c r="A15" i="23" s="1"/>
  <c r="A16" i="23" s="1"/>
  <c r="A17" i="23" s="1"/>
  <c r="A18" i="23" s="1"/>
  <c r="A19" i="23" s="1"/>
  <c r="G14" i="22"/>
  <c r="G57" i="22" s="1"/>
  <c r="A11" i="22"/>
  <c r="A12" i="22" s="1"/>
  <c r="A13" i="22" s="1"/>
  <c r="A14" i="22" s="1"/>
  <c r="A15" i="22" s="1"/>
  <c r="B12" i="21"/>
  <c r="S9" i="21"/>
  <c r="R9" i="21"/>
  <c r="Q9" i="21"/>
  <c r="P9" i="21"/>
  <c r="O9" i="21"/>
  <c r="N9" i="21"/>
  <c r="M9" i="21"/>
  <c r="L9" i="21"/>
  <c r="K9" i="21"/>
  <c r="J9" i="21"/>
  <c r="I9" i="21"/>
  <c r="A11" i="20"/>
  <c r="A12" i="20" s="1"/>
  <c r="T30" i="21"/>
  <c r="T38" i="21"/>
  <c r="T33" i="21"/>
  <c r="T34" i="21"/>
  <c r="T39" i="21"/>
  <c r="T36" i="21"/>
  <c r="T31" i="21"/>
  <c r="T32" i="21"/>
  <c r="E27" i="19"/>
  <c r="D27" i="19"/>
  <c r="C27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A14" i="19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F13" i="19"/>
  <c r="A14" i="18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G11" i="17"/>
  <c r="G12" i="17" s="1"/>
  <c r="G13" i="17" s="1"/>
  <c r="G14" i="17" s="1"/>
  <c r="G15" i="17" s="1"/>
  <c r="G16" i="17" s="1"/>
  <c r="G17" i="17" s="1"/>
  <c r="G18" i="17" s="1"/>
  <c r="G19" i="17" s="1"/>
  <c r="G20" i="17" s="1"/>
  <c r="G21" i="17" s="1"/>
  <c r="G22" i="17" s="1"/>
  <c r="G23" i="17" s="1"/>
  <c r="G24" i="17" s="1"/>
  <c r="D12" i="15"/>
  <c r="D13" i="15" s="1"/>
  <c r="D14" i="15" s="1"/>
  <c r="D15" i="15" s="1"/>
  <c r="D16" i="15" s="1"/>
  <c r="D17" i="15" s="1"/>
  <c r="D18" i="15" s="1"/>
  <c r="D19" i="15" s="1"/>
  <c r="D20" i="15" s="1"/>
  <c r="D21" i="15" s="1"/>
  <c r="D22" i="15" s="1"/>
  <c r="D23" i="15" s="1"/>
  <c r="D24" i="15" s="1"/>
  <c r="D25" i="15" s="1"/>
  <c r="E23" i="10"/>
  <c r="C16" i="6"/>
  <c r="C18" i="6" s="1"/>
  <c r="C14" i="14"/>
  <c r="A11" i="14"/>
  <c r="A12" i="14" s="1"/>
  <c r="A13" i="14" s="1"/>
  <c r="A14" i="14" s="1"/>
  <c r="D139" i="13"/>
  <c r="D78" i="13"/>
  <c r="A11" i="13"/>
  <c r="A12" i="13" s="1"/>
  <c r="A13" i="13" s="1"/>
  <c r="A14" i="13" s="1"/>
  <c r="A15" i="13" s="1"/>
  <c r="A16" i="13" s="1"/>
  <c r="A17" i="13" s="1"/>
  <c r="A19" i="13" s="1"/>
  <c r="A20" i="13" s="1"/>
  <c r="A21" i="13" s="1"/>
  <c r="A22" i="13" s="1"/>
  <c r="A23" i="13" s="1"/>
  <c r="A24" i="13" s="1"/>
  <c r="A25" i="13" s="1"/>
  <c r="A27" i="13" s="1"/>
  <c r="A28" i="13" s="1"/>
  <c r="A29" i="13" s="1"/>
  <c r="A30" i="13" s="1"/>
  <c r="A32" i="13" s="1"/>
  <c r="A33" i="13" s="1"/>
  <c r="A34" i="13" s="1"/>
  <c r="A35" i="13" s="1"/>
  <c r="A36" i="13" s="1"/>
  <c r="A37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1" i="13" s="1"/>
  <c r="A52" i="13" s="1"/>
  <c r="A53" i="13" s="1"/>
  <c r="A54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C18" i="12"/>
  <c r="C26" i="12" s="1"/>
  <c r="C34" i="12" s="1"/>
  <c r="A13" i="10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E14" i="10"/>
  <c r="C14" i="10"/>
  <c r="C25" i="10" s="1"/>
  <c r="D16" i="10" s="1"/>
  <c r="F15" i="9"/>
  <c r="E15" i="9"/>
  <c r="D15" i="9"/>
  <c r="C15" i="9"/>
  <c r="A12" i="9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10" i="8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E15" i="6"/>
  <c r="F15" i="6" s="1"/>
  <c r="A11" i="6"/>
  <c r="A12" i="6" s="1"/>
  <c r="A13" i="6" s="1"/>
  <c r="A14" i="6" s="1"/>
  <c r="A15" i="6" s="1"/>
  <c r="A16" i="6" s="1"/>
  <c r="A17" i="6" s="1"/>
  <c r="A18" i="6" s="1"/>
  <c r="O25" i="1"/>
  <c r="N25" i="1"/>
  <c r="H12" i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A80" i="13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10" i="13" s="1"/>
  <c r="A111" i="13" s="1"/>
  <c r="A112" i="13" s="1"/>
  <c r="A113" i="13" s="1"/>
  <c r="A114" i="13" s="1"/>
  <c r="A115" i="13" s="1"/>
  <c r="A116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35" i="13" s="1"/>
  <c r="A141" i="13"/>
  <c r="A142" i="13" s="1"/>
  <c r="A143" i="13" s="1"/>
  <c r="A144" i="13" s="1"/>
  <c r="A145" i="13" s="1"/>
  <c r="A146" i="13" s="1"/>
  <c r="A147" i="13" s="1"/>
  <c r="A148" i="13" s="1"/>
  <c r="A149" i="13" s="1"/>
  <c r="A150" i="13" s="1"/>
  <c r="A151" i="13" s="1"/>
  <c r="A152" i="13" s="1"/>
  <c r="A153" i="13" s="1"/>
  <c r="A154" i="13" s="1"/>
  <c r="A155" i="13" s="1"/>
  <c r="A156" i="13" s="1"/>
  <c r="A157" i="13" s="1"/>
  <c r="A158" i="13" s="1"/>
  <c r="A159" i="13" s="1"/>
  <c r="A160" i="13" s="1"/>
  <c r="A161" i="13" s="1"/>
  <c r="A162" i="13" s="1"/>
  <c r="A163" i="13" s="1"/>
  <c r="A164" i="13" s="1"/>
  <c r="A165" i="13" s="1"/>
  <c r="A166" i="13" s="1"/>
  <c r="A167" i="13" s="1"/>
  <c r="A168" i="13" s="1"/>
  <c r="A169" i="13" s="1"/>
  <c r="A170" i="13" s="1"/>
  <c r="A171" i="13" s="1"/>
  <c r="A172" i="13" s="1"/>
  <c r="A173" i="13" s="1"/>
  <c r="A174" i="13" s="1"/>
  <c r="A175" i="13" s="1"/>
  <c r="A176" i="13" s="1"/>
  <c r="A177" i="13" s="1"/>
  <c r="A179" i="13" s="1"/>
  <c r="A180" i="13" s="1"/>
  <c r="A181" i="13" s="1"/>
  <c r="A182" i="13" s="1"/>
  <c r="A183" i="13" s="1"/>
  <c r="A184" i="13" s="1"/>
  <c r="A185" i="13" s="1"/>
  <c r="A186" i="13" s="1"/>
  <c r="A187" i="13" s="1"/>
  <c r="A188" i="13" s="1"/>
  <c r="A189" i="13" s="1"/>
  <c r="A190" i="13" s="1"/>
  <c r="A191" i="13" s="1"/>
  <c r="A192" i="13" s="1"/>
  <c r="A193" i="13" s="1"/>
  <c r="A194" i="13" s="1"/>
  <c r="A196" i="13" s="1"/>
  <c r="I57" i="24" l="1"/>
  <c r="A24" i="9"/>
  <c r="A13" i="20"/>
  <c r="A14" i="20" s="1"/>
  <c r="A15" i="20" s="1"/>
  <c r="A16" i="20" s="1"/>
  <c r="A17" i="20" s="1"/>
  <c r="A18" i="20" s="1"/>
  <c r="A19" i="20" s="1"/>
  <c r="A20" i="20" s="1"/>
  <c r="A21" i="20" s="1"/>
  <c r="D24" i="9"/>
  <c r="F24" i="9"/>
  <c r="R18" i="25"/>
  <c r="K18" i="23" s="1"/>
  <c r="E25" i="10"/>
  <c r="F16" i="10" s="1"/>
  <c r="D18" i="12"/>
  <c r="D26" i="12" s="1"/>
  <c r="D34" i="12" s="1"/>
  <c r="E24" i="9"/>
  <c r="A4" i="22"/>
  <c r="A7" i="12"/>
  <c r="A5" i="14"/>
  <c r="F27" i="19"/>
  <c r="K26" i="23"/>
  <c r="A20" i="23"/>
  <c r="A21" i="23" s="1"/>
  <c r="A22" i="23" s="1"/>
  <c r="A24" i="23" s="1"/>
  <c r="A25" i="23" s="1"/>
  <c r="A23" i="23" s="1"/>
  <c r="A26" i="23" s="1"/>
  <c r="A27" i="23" s="1"/>
  <c r="A28" i="23" s="1"/>
  <c r="D21" i="10"/>
  <c r="C27" i="24"/>
  <c r="A16" i="22"/>
  <c r="A17" i="22" s="1"/>
  <c r="A18" i="22" s="1"/>
  <c r="G61" i="22"/>
  <c r="B13" i="21"/>
  <c r="B14" i="21" s="1"/>
  <c r="B15" i="21" s="1"/>
  <c r="B16" i="21" s="1"/>
  <c r="B17" i="21" s="1"/>
  <c r="B18" i="21" s="1"/>
  <c r="B19" i="21" s="1"/>
  <c r="B20" i="21" s="1"/>
  <c r="B21" i="21" s="1"/>
  <c r="B22" i="21" s="1"/>
  <c r="B23" i="21" s="1"/>
  <c r="B24" i="21" s="1"/>
  <c r="B25" i="21" s="1"/>
  <c r="D10" i="6"/>
  <c r="D18" i="10"/>
  <c r="C24" i="9"/>
  <c r="E24" i="12"/>
  <c r="F20" i="12" s="1"/>
  <c r="F24" i="12" s="1"/>
  <c r="D22" i="10"/>
  <c r="D27" i="24"/>
  <c r="D59" i="24" s="1"/>
  <c r="C59" i="24" l="1"/>
  <c r="I27" i="24"/>
  <c r="K20" i="23"/>
  <c r="K28" i="23" s="1"/>
  <c r="D12" i="10"/>
  <c r="D25" i="10" s="1"/>
  <c r="F23" i="10"/>
  <c r="F18" i="10"/>
  <c r="F21" i="10"/>
  <c r="F22" i="10"/>
  <c r="E18" i="12"/>
  <c r="E26" i="12" s="1"/>
  <c r="E34" i="12" s="1"/>
  <c r="F18" i="12"/>
  <c r="G18" i="12" s="1"/>
  <c r="H18" i="12" s="1"/>
  <c r="I18" i="12" s="1"/>
  <c r="J18" i="12" s="1"/>
  <c r="A19" i="22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B26" i="21"/>
  <c r="B27" i="21" s="1"/>
  <c r="B28" i="21" s="1"/>
  <c r="B29" i="21" s="1"/>
  <c r="J27" i="24" l="1"/>
  <c r="I59" i="24"/>
  <c r="J59" i="24" s="1"/>
  <c r="R19" i="25"/>
  <c r="F12" i="10"/>
  <c r="F25" i="10" s="1"/>
  <c r="B30" i="21"/>
  <c r="B31" i="21" s="1"/>
  <c r="B32" i="21" s="1"/>
  <c r="B33" i="21" s="1"/>
  <c r="B34" i="21" s="1"/>
  <c r="A31" i="22"/>
  <c r="A32" i="22" s="1"/>
  <c r="A33" i="22" s="1"/>
  <c r="A34" i="22" s="1"/>
  <c r="K18" i="12"/>
  <c r="G20" i="12"/>
  <c r="G24" i="12" s="1"/>
  <c r="F14" i="6" l="1"/>
  <c r="F16" i="6" s="1"/>
  <c r="F18" i="6" s="1"/>
  <c r="E16" i="6"/>
  <c r="E18" i="6" s="1"/>
  <c r="D14" i="6"/>
  <c r="D16" i="6" s="1"/>
  <c r="D18" i="6" s="1"/>
  <c r="B35" i="21"/>
  <c r="B36" i="21" s="1"/>
  <c r="B37" i="21" s="1"/>
  <c r="B38" i="21" s="1"/>
  <c r="B39" i="21" s="1"/>
  <c r="B40" i="21" s="1"/>
  <c r="B41" i="21" s="1"/>
  <c r="B42" i="21" s="1"/>
  <c r="A35" i="22"/>
  <c r="L18" i="12"/>
  <c r="F26" i="12"/>
  <c r="F34" i="12" s="1"/>
  <c r="A36" i="22" l="1"/>
  <c r="A37" i="22" s="1"/>
  <c r="A38" i="22" s="1"/>
  <c r="A39" i="22" s="1"/>
  <c r="A40" i="22" s="1"/>
  <c r="M18" i="12"/>
  <c r="H20" i="12"/>
  <c r="H24" i="12" s="1"/>
  <c r="A41" i="22" l="1"/>
  <c r="A42" i="22" s="1"/>
  <c r="A43" i="22" s="1"/>
  <c r="A44" i="22" s="1"/>
  <c r="G26" i="12"/>
  <c r="G34" i="12" s="1"/>
  <c r="N18" i="12"/>
  <c r="D54" i="13" l="1"/>
  <c r="P20" i="1"/>
  <c r="K40" i="21"/>
  <c r="L21" i="7"/>
  <c r="L20" i="7"/>
  <c r="T21" i="21"/>
  <c r="H20" i="15"/>
  <c r="D116" i="13"/>
  <c r="P14" i="1"/>
  <c r="P11" i="1"/>
  <c r="L23" i="7"/>
  <c r="H14" i="15"/>
  <c r="M40" i="21"/>
  <c r="C15" i="8"/>
  <c r="I40" i="21"/>
  <c r="G14" i="20"/>
  <c r="G78" i="20"/>
  <c r="C11" i="8"/>
  <c r="L17" i="7"/>
  <c r="D72" i="13"/>
  <c r="M22" i="17"/>
  <c r="P21" i="1"/>
  <c r="G69" i="22"/>
  <c r="G70" i="22" s="1"/>
  <c r="M19" i="17"/>
  <c r="L12" i="7"/>
  <c r="I28" i="7"/>
  <c r="L19" i="7"/>
  <c r="T12" i="21"/>
  <c r="H40" i="21"/>
  <c r="C17" i="8"/>
  <c r="C20" i="8"/>
  <c r="J24" i="17"/>
  <c r="M11" i="17"/>
  <c r="T17" i="21"/>
  <c r="L18" i="7"/>
  <c r="P13" i="1"/>
  <c r="M13" i="17"/>
  <c r="M25" i="1"/>
  <c r="D37" i="13"/>
  <c r="L24" i="7"/>
  <c r="T16" i="21"/>
  <c r="L16" i="7"/>
  <c r="P22" i="1"/>
  <c r="T18" i="21"/>
  <c r="T25" i="21"/>
  <c r="D177" i="13"/>
  <c r="T20" i="21"/>
  <c r="T15" i="21"/>
  <c r="T41" i="21" s="1"/>
  <c r="D108" i="13"/>
  <c r="D135" i="13"/>
  <c r="K24" i="17"/>
  <c r="P12" i="1"/>
  <c r="J28" i="7"/>
  <c r="L22" i="7"/>
  <c r="F25" i="15"/>
  <c r="H11" i="15"/>
  <c r="T14" i="21"/>
  <c r="H19" i="15"/>
  <c r="P16" i="1"/>
  <c r="J40" i="21"/>
  <c r="P23" i="1"/>
  <c r="M16" i="17"/>
  <c r="M14" i="17"/>
  <c r="C16" i="8"/>
  <c r="I24" i="17"/>
  <c r="M10" i="17"/>
  <c r="L15" i="7"/>
  <c r="H13" i="15"/>
  <c r="D73" i="13"/>
  <c r="E33" i="10"/>
  <c r="E34" i="10" s="1"/>
  <c r="M12" i="17"/>
  <c r="T13" i="21"/>
  <c r="L13" i="7"/>
  <c r="M17" i="17"/>
  <c r="M18" i="17"/>
  <c r="D49" i="13"/>
  <c r="H21" i="15"/>
  <c r="C13" i="8"/>
  <c r="C22" i="8"/>
  <c r="C14" i="8"/>
  <c r="H16" i="15"/>
  <c r="H15" i="15"/>
  <c r="D17" i="13"/>
  <c r="C12" i="8"/>
  <c r="G16" i="20"/>
  <c r="D193" i="13"/>
  <c r="D194" i="13"/>
  <c r="D196" i="13" s="1"/>
  <c r="P18" i="1"/>
  <c r="P15" i="1"/>
  <c r="H12" i="15"/>
  <c r="M21" i="17"/>
  <c r="H22" i="15"/>
  <c r="M20" i="17"/>
  <c r="H23" i="15"/>
  <c r="L14" i="7"/>
  <c r="G25" i="15"/>
  <c r="L25" i="1"/>
  <c r="C21" i="8"/>
  <c r="D24" i="8"/>
  <c r="D25" i="8" s="1"/>
  <c r="K25" i="1"/>
  <c r="T23" i="21"/>
  <c r="H17" i="15"/>
  <c r="G15" i="9"/>
  <c r="G24" i="9" s="1"/>
  <c r="G38" i="9" s="1"/>
  <c r="P19" i="1"/>
  <c r="T22" i="21"/>
  <c r="M15" i="17"/>
  <c r="H18" i="15"/>
  <c r="T29" i="21"/>
  <c r="K28" i="7"/>
  <c r="C18" i="8"/>
  <c r="C19" i="8"/>
  <c r="P17" i="1"/>
  <c r="N40" i="21"/>
  <c r="T19" i="21"/>
  <c r="T26" i="21"/>
  <c r="L40" i="21"/>
  <c r="L24" i="17"/>
  <c r="T24" i="21"/>
  <c r="D25" i="13"/>
  <c r="A45" i="22"/>
  <c r="O40" i="21"/>
  <c r="J25" i="1"/>
  <c r="I20" i="12"/>
  <c r="I24" i="12" s="1"/>
  <c r="L28" i="7" l="1"/>
  <c r="M24" i="17"/>
  <c r="D200" i="13"/>
  <c r="D202" i="13" s="1"/>
  <c r="H25" i="15"/>
  <c r="P25" i="1"/>
  <c r="D74" i="13"/>
  <c r="G17" i="20"/>
  <c r="G21" i="20" s="1"/>
  <c r="A46" i="22"/>
  <c r="P40" i="21"/>
  <c r="H26" i="12"/>
  <c r="H34" i="12" s="1"/>
  <c r="O18" i="12"/>
  <c r="P14" i="12"/>
  <c r="P18" i="12" s="1"/>
  <c r="A47" i="22" l="1"/>
  <c r="A48" i="22" s="1"/>
  <c r="A49" i="22" s="1"/>
  <c r="A50" i="22" s="1"/>
  <c r="A51" i="22" s="1"/>
  <c r="A52" i="22" s="1"/>
  <c r="A53" i="22" s="1"/>
  <c r="A54" i="22" s="1"/>
  <c r="A55" i="22" s="1"/>
  <c r="Q40" i="21"/>
  <c r="I26" i="12" l="1"/>
  <c r="I34" i="12" s="1"/>
  <c r="J20" i="12"/>
  <c r="A56" i="22"/>
  <c r="A57" i="22" s="1"/>
  <c r="A58" i="22" s="1"/>
  <c r="A59" i="22" s="1"/>
  <c r="A60" i="22" s="1"/>
  <c r="A61" i="22" s="1"/>
  <c r="R40" i="21"/>
  <c r="J24" i="12" l="1"/>
  <c r="K20" i="12" s="1"/>
  <c r="K24" i="12" s="1"/>
  <c r="L20" i="12" s="1"/>
  <c r="L24" i="12" s="1"/>
  <c r="S40" i="21"/>
  <c r="T37" i="21"/>
  <c r="T40" i="21" l="1"/>
  <c r="T42" i="21" s="1"/>
  <c r="J26" i="12"/>
  <c r="J34" i="12" s="1"/>
  <c r="M20" i="12"/>
  <c r="M24" i="12" s="1"/>
  <c r="K26" i="12"/>
  <c r="K34" i="12" s="1"/>
  <c r="N20" i="12" l="1"/>
  <c r="N24" i="12" s="1"/>
  <c r="O20" i="12" s="1"/>
  <c r="O24" i="12" s="1"/>
  <c r="L26" i="12"/>
  <c r="L34" i="12" s="1"/>
  <c r="M26" i="12" l="1"/>
  <c r="M34" i="12" s="1"/>
  <c r="N26" i="12" l="1"/>
  <c r="N34" i="12" s="1"/>
  <c r="P20" i="12" l="1"/>
  <c r="O26" i="12" l="1"/>
  <c r="O34" i="12" s="1"/>
  <c r="P24" i="12"/>
  <c r="P26" i="12" s="1"/>
  <c r="G68" i="20"/>
  <c r="G71" i="20" s="1"/>
  <c r="G79" i="20" l="1"/>
</calcChain>
</file>

<file path=xl/comments1.xml><?xml version="1.0" encoding="utf-8"?>
<comments xmlns="http://schemas.openxmlformats.org/spreadsheetml/2006/main">
  <authors>
    <author>Kyle Sem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Kyle Sem:</t>
        </r>
        <r>
          <rPr>
            <sz val="8"/>
            <color indexed="81"/>
            <rFont val="Tahoma"/>
            <family val="2"/>
          </rPr>
          <t xml:space="preserve">
Per Cathy @ MISO, do not include Loss/Gain on Reacquired Debt in the Attachment O Calculation for overall average Debt. However, the annual amortization can be included with interest expense.</t>
        </r>
      </text>
    </comment>
  </commentList>
</comments>
</file>

<file path=xl/sharedStrings.xml><?xml version="1.0" encoding="utf-8"?>
<sst xmlns="http://schemas.openxmlformats.org/spreadsheetml/2006/main" count="1614" uniqueCount="741">
  <si>
    <t>Otter Tail Power Company</t>
  </si>
  <si>
    <t>(A)</t>
  </si>
  <si>
    <t>(B)</t>
  </si>
  <si>
    <t>(C)</t>
  </si>
  <si>
    <t>(D)</t>
  </si>
  <si>
    <t>(E)</t>
  </si>
  <si>
    <t>(G)</t>
  </si>
  <si>
    <t>(F)</t>
  </si>
  <si>
    <t>Line</t>
  </si>
  <si>
    <t>Unclassified</t>
  </si>
  <si>
    <t>No.</t>
  </si>
  <si>
    <t>Production</t>
  </si>
  <si>
    <t>Transmission</t>
  </si>
  <si>
    <t>Distribution</t>
  </si>
  <si>
    <t>Intangible</t>
  </si>
  <si>
    <t>Reserve</t>
  </si>
  <si>
    <t>Total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</si>
  <si>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</si>
  <si>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</si>
  <si>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</si>
  <si>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</si>
  <si>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</si>
  <si>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</si>
  <si>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</si>
  <si>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</si>
  <si>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</si>
  <si>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</si>
  <si>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</si>
  <si>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13-Month Average</t>
  </si>
  <si>
    <t>Plant Account Balances</t>
  </si>
  <si>
    <t>(H)</t>
  </si>
  <si>
    <t>(I)</t>
  </si>
  <si>
    <t>(J)</t>
  </si>
  <si>
    <t>FERC</t>
  </si>
  <si>
    <t>January</t>
  </si>
  <si>
    <t>Description</t>
  </si>
  <si>
    <t>Plant Held for Future Use</t>
  </si>
  <si>
    <t>Accumulated Deferred Income Tax</t>
  </si>
  <si>
    <t>Line No.</t>
  </si>
  <si>
    <t>Balance Per Books</t>
  </si>
  <si>
    <t>Change</t>
  </si>
  <si>
    <t>Account 282 ADIT - Utility operations</t>
  </si>
  <si>
    <t>Account 283 ADIT Other utility operations</t>
  </si>
  <si>
    <t>Account 283.10 ADIT Big Stone</t>
  </si>
  <si>
    <t>Account 190 Accumulated Deferred Income Taxes  - Utility</t>
  </si>
  <si>
    <t>Forecast Inventory Balances</t>
  </si>
  <si>
    <t>Materials and Supplies</t>
  </si>
  <si>
    <t>End of Month</t>
  </si>
  <si>
    <t>Total M&amp;S</t>
  </si>
  <si>
    <t>Prepayments</t>
  </si>
  <si>
    <t>Monthly Change</t>
  </si>
  <si>
    <t>Prepaid Insurance and Interest                 FERC 165</t>
  </si>
  <si>
    <t>Depreciation Expense</t>
  </si>
  <si>
    <t>Minnesota</t>
  </si>
  <si>
    <t>North Dakota</t>
  </si>
  <si>
    <t>South Dakota</t>
  </si>
  <si>
    <t xml:space="preserve">  Steam (Excl Un Tr &amp; Ort)</t>
  </si>
  <si>
    <t xml:space="preserve">  Hydro</t>
  </si>
  <si>
    <t xml:space="preserve">  Other - I.C.</t>
  </si>
  <si>
    <t xml:space="preserve">  Other - Wind</t>
  </si>
  <si>
    <t xml:space="preserve">    Total Production</t>
  </si>
  <si>
    <t xml:space="preserve">  Transmission</t>
  </si>
  <si>
    <t xml:space="preserve">  Distribution</t>
  </si>
  <si>
    <t xml:space="preserve">     Total</t>
  </si>
  <si>
    <t>Labor Ratios</t>
  </si>
  <si>
    <t>Function Labor</t>
  </si>
  <si>
    <t>Amount</t>
  </si>
  <si>
    <t>Portion of  Total</t>
  </si>
  <si>
    <t xml:space="preserve"> </t>
  </si>
  <si>
    <t>Customer Accounts</t>
  </si>
  <si>
    <t>Customer Service &amp; Information, &amp; Sales</t>
  </si>
  <si>
    <t>Budget 2009</t>
  </si>
  <si>
    <t>Total Production</t>
  </si>
  <si>
    <t>Embedded Cost of Debt Capital</t>
  </si>
  <si>
    <t>(K)</t>
  </si>
  <si>
    <t>(L)</t>
  </si>
  <si>
    <t>(M)</t>
  </si>
  <si>
    <t>(N)</t>
  </si>
  <si>
    <t>(O)</t>
  </si>
  <si>
    <t>(P)</t>
  </si>
  <si>
    <t>(Q)</t>
  </si>
  <si>
    <t>Rate</t>
  </si>
  <si>
    <t>Interest</t>
  </si>
  <si>
    <t>of</t>
  </si>
  <si>
    <t>Monthly</t>
  </si>
  <si>
    <t>Cost</t>
  </si>
  <si>
    <t>Principal Amounts Outstanding</t>
  </si>
  <si>
    <t>Balances</t>
  </si>
  <si>
    <t>Debentures</t>
  </si>
  <si>
    <t xml:space="preserve">  Total Debentures</t>
  </si>
  <si>
    <t>Total Long-Term Debt Capital</t>
  </si>
  <si>
    <t>Common Equity</t>
  </si>
  <si>
    <t>Title</t>
  </si>
  <si>
    <t xml:space="preserve">    Current Year Capital Contributions </t>
  </si>
  <si>
    <t>Common Stock Balance</t>
  </si>
  <si>
    <t>Retained Earnings -</t>
  </si>
  <si>
    <t>End of Month Balance</t>
  </si>
  <si>
    <t>Total Electric Common Equity</t>
  </si>
  <si>
    <t xml:space="preserve">   Other</t>
  </si>
  <si>
    <t>Accounts</t>
  </si>
  <si>
    <t xml:space="preserve">   Station Equipment</t>
  </si>
  <si>
    <t xml:space="preserve">   Radio Load Control Equipment</t>
  </si>
  <si>
    <t>Steam Power Generation:</t>
  </si>
  <si>
    <t xml:space="preserve">   Supervision and Engineering</t>
  </si>
  <si>
    <t>401 - 500</t>
  </si>
  <si>
    <t xml:space="preserve">   Fuel</t>
  </si>
  <si>
    <t>401 - 501</t>
  </si>
  <si>
    <t xml:space="preserve">   Steam Expense</t>
  </si>
  <si>
    <t>401 - 502</t>
  </si>
  <si>
    <t xml:space="preserve">   Electrical Expense</t>
  </si>
  <si>
    <t>401 - 505</t>
  </si>
  <si>
    <t xml:space="preserve">   Miscellaneous Expense</t>
  </si>
  <si>
    <t>401 - 506</t>
  </si>
  <si>
    <t xml:space="preserve">   Rent</t>
  </si>
  <si>
    <t>401 - 507</t>
  </si>
  <si>
    <t>Maintenance:</t>
  </si>
  <si>
    <t>402 - 510</t>
  </si>
  <si>
    <t xml:space="preserve">   Structures</t>
  </si>
  <si>
    <t>402 - 511</t>
  </si>
  <si>
    <t xml:space="preserve">   Boiler</t>
  </si>
  <si>
    <t>402 - 512</t>
  </si>
  <si>
    <t xml:space="preserve">   Electric</t>
  </si>
  <si>
    <t>402 - 513</t>
  </si>
  <si>
    <t xml:space="preserve">   Miscellaneous</t>
  </si>
  <si>
    <t>402 - 514</t>
  </si>
  <si>
    <t>Hydro:</t>
  </si>
  <si>
    <t>401 - 535</t>
  </si>
  <si>
    <t xml:space="preserve">   Electric Expense</t>
  </si>
  <si>
    <t>401 - 539</t>
  </si>
  <si>
    <t xml:space="preserve">   Supervision &amp; Engineering</t>
  </si>
  <si>
    <t>402 - 541</t>
  </si>
  <si>
    <t>402 - 542</t>
  </si>
  <si>
    <t xml:space="preserve">   Reservoirs - Dams</t>
  </si>
  <si>
    <t>402 - 543</t>
  </si>
  <si>
    <t>402 - 544</t>
  </si>
  <si>
    <t>402 - 545</t>
  </si>
  <si>
    <t>IC:</t>
  </si>
  <si>
    <t>401 - 546</t>
  </si>
  <si>
    <t>401 - 547</t>
  </si>
  <si>
    <t xml:space="preserve">   Generation Expense</t>
  </si>
  <si>
    <t>401 - 548</t>
  </si>
  <si>
    <t>401 - 549</t>
  </si>
  <si>
    <t xml:space="preserve">   Rents</t>
  </si>
  <si>
    <t>401 - 550</t>
  </si>
  <si>
    <t>402 - 551</t>
  </si>
  <si>
    <t>402 - 552</t>
  </si>
  <si>
    <t xml:space="preserve">   Generating and Electric</t>
  </si>
  <si>
    <t>402 - 553</t>
  </si>
  <si>
    <t>402 - 554</t>
  </si>
  <si>
    <t>Other Power Supply Expenses:</t>
  </si>
  <si>
    <t xml:space="preserve">   System Control and Dispatch</t>
  </si>
  <si>
    <t>401 - 556</t>
  </si>
  <si>
    <t xml:space="preserve">   Other Expenses</t>
  </si>
  <si>
    <t>401 - 557</t>
  </si>
  <si>
    <t>401 - 560</t>
  </si>
  <si>
    <t xml:space="preserve">   Load Dispatching</t>
  </si>
  <si>
    <t>401 - 561</t>
  </si>
  <si>
    <t xml:space="preserve">   Station Expense</t>
  </si>
  <si>
    <t>401 - 562</t>
  </si>
  <si>
    <t xml:space="preserve">   Overhead Lines</t>
  </si>
  <si>
    <t>401 - 563</t>
  </si>
  <si>
    <t xml:space="preserve">   Transmission of Electricity by Others</t>
  </si>
  <si>
    <t>401 - 565</t>
  </si>
  <si>
    <t>401 - 566</t>
  </si>
  <si>
    <t>401 - 567</t>
  </si>
  <si>
    <t>402 - 568</t>
  </si>
  <si>
    <t xml:space="preserve">   Computer Hardware, Software, etc</t>
  </si>
  <si>
    <t>402 - 569</t>
  </si>
  <si>
    <t>402 - 570</t>
  </si>
  <si>
    <t xml:space="preserve">   Overhead System</t>
  </si>
  <si>
    <t>402 - 571</t>
  </si>
  <si>
    <t xml:space="preserve">   Underground Lines</t>
  </si>
  <si>
    <t>402 - 572</t>
  </si>
  <si>
    <t xml:space="preserve">   Maintenance of Miscellaneous Plant</t>
  </si>
  <si>
    <t>402 - 573</t>
  </si>
  <si>
    <t xml:space="preserve">   Day-Ahead &amp; Real-Time and Transmission Market Expense</t>
  </si>
  <si>
    <t>401 - 575</t>
  </si>
  <si>
    <t xml:space="preserve">   Computer Software</t>
  </si>
  <si>
    <t>402 - 576</t>
  </si>
  <si>
    <t>Distribution Expense:</t>
  </si>
  <si>
    <t xml:space="preserve">   Operation, Supervision &amp; Engineering</t>
  </si>
  <si>
    <t>401 - 580</t>
  </si>
  <si>
    <t>401 - 581</t>
  </si>
  <si>
    <t xml:space="preserve">   Station Expenses</t>
  </si>
  <si>
    <t>401 - 582</t>
  </si>
  <si>
    <t xml:space="preserve">   Line Expenses</t>
  </si>
  <si>
    <t>401 - 583</t>
  </si>
  <si>
    <t xml:space="preserve">   Underground Line Expenses</t>
  </si>
  <si>
    <t>401 - 584</t>
  </si>
  <si>
    <t xml:space="preserve">   Streetlighting &amp; Signal System</t>
  </si>
  <si>
    <t>401 - 585</t>
  </si>
  <si>
    <t xml:space="preserve">     Not Used</t>
  </si>
  <si>
    <t>401 - 586.01</t>
  </si>
  <si>
    <t>401 - 586.02</t>
  </si>
  <si>
    <t>401 - 586.03</t>
  </si>
  <si>
    <t>401 - 586.04</t>
  </si>
  <si>
    <t>401 - 586.05</t>
  </si>
  <si>
    <t>401 - 586.06</t>
  </si>
  <si>
    <t>401 - 586.07</t>
  </si>
  <si>
    <t xml:space="preserve">   Meter Expenses:</t>
  </si>
  <si>
    <t>401 - 586</t>
  </si>
  <si>
    <t xml:space="preserve">   Other Distribution Expenses</t>
  </si>
  <si>
    <t>401 - 587</t>
  </si>
  <si>
    <t xml:space="preserve">   Miscellaneous Distribution Expenses</t>
  </si>
  <si>
    <t>401 - 588</t>
  </si>
  <si>
    <t>401 - 589</t>
  </si>
  <si>
    <t xml:space="preserve">   Maintenance, Supervision &amp; Engineering</t>
  </si>
  <si>
    <t>402 - 590</t>
  </si>
  <si>
    <t xml:space="preserve">   Maintenance of Station Equipment</t>
  </si>
  <si>
    <t>402 - 592</t>
  </si>
  <si>
    <t xml:space="preserve">   Maintenance of Overhead Lines</t>
  </si>
  <si>
    <t>402 - 593</t>
  </si>
  <si>
    <t xml:space="preserve">   Maintenance of Underground Lines</t>
  </si>
  <si>
    <t>402 - 594</t>
  </si>
  <si>
    <t xml:space="preserve">   Maintenance of Line Transformers</t>
  </si>
  <si>
    <t>402 - 595</t>
  </si>
  <si>
    <t xml:space="preserve">   Maintenance of Streetlighting &amp; Signal</t>
  </si>
  <si>
    <t>402 - 596</t>
  </si>
  <si>
    <t xml:space="preserve">   Maintenance of Meters:</t>
  </si>
  <si>
    <t>402 - 597.01</t>
  </si>
  <si>
    <t>402 - 597.02</t>
  </si>
  <si>
    <t>402 - 597.03</t>
  </si>
  <si>
    <t xml:space="preserve">   Maintenance of Property in A/C 371</t>
  </si>
  <si>
    <t>402 - 598</t>
  </si>
  <si>
    <t>Customer Accounting:</t>
  </si>
  <si>
    <t xml:space="preserve">   Supervision</t>
  </si>
  <si>
    <t>401 - 901</t>
  </si>
  <si>
    <t xml:space="preserve">   Meter Reading Expenses</t>
  </si>
  <si>
    <t>401 - 902</t>
  </si>
  <si>
    <t xml:space="preserve">   Customer Records &amp; Collection Expense</t>
  </si>
  <si>
    <t>401 - 903</t>
  </si>
  <si>
    <t xml:space="preserve">   Uncollectible Accounts</t>
  </si>
  <si>
    <t>401 - 904</t>
  </si>
  <si>
    <t xml:space="preserve">   Miscellaneous Expenses</t>
  </si>
  <si>
    <t>401 - 905</t>
  </si>
  <si>
    <t>Customer Service and Information Expense:</t>
  </si>
  <si>
    <t>401 - 907</t>
  </si>
  <si>
    <t xml:space="preserve">   Customer Assistance Expenses</t>
  </si>
  <si>
    <t xml:space="preserve">     Salary</t>
  </si>
  <si>
    <t>401 - 908</t>
  </si>
  <si>
    <t>401 - 908.2</t>
  </si>
  <si>
    <t>401 - 908.3</t>
  </si>
  <si>
    <t>401 - 908.4</t>
  </si>
  <si>
    <t>401 - 908.11</t>
  </si>
  <si>
    <t>401 - 908.12</t>
  </si>
  <si>
    <t>401 - 908.13</t>
  </si>
  <si>
    <t xml:space="preserve">     Conservation Investment Program - SD</t>
  </si>
  <si>
    <t>401 - 908.16</t>
  </si>
  <si>
    <t xml:space="preserve">     Conservation Investment Program - ND</t>
  </si>
  <si>
    <t>401 - 908.17</t>
  </si>
  <si>
    <t xml:space="preserve">     Conservation Investment Program - MN</t>
  </si>
  <si>
    <t>401 - 908.18</t>
  </si>
  <si>
    <t>401 - 908.22</t>
  </si>
  <si>
    <t>401 - 908.23</t>
  </si>
  <si>
    <t xml:space="preserve">     Info &amp; Instr Advertising Expense</t>
  </si>
  <si>
    <t>401 - 909</t>
  </si>
  <si>
    <t xml:space="preserve">     Miscellaneous Expenses</t>
  </si>
  <si>
    <t>401 - 910</t>
  </si>
  <si>
    <t>Sales Expenses:</t>
  </si>
  <si>
    <t xml:space="preserve">   Supervisory Labor and Expenses</t>
  </si>
  <si>
    <t>401 - 911</t>
  </si>
  <si>
    <t xml:space="preserve">   Minnesota Economic Development</t>
  </si>
  <si>
    <t>401 - 912</t>
  </si>
  <si>
    <t xml:space="preserve">   North Dakota Economic Development</t>
  </si>
  <si>
    <t xml:space="preserve">   South Dakota Economic Development</t>
  </si>
  <si>
    <t xml:space="preserve">   Labor - Sales &amp; Demonstrations</t>
  </si>
  <si>
    <t>401 - 912.04</t>
  </si>
  <si>
    <t xml:space="preserve">   Expenses - Sales &amp; Demonstrations</t>
  </si>
  <si>
    <t xml:space="preserve">   Not Used</t>
  </si>
  <si>
    <t>401 - 912.10</t>
  </si>
  <si>
    <t>401 - 912.11 &amp;12</t>
  </si>
  <si>
    <t>401 - 912.13</t>
  </si>
  <si>
    <t>401 - 912.14</t>
  </si>
  <si>
    <t>401 - 912.20</t>
  </si>
  <si>
    <t>401 - 912.21 &amp; .22</t>
  </si>
  <si>
    <t>401 - 912.23</t>
  </si>
  <si>
    <t>401 - 912.24</t>
  </si>
  <si>
    <t>401 - 912.30</t>
  </si>
  <si>
    <t>401 - 912.32</t>
  </si>
  <si>
    <t>401 - 912.33</t>
  </si>
  <si>
    <t>401 - 912.34</t>
  </si>
  <si>
    <t xml:space="preserve">   Advertising</t>
  </si>
  <si>
    <t>401 - 913</t>
  </si>
  <si>
    <t xml:space="preserve">   Communciations Services</t>
  </si>
  <si>
    <t>401 - 916</t>
  </si>
  <si>
    <t>401 - 916.02</t>
  </si>
  <si>
    <t>401 - 916.03</t>
  </si>
  <si>
    <t>401 - 916.04</t>
  </si>
  <si>
    <t>401 - 916.08</t>
  </si>
  <si>
    <t>401 - 916.10</t>
  </si>
  <si>
    <t>401 - 916.11</t>
  </si>
  <si>
    <t>401 - 916.12</t>
  </si>
  <si>
    <t>401 - 916.13</t>
  </si>
  <si>
    <t>401 - 916.20</t>
  </si>
  <si>
    <t>401 - 916.21</t>
  </si>
  <si>
    <t>401 - 916.22</t>
  </si>
  <si>
    <t>401 - 916.23</t>
  </si>
  <si>
    <t>401 - 916.30</t>
  </si>
  <si>
    <t>401 - 916.31</t>
  </si>
  <si>
    <t>401 - 916.32</t>
  </si>
  <si>
    <t>401 - 916.33</t>
  </si>
  <si>
    <t>Operating Expenses - Admin &amp; General:</t>
  </si>
  <si>
    <t xml:space="preserve">   Salaries, Office Supplies &amp; Expenses</t>
  </si>
  <si>
    <t>401 - 920</t>
  </si>
  <si>
    <t xml:space="preserve">   Various Admin &amp; General Expenses</t>
  </si>
  <si>
    <t>401 - 921</t>
  </si>
  <si>
    <t xml:space="preserve">   Capitalized Admin &amp; General Expenses</t>
  </si>
  <si>
    <t>401 - 922</t>
  </si>
  <si>
    <t xml:space="preserve">   Outside Services Employed</t>
  </si>
  <si>
    <t>401 - 923</t>
  </si>
  <si>
    <t xml:space="preserve">   Property Insurance</t>
  </si>
  <si>
    <t>401 - 924</t>
  </si>
  <si>
    <t xml:space="preserve">   Injuries &amp; Damages</t>
  </si>
  <si>
    <t>401 - 925</t>
  </si>
  <si>
    <t xml:space="preserve">   Employee Pensions &amp; Benefits</t>
  </si>
  <si>
    <t>401 - 926</t>
  </si>
  <si>
    <t xml:space="preserve">   Regulatory Commission Expenses</t>
  </si>
  <si>
    <t>401 - 928</t>
  </si>
  <si>
    <t xml:space="preserve">   Miscellaneous General Expenses</t>
  </si>
  <si>
    <t>401 - 930</t>
  </si>
  <si>
    <t xml:space="preserve">   Informational Advertising</t>
  </si>
  <si>
    <t>401 - 930.01</t>
  </si>
  <si>
    <t>401 - 931</t>
  </si>
  <si>
    <t xml:space="preserve">   Maintenance Expenses</t>
  </si>
  <si>
    <t>402 - 935</t>
  </si>
  <si>
    <t>402 - 935.06</t>
  </si>
  <si>
    <t>Subtotal</t>
  </si>
  <si>
    <t>Statement Amounts</t>
  </si>
  <si>
    <t>Less: 930.01 (Included in 930.0)</t>
  </si>
  <si>
    <t>Labor &amp; Travel Expenses</t>
  </si>
  <si>
    <t>Repair Parts&amp; Supplies</t>
  </si>
  <si>
    <t>Maintenance of Load Management Switches</t>
  </si>
  <si>
    <t>Total Operating Expenses - Admin &amp; General</t>
  </si>
  <si>
    <t>Investment Tax Credit</t>
  </si>
  <si>
    <t>Accout 255</t>
  </si>
  <si>
    <t>Current Year ITC Amortization</t>
  </si>
  <si>
    <t xml:space="preserve">North Dakota Wind ITC </t>
  </si>
  <si>
    <t>Account 283 Subtotal</t>
  </si>
  <si>
    <t>Simple Average Calculation</t>
  </si>
  <si>
    <t>Total Utility Accumulated Deferred Income Taxes Per Books</t>
  </si>
  <si>
    <t>Total Steam Power Generation</t>
  </si>
  <si>
    <t>Total Maintenance</t>
  </si>
  <si>
    <t>Total Hydro</t>
  </si>
  <si>
    <t>Total IC</t>
  </si>
  <si>
    <t>Total Other Power Supply Expenses</t>
  </si>
  <si>
    <t>Transmission:</t>
  </si>
  <si>
    <t>Total Distribution Expense</t>
  </si>
  <si>
    <t>Total Customer Accounting</t>
  </si>
  <si>
    <t>Total Customer Service and Information Expense</t>
  </si>
  <si>
    <t>Total Sales Expense</t>
  </si>
  <si>
    <t>Total Other</t>
  </si>
  <si>
    <t>Other:</t>
  </si>
  <si>
    <t>General &amp; Intangible</t>
  </si>
  <si>
    <t>CapX 2020 CWIP 13-Month Average</t>
  </si>
  <si>
    <t>CAPX 2020 Bemidji</t>
  </si>
  <si>
    <t>CAPX 2020 Fargo</t>
  </si>
  <si>
    <t>CAPX 2020 Brookings</t>
  </si>
  <si>
    <t>(103487)</t>
  </si>
  <si>
    <t>Operating and Maintenance Expense</t>
  </si>
  <si>
    <t>Net Prefunded AFUDC on CWIP</t>
  </si>
  <si>
    <t>Project</t>
  </si>
  <si>
    <t>Total Transmission O&amp;M for Attachment O</t>
  </si>
  <si>
    <t xml:space="preserve">                  Total Transmission</t>
  </si>
  <si>
    <t xml:space="preserve">                  Less: FERC 575 &amp; 576</t>
  </si>
  <si>
    <t>Administrative &amp; General Expense</t>
  </si>
  <si>
    <t>Administrative &amp; General Expenses</t>
  </si>
  <si>
    <t>FERC Annual Fees:</t>
  </si>
  <si>
    <t>Filing Fees</t>
  </si>
  <si>
    <t>(1)</t>
  </si>
  <si>
    <t>(2)</t>
  </si>
  <si>
    <t>EPRI &amp; Regulatory Commission Expense &amp; Non-safety Ad:</t>
  </si>
  <si>
    <t>Regulatory Commission Expenses</t>
  </si>
  <si>
    <t>(3)</t>
  </si>
  <si>
    <t>Less: FERC Annual Fees</t>
  </si>
  <si>
    <t>Plus: Informational Advertising</t>
  </si>
  <si>
    <t>External Services - FERC Transmission Legal Fees</t>
  </si>
  <si>
    <t>Total A&amp;G Expenses</t>
  </si>
  <si>
    <t>BU</t>
  </si>
  <si>
    <t>CC</t>
  </si>
  <si>
    <t>Sub</t>
  </si>
  <si>
    <t>Misc</t>
  </si>
  <si>
    <t>100</t>
  </si>
  <si>
    <t>0570</t>
  </si>
  <si>
    <t>5101</t>
  </si>
  <si>
    <t>2500</t>
  </si>
  <si>
    <t>000000</t>
  </si>
  <si>
    <t>5100</t>
  </si>
  <si>
    <t>1100</t>
  </si>
  <si>
    <t>0690</t>
  </si>
  <si>
    <t>0850</t>
  </si>
  <si>
    <t>Meals</t>
  </si>
  <si>
    <t>2600</t>
  </si>
  <si>
    <t>Travel</t>
  </si>
  <si>
    <t>5103</t>
  </si>
  <si>
    <t>0000</t>
  </si>
  <si>
    <t>External Services</t>
  </si>
  <si>
    <t>0670</t>
  </si>
  <si>
    <t>5110</t>
  </si>
  <si>
    <t>1000</t>
  </si>
  <si>
    <t>Filing Fees and Assessments</t>
  </si>
  <si>
    <t>5106</t>
  </si>
  <si>
    <t>2000</t>
  </si>
  <si>
    <t xml:space="preserve">Total </t>
  </si>
  <si>
    <t>Less: Corporate Amounts</t>
  </si>
  <si>
    <t>Forecast</t>
  </si>
  <si>
    <t>Item</t>
  </si>
  <si>
    <t>Account</t>
  </si>
  <si>
    <t>Sub-Acct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</si>
  <si>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</si>
  <si>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</si>
  <si>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</si>
  <si>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</si>
  <si>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</si>
  <si>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</si>
  <si>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</si>
  <si>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</si>
  <si>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</si>
  <si>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</si>
  <si>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</si>
  <si>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Property Taxes</t>
  </si>
  <si>
    <t>1020 Hoot Lake Plant</t>
  </si>
  <si>
    <t>1100 Big Stone Plant</t>
  </si>
  <si>
    <t>1200 Coyote Plant</t>
  </si>
  <si>
    <t>1200 ND Conversion Tax</t>
  </si>
  <si>
    <t>1310 Hoot Lake Hydro</t>
  </si>
  <si>
    <t>1320 Wright Hydro</t>
  </si>
  <si>
    <t>1330 Pisgah Hydro</t>
  </si>
  <si>
    <t>1340 Dayton Hollow Hydro</t>
  </si>
  <si>
    <t>1350 Taplin Gorge Hydro</t>
  </si>
  <si>
    <t>1380 Bemidji Hydro</t>
  </si>
  <si>
    <t>1400 Jamestown CT</t>
  </si>
  <si>
    <t>1410 Lake Preston CT</t>
  </si>
  <si>
    <t>1430 Fergus Control Center Unit #1</t>
  </si>
  <si>
    <t>1440 Solway Combustion Turbine</t>
  </si>
  <si>
    <t>1600 Langdon</t>
  </si>
  <si>
    <t>1610 Ashtabula</t>
  </si>
  <si>
    <t>1620 Luverne</t>
  </si>
  <si>
    <t>T&amp;D and General Assets</t>
  </si>
  <si>
    <t>CAPX2020</t>
  </si>
  <si>
    <t>Others</t>
  </si>
  <si>
    <t>1980 Central Stores</t>
  </si>
  <si>
    <t>1990 Transportation</t>
  </si>
  <si>
    <t>Total Less Non-Utility Property Taxes</t>
  </si>
  <si>
    <t>0360</t>
  </si>
  <si>
    <t>0460</t>
  </si>
  <si>
    <t>Year</t>
  </si>
  <si>
    <t>Acct</t>
  </si>
  <si>
    <t>Acty</t>
  </si>
  <si>
    <t>Proj</t>
  </si>
  <si>
    <t>Co</t>
  </si>
  <si>
    <t>0310</t>
  </si>
  <si>
    <t>5615</t>
  </si>
  <si>
    <t>0320</t>
  </si>
  <si>
    <t>Total FERC Acct 561</t>
  </si>
  <si>
    <t>Totals</t>
  </si>
  <si>
    <t>(1)  Not included in Attachment O calculation.</t>
  </si>
  <si>
    <t>FERC Account 561</t>
  </si>
  <si>
    <t>Revenues</t>
  </si>
  <si>
    <t>ITA Deficiency Payments</t>
  </si>
  <si>
    <t>Wheeling</t>
  </si>
  <si>
    <t>MISO Tariff Revenue</t>
  </si>
  <si>
    <t>4110</t>
  </si>
  <si>
    <t>4540</t>
  </si>
  <si>
    <t>Rent from Electric Property:</t>
  </si>
  <si>
    <t>Less: Schedule 1 &amp; 2 Revenue</t>
  </si>
  <si>
    <t>Other Electric Revenue:</t>
  </si>
  <si>
    <t>Total Other Electric Revenue</t>
  </si>
  <si>
    <t>Less: Other Plant Related Taxes</t>
  </si>
  <si>
    <t xml:space="preserve">   Total Property Taxes</t>
  </si>
  <si>
    <t>Project (103487)</t>
  </si>
  <si>
    <t>MTEP No. 279</t>
  </si>
  <si>
    <t>MTEP No. 286</t>
  </si>
  <si>
    <t>MTEP No. 1203</t>
  </si>
  <si>
    <t>Project (103897)</t>
  </si>
  <si>
    <t>MTEP No. 1462</t>
  </si>
  <si>
    <t>13-Month Average CWIP and Plant Balances for GG Projects</t>
  </si>
  <si>
    <t>Total Depreciation Expense</t>
  </si>
  <si>
    <t>13-Month Average Accumulated Depreciation and Net Plant for GG Projects</t>
  </si>
  <si>
    <t>13-Month Net Plant Balance</t>
  </si>
  <si>
    <t>13-Month Average A/D</t>
  </si>
  <si>
    <t>Accumulated</t>
  </si>
  <si>
    <t>Depreciation</t>
  </si>
  <si>
    <t>Rugby - G380</t>
  </si>
  <si>
    <t>AQCS Big Stone Plant</t>
  </si>
  <si>
    <t>401 - 537 &amp; 538</t>
  </si>
  <si>
    <t>Rents</t>
  </si>
  <si>
    <t>401 - 540</t>
  </si>
  <si>
    <t>Average</t>
  </si>
  <si>
    <t>Unsecured Series A 2017 Senior Notes</t>
  </si>
  <si>
    <t>Unsecured Series B 2022 Senior Notes</t>
  </si>
  <si>
    <t>Unsecured Series C 2027 Senior Notes</t>
  </si>
  <si>
    <t>Series D 2037 Unsecured Senior Notes</t>
  </si>
  <si>
    <t>New 2011 December Debt/2021</t>
  </si>
  <si>
    <t>Loss/Gain on Reacquired Debt</t>
  </si>
  <si>
    <t xml:space="preserve">Less:  </t>
  </si>
  <si>
    <t>Schedule 26</t>
  </si>
  <si>
    <t>Total Other Electric Revenue w/o Wheeling &amp; Sch 26</t>
  </si>
  <si>
    <t>General &amp;</t>
  </si>
  <si>
    <t>(1)  See Detail below</t>
  </si>
  <si>
    <t>0760</t>
  </si>
  <si>
    <t>0100</t>
  </si>
  <si>
    <t>Remove Loss/Gain on Reacquired Debt</t>
  </si>
  <si>
    <t>Other Operating Revenues</t>
  </si>
  <si>
    <t>Otter Tail Power</t>
  </si>
  <si>
    <t>Code</t>
  </si>
  <si>
    <t>4045.0000.4560</t>
  </si>
  <si>
    <t>Other Power Supply Rev / Misc MISO Trans Rev</t>
  </si>
  <si>
    <t>4045.0010.4560</t>
  </si>
  <si>
    <t>Other Power Supply Rev / MISO Trans Rev Sched 1</t>
  </si>
  <si>
    <t>4045.0020.4560</t>
  </si>
  <si>
    <t>Other Power Supply Rev / MISO Trans Rev Sched 2</t>
  </si>
  <si>
    <t>4045.0070.4560</t>
  </si>
  <si>
    <t>Other Power Supply Rev / MISO Trans Rev Sched 7</t>
  </si>
  <si>
    <t>4045.0080.4560</t>
  </si>
  <si>
    <t>Other Power Supply Rev / MISO Trans Rev Sched 8</t>
  </si>
  <si>
    <t>4045.0240.4560</t>
  </si>
  <si>
    <t>Other Power Supply Rev / MISO Trans Rev Sched 24</t>
  </si>
  <si>
    <t>4045.0260.4560</t>
  </si>
  <si>
    <t>Other Power Supply Rev / MISO Trans Rev Sched 26</t>
  </si>
  <si>
    <t>Source:</t>
  </si>
  <si>
    <t>BSS - Brookings</t>
  </si>
  <si>
    <t>BSS - Ellendale</t>
  </si>
  <si>
    <t>MTEP No. 2220</t>
  </si>
  <si>
    <t>MTEP No. 2221</t>
  </si>
  <si>
    <t>0880</t>
  </si>
  <si>
    <t>0200</t>
  </si>
  <si>
    <t>4000</t>
  </si>
  <si>
    <t>0620</t>
  </si>
  <si>
    <t>0260</t>
  </si>
  <si>
    <t>0480</t>
  </si>
  <si>
    <t>Casselton-Buffalo 115kv Line</t>
  </si>
  <si>
    <t>Project (104761)</t>
  </si>
  <si>
    <t>Schedule 26a</t>
  </si>
  <si>
    <t>4045.0265.4560</t>
  </si>
  <si>
    <t>Other Power Supply Rev / MISO Trans Rev Sched 26a</t>
  </si>
  <si>
    <t>MTEP No. 3481</t>
  </si>
  <si>
    <t>&lt;=check</t>
  </si>
  <si>
    <t>13-Month Average CWIP and Plant Balances for MM Projects</t>
  </si>
  <si>
    <t>Accumulated Depreciation</t>
  </si>
  <si>
    <t>(1) CWIP Projects carry over from Page 3 - CWIP + PIS numbers from "PIS for Rider Projects-revised" in the backup workpaper folder</t>
  </si>
  <si>
    <t>(3) File "PIS for Rider Projects-revised" located in the backup workpapers folder</t>
  </si>
  <si>
    <t>Project (104593)</t>
  </si>
  <si>
    <t>Project (See Below)</t>
  </si>
  <si>
    <t>MTEP 1203 - CAPX Brookings consists of numerous Internal Project #'s.</t>
  </si>
  <si>
    <t>MTEP 286 - CAPX Fargo consists of numerous Internal Project #'s.</t>
  </si>
  <si>
    <t>Year 2013</t>
  </si>
  <si>
    <t>Project (104395 &amp; 104587)</t>
  </si>
  <si>
    <t>MTEP No. 3156</t>
  </si>
  <si>
    <t>Project 103487</t>
  </si>
  <si>
    <t>Project 104395 &amp; 104587</t>
  </si>
  <si>
    <t>Scenario</t>
  </si>
  <si>
    <t>Month</t>
  </si>
  <si>
    <t>Report</t>
  </si>
  <si>
    <t>Non-Plant Amortization</t>
  </si>
  <si>
    <t>COSS - NOI - Total Company</t>
  </si>
  <si>
    <t>COSS - WP - NOI - per Books</t>
  </si>
  <si>
    <t>COSS - WP - NOI - 12ME</t>
  </si>
  <si>
    <t>COSS - WP - RB - per Books</t>
  </si>
  <si>
    <t>COSS - WP - RB - 13MA</t>
  </si>
  <si>
    <t>COSS - Adjustment - Setup</t>
  </si>
  <si>
    <t>COSS - Labor Ratios</t>
  </si>
  <si>
    <t>COSS - Allocation Factors</t>
  </si>
  <si>
    <t>COSS - Effective Tax Rates</t>
  </si>
  <si>
    <t>Income Tax - Ms - Common</t>
  </si>
  <si>
    <t>Income Statement</t>
  </si>
  <si>
    <t>Balance Sheet</t>
  </si>
  <si>
    <t>Entity</t>
  </si>
  <si>
    <t>Minnesota State</t>
  </si>
  <si>
    <t>North Dakota State</t>
  </si>
  <si>
    <t>Intang</t>
  </si>
  <si>
    <t>General</t>
  </si>
  <si>
    <t>Pull from UI report- COSS WP - RB per Books</t>
  </si>
  <si>
    <t>Hydro Intangible</t>
  </si>
  <si>
    <t>Intangible Software</t>
  </si>
  <si>
    <t>Other Trans</t>
  </si>
  <si>
    <t>Other Dist</t>
  </si>
  <si>
    <t>For the 13 Months Ended December 31, 2014</t>
  </si>
  <si>
    <r>
      <rPr>
        <b/>
        <sz val="10"/>
        <rFont val="Arial MT"/>
      </rPr>
      <t>Source:</t>
    </r>
    <r>
      <rPr>
        <sz val="10"/>
        <rFont val="Arial MT"/>
      </rPr>
      <t xml:space="preserve"> Pull from UI Report "COSS - WP - NOI-per Books</t>
    </r>
  </si>
  <si>
    <t>Above Expenses</t>
  </si>
  <si>
    <t>UI Pull from O &amp; M by FERC</t>
  </si>
  <si>
    <t>O&amp;M by FERC</t>
  </si>
  <si>
    <t>Difference</t>
  </si>
  <si>
    <t>0860</t>
  </si>
  <si>
    <t>Pull from UI Report "COSS - WP - NOI-per Books</t>
  </si>
  <si>
    <t>Property Tax</t>
  </si>
  <si>
    <t>Casselton Buffalo</t>
  </si>
  <si>
    <t>Sheyenne Audubon</t>
  </si>
  <si>
    <t>Mapleton-Sheyenne</t>
  </si>
  <si>
    <t>NERC Compliance</t>
  </si>
  <si>
    <t>net change from YE 2013 to YE 2014</t>
  </si>
  <si>
    <t>Pull from UI report- COSS Labor Ratios</t>
  </si>
  <si>
    <t>Less: Regional Market Labor (1)</t>
  </si>
  <si>
    <t>Dividends</t>
  </si>
  <si>
    <t>Total Propriety Capital from UI Balance Sheet</t>
  </si>
  <si>
    <t xml:space="preserve">   Beginning Balance   (1)</t>
  </si>
  <si>
    <t>Contributed Capital (1)</t>
  </si>
  <si>
    <t xml:space="preserve">   Net Income (2)</t>
  </si>
  <si>
    <t xml:space="preserve">   Dividends (3)</t>
  </si>
  <si>
    <t>(2) Pull from UI report- Income Statement</t>
  </si>
  <si>
    <t>(3) Pull from UI report- Dividends</t>
  </si>
  <si>
    <t>Other Comprehensive Income (1)</t>
  </si>
  <si>
    <t>2028 Series</t>
  </si>
  <si>
    <t>2043 Series</t>
  </si>
  <si>
    <t>Pull from COSS-WP-NOI per Books FERC 428 and 428.1</t>
  </si>
  <si>
    <t>Pull from UI report- Property Tax</t>
  </si>
  <si>
    <t>Other Power Supply Rev / MISO Trans Rev Sched 9</t>
  </si>
  <si>
    <t>4045.0090.4560</t>
  </si>
  <si>
    <r>
      <t>Source:</t>
    </r>
    <r>
      <rPr>
        <sz val="10"/>
        <rFont val="Arial"/>
        <family val="2"/>
      </rPr>
      <t xml:space="preserve"> Pull from UI Report "COSS - WP - NOI-per Books</t>
    </r>
  </si>
  <si>
    <t>Project (104393 &amp; 104829)</t>
  </si>
  <si>
    <t>Income Tax - Ms - Common-DIT Bal Fed</t>
  </si>
  <si>
    <t>Info pulled from file labeled "CWIP for Rider Projects" located in backup workpapers, these amounts are from the working forecast updated 8/22/13</t>
  </si>
  <si>
    <t>See Below</t>
  </si>
  <si>
    <t>MTEP 286 - CAPX 2020  Fargo consists of numerous Internal Project #'s.</t>
  </si>
  <si>
    <t>Acct 190 From COSS WP - RB per Books report</t>
  </si>
  <si>
    <t>Acct 282 From COSS WP - RB per Books report</t>
  </si>
  <si>
    <t>Acct 283 From COSS WP - RB per Books report</t>
  </si>
  <si>
    <t>Effective Tax Rates</t>
  </si>
  <si>
    <t xml:space="preserve">(2) </t>
  </si>
  <si>
    <t>Tax Rates:</t>
  </si>
  <si>
    <t xml:space="preserve">(1) </t>
  </si>
  <si>
    <t>SD Special Hearing Fund Assessment Rate:</t>
  </si>
  <si>
    <t xml:space="preserve">  Federal</t>
  </si>
  <si>
    <t xml:space="preserve">  Minnesota</t>
  </si>
  <si>
    <t xml:space="preserve">  North Dakota</t>
  </si>
  <si>
    <t>Federal</t>
  </si>
  <si>
    <t xml:space="preserve">          ==&gt;  Minnesota</t>
  </si>
  <si>
    <t xml:space="preserve">  Income</t>
  </si>
  <si>
    <t xml:space="preserve">  MN Income Tax</t>
  </si>
  <si>
    <t xml:space="preserve">  Federal Tax Rate</t>
  </si>
  <si>
    <t xml:space="preserve">  Total Tax</t>
  </si>
  <si>
    <t xml:space="preserve">  Effective Tax Rates - MN</t>
  </si>
  <si>
    <t>Gross Revenue Conversion Factor:</t>
  </si>
  <si>
    <t>1 / (1 - Total ETR)</t>
  </si>
  <si>
    <t xml:space="preserve">          ==&gt;  North Dakota</t>
  </si>
  <si>
    <t xml:space="preserve">  ND / Federal Income Tax</t>
  </si>
  <si>
    <t xml:space="preserve">  Effective Tax Rates - ND</t>
  </si>
  <si>
    <t xml:space="preserve">          ==&gt;  South Dakota</t>
  </si>
  <si>
    <t xml:space="preserve">  Effective Tax Rates - SD</t>
  </si>
  <si>
    <t xml:space="preserve">    (No State Income Tax in South Dakota)</t>
  </si>
  <si>
    <t>SD Gross Revenue Conversion Factor:</t>
  </si>
  <si>
    <t xml:space="preserve">  (Including Recognition of SD Special Hearing Fund Assessment)</t>
  </si>
  <si>
    <t xml:space="preserve">      Where "X" = Gross Revenue Deficiency</t>
  </si>
  <si>
    <t xml:space="preserve">            "Y" = Conversion Factor</t>
  </si>
  <si>
    <t xml:space="preserve"> = SDPUC Special Hearing Fund Assessment</t>
  </si>
  <si>
    <t xml:space="preserve"> = Federal Tax Rate</t>
  </si>
  <si>
    <t>X = [X - .0015X - [(X - .0015X) * .34]] * Y</t>
  </si>
  <si>
    <t>X = [.9985X - (.9985X * .34)] * Y</t>
  </si>
  <si>
    <t>X = (.9985X - .33949X) * Y</t>
  </si>
  <si>
    <t>X = .65901XY</t>
  </si>
  <si>
    <t>1 = .65901Y</t>
  </si>
  <si>
    <t xml:space="preserve">Y = </t>
  </si>
  <si>
    <t xml:space="preserve">          ==&gt;  Total Company</t>
  </si>
  <si>
    <t xml:space="preserve">  Effective Tax Rates - System</t>
  </si>
  <si>
    <t>(4)</t>
  </si>
  <si>
    <t xml:space="preserve">UI - COSS - Effective Tax Rates report </t>
  </si>
  <si>
    <t>FERC revenue apportioned to all 3 states to use system tax rate in FERC filing, C-4, Page 2 of 2</t>
  </si>
  <si>
    <t>Otter Tail Corporation</t>
  </si>
  <si>
    <t>(Stand Alone)</t>
  </si>
  <si>
    <t>Effective Tax Rate</t>
  </si>
  <si>
    <t>Income</t>
  </si>
  <si>
    <t>Tax Expense Deductions</t>
  </si>
  <si>
    <t>Appotionment Factor (OTP Separate)</t>
  </si>
  <si>
    <t>Taxable Income</t>
  </si>
  <si>
    <t>Tax Rate</t>
  </si>
  <si>
    <t>Tax</t>
  </si>
  <si>
    <t>Rate to Use:  (Insert for Rounding)</t>
  </si>
  <si>
    <t>This is hard coded into UI  - it remains the same from year-to-year</t>
  </si>
  <si>
    <t xml:space="preserve">UI Income Tax - State Rates Report </t>
  </si>
  <si>
    <t>Comp</t>
  </si>
  <si>
    <t>Activity</t>
  </si>
  <si>
    <t>FERC1</t>
  </si>
  <si>
    <t>FERC2</t>
  </si>
  <si>
    <t>Dec-10 Bal</t>
  </si>
  <si>
    <t>Dec-09 Bal</t>
  </si>
  <si>
    <t>Dec-12 Bal</t>
  </si>
  <si>
    <t>Composite 030</t>
  </si>
  <si>
    <t>Composite 020</t>
  </si>
  <si>
    <t>Allocated to BU 030</t>
  </si>
  <si>
    <t>Allocated to BU 020-Energy Delivery Transmission</t>
  </si>
  <si>
    <t>(1) "CWIP and PIS Rider Projects for MM and GG Tabs"in the backup workpaper folder</t>
  </si>
  <si>
    <t>MTEP 2221 - BSS- Brookings consists of Internal Project #'s 104393, 104829, 105046 &amp; 105047.</t>
  </si>
  <si>
    <t>MIP - June 2014</t>
  </si>
  <si>
    <t>G645 Spiritwood</t>
  </si>
  <si>
    <t>2015 Simple Average Calculation</t>
  </si>
  <si>
    <t>December 2014</t>
  </si>
  <si>
    <t>January 2015</t>
  </si>
  <si>
    <t>For the 13 Months Ended December 31, 2015</t>
  </si>
  <si>
    <t xml:space="preserve"> 12 Month Ended 12/31/15</t>
  </si>
  <si>
    <t>Spiritwood Transmission Facilities Buyback-ND</t>
  </si>
  <si>
    <t>2014 Budget</t>
  </si>
  <si>
    <t>Used the 2014 Budget workpapers amounts and added 3% for the 2015 budget</t>
  </si>
  <si>
    <t>(2)  See Tab "Pages 9-11 - Funct"</t>
  </si>
  <si>
    <r>
      <t xml:space="preserve"> Less: </t>
    </r>
    <r>
      <rPr>
        <sz val="10"/>
        <rFont val="Arial"/>
        <family val="2"/>
      </rPr>
      <t>FERC Acct 5615 through 5617</t>
    </r>
  </si>
  <si>
    <t>(1) "2015 O &amp; M Report" located in Misc WP Folder.</t>
  </si>
  <si>
    <t>Average Thirteen Monthly Balances Year Ending December 31, 2015</t>
  </si>
  <si>
    <t>Dec-13 Bal</t>
  </si>
  <si>
    <t>Pull from COSS-WP-NOI per Books Line CI, Total Rent from Electric Property</t>
  </si>
  <si>
    <t>Budget Year 2015</t>
  </si>
  <si>
    <t>YE Accrual 2015</t>
  </si>
  <si>
    <t>MTEP No. 2750</t>
  </si>
  <si>
    <t>Project (5008)</t>
  </si>
  <si>
    <t>020</t>
  </si>
  <si>
    <t>South Dakota State</t>
  </si>
  <si>
    <t>Transmission: Miscellaneous Expense</t>
  </si>
  <si>
    <t>LSE Expense(Schedule 10)</t>
  </si>
  <si>
    <t>Post Retirement Benefits FAS 106  M-00300 found in Tax-Wide reports called "Income Tax - MS - Common - DIT Bal Fed" Lines BW and BX</t>
  </si>
  <si>
    <t>Subtract out SFAS 109 ADIT Credits-Prope Line AZ found in Tax-Wide reports "Income Tax - DIT Account Recon"</t>
  </si>
  <si>
    <t>Subtract out SFAS 109 ADIT Credits-Nonpr Line BC  found in Tax-Wide reports "Income Tax - DIT Account Recon"</t>
  </si>
  <si>
    <t xml:space="preserve">  General</t>
  </si>
  <si>
    <t>Total Depreciation expense from "COSS - WP - NOI per books</t>
  </si>
  <si>
    <t>Items not included in Att O:</t>
  </si>
  <si>
    <t>Gain on Wahpeton Office</t>
  </si>
  <si>
    <t>Airplane;</t>
  </si>
  <si>
    <t>Check to above</t>
  </si>
  <si>
    <t>Total Adjusted for General for COSS</t>
  </si>
  <si>
    <t>General Depreciation Recon: Found in COSS - WP - NOI per books</t>
  </si>
  <si>
    <t>Added Intangible Software</t>
  </si>
  <si>
    <t>Less Gain on Wagpeton office</t>
  </si>
  <si>
    <t>Less Airplane</t>
  </si>
  <si>
    <t>Total General for Att O</t>
  </si>
  <si>
    <t>Budget Year Ended 2015</t>
  </si>
  <si>
    <t>2015  Account 2525 -  Fed ITC Line KD on COSS Wp - RB per Books</t>
  </si>
  <si>
    <t>2014  Account 2525 -  Fed ITC Line KD on COSS Wp - RB per Books</t>
  </si>
  <si>
    <t>2015  Account 2525 -  ITC Wind Line KE on COSS Wp - RB per Books</t>
  </si>
  <si>
    <t>2014  Account 2525 -  ITC Wind Line KE on COSS Wp - RB per Books</t>
  </si>
  <si>
    <t>total FERC 561 from Funct</t>
  </si>
  <si>
    <t>Difference from Above</t>
  </si>
  <si>
    <t>FERC 575 from Funct</t>
  </si>
  <si>
    <t>2015 Budget for FERC 454</t>
  </si>
  <si>
    <t>From Funct</t>
  </si>
  <si>
    <t>(1) "Financial Stmt for Page 18-Equity" in backup workpapers</t>
  </si>
  <si>
    <t>-Subtract out SFAS 109 ADIT Account "1900.1895.9300"; Found in Tax - Wide reports "Income Tax - DIT Account Recon" Line AP</t>
  </si>
  <si>
    <t>Notes:</t>
  </si>
  <si>
    <t>1) Account - 5045.0100.5614</t>
  </si>
  <si>
    <t xml:space="preserve">2) See "MISO Sch 10 Expense Budget" file located in backup workpaper folder </t>
  </si>
  <si>
    <t>3) CC 760 submitted the budget for 2015</t>
  </si>
  <si>
    <t>Amount from Page 20a - FERC 454 Recon Line 89</t>
  </si>
  <si>
    <t>Schedule 26 and 26A amounts found on Att GG and MM of the current year</t>
  </si>
  <si>
    <t>All MISO revenue plus the projected year Schedule 26 and 26A amounts found on tab Page 20b - MISO Tariff Revenue</t>
  </si>
  <si>
    <t>RTO Expense Billed to LSE's</t>
  </si>
  <si>
    <t>Removal of LSE Expense Included in Transmission O&amp;M: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</si>
</sst>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  <numFmt numFmtId="166" formatCode="mm/dd/yy_)"/>
    <numFmt numFmtId="167" formatCode="hh:mm\ AM/PM_)"/>
    <numFmt numFmtId="168" formatCode="dd\-mmm\-yy_)"/>
    <numFmt numFmtId="169" formatCode="#,##0;\-#,##0;&quot;-&quot;"/>
    <numFmt numFmtId="170" formatCode="#,##0.00&quot;£&quot;_);\(#,##0.00&quot;£&quot;\)"/>
    <numFmt numFmtId="171" formatCode="mm/dd/yy"/>
    <numFmt numFmtId="172" formatCode="0.000%"/>
    <numFmt numFmtId="173" formatCode="0.000000_)"/>
    <numFmt numFmtId="174" formatCode="0_)"/>
    <numFmt numFmtId="175" formatCode="_(&quot;$&quot;* #,##0_);_(&quot;$&quot;* \(#,##0\);_(&quot;$&quot;* &quot;-&quot;??_);_(@_)"/>
    <numFmt numFmtId="176" formatCode="#,##0_);[Red]\(#,##0\);&quot; &quot;"/>
    <numFmt numFmtId="177" formatCode="0.0000_)"/>
    <numFmt numFmtId="178" formatCode="0.0_)"/>
    <numFmt numFmtId="179" formatCode="0.00_)"/>
    <numFmt numFmtId="180" formatCode="0.0%"/>
    <numFmt numFmtId="181" formatCode="0.0000%"/>
    <numFmt numFmtId="182" formatCode="0.000000"/>
    <numFmt numFmtId="183" formatCode="000"/>
    <numFmt numFmtId="184" formatCode="0000"/>
    <numFmt numFmtId="185" formatCode="000000"/>
    <numFmt numFmtId="186" formatCode="00000"/>
    <numFmt numFmtId="187" formatCode="_(* #,##0.000000_);_(* \(#,##0.000000\);_(* &quot;-&quot;??_);_(@_)"/>
  </numFmts>
  <fonts count="123">
    <font>
      <sz val="12"/>
      <name val="Arial M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 MT"/>
    </font>
    <font>
      <b/>
      <sz val="10"/>
      <name val="Arial MT"/>
    </font>
    <font>
      <sz val="10"/>
      <name val="Arial MT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2"/>
      <name val="TimesNewRomanPS"/>
    </font>
    <font>
      <sz val="10"/>
      <name val="TimesNewRomanPS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8"/>
      <name val="Helv"/>
    </font>
    <font>
      <b/>
      <sz val="8"/>
      <color indexed="8"/>
      <name val="Helv"/>
    </font>
    <font>
      <b/>
      <sz val="10"/>
      <color indexed="8"/>
      <name val="Arial"/>
      <family val="2"/>
    </font>
    <font>
      <b/>
      <sz val="12"/>
      <name val="Arial MT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MT"/>
    </font>
    <font>
      <sz val="12"/>
      <color indexed="8"/>
      <name val="Arial"/>
      <family val="2"/>
    </font>
    <font>
      <sz val="12"/>
      <color indexed="8"/>
      <name val="Arial MT"/>
    </font>
    <font>
      <b/>
      <sz val="12"/>
      <color indexed="8"/>
      <name val="TimesNewRomanPS"/>
    </font>
    <font>
      <sz val="12"/>
      <color indexed="8"/>
      <name val="TimesNewRomanPS"/>
    </font>
    <font>
      <sz val="12"/>
      <color indexed="8"/>
      <name val="Tahoma"/>
      <family val="2"/>
    </font>
    <font>
      <sz val="12"/>
      <color indexed="9"/>
      <name val="Tahoma"/>
      <family val="2"/>
    </font>
    <font>
      <sz val="12"/>
      <color indexed="20"/>
      <name val="Tahoma"/>
      <family val="2"/>
    </font>
    <font>
      <b/>
      <sz val="12"/>
      <color indexed="10"/>
      <name val="Tahoma"/>
      <family val="2"/>
    </font>
    <font>
      <b/>
      <sz val="12"/>
      <color indexed="9"/>
      <name val="Tahoma"/>
      <family val="2"/>
    </font>
    <font>
      <i/>
      <sz val="12"/>
      <color indexed="23"/>
      <name val="Tahoma"/>
      <family val="2"/>
    </font>
    <font>
      <sz val="12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2"/>
      <color indexed="62"/>
      <name val="Tahoma"/>
      <family val="2"/>
    </font>
    <font>
      <sz val="12"/>
      <color indexed="10"/>
      <name val="Tahoma"/>
      <family val="2"/>
    </font>
    <font>
      <sz val="12"/>
      <color indexed="19"/>
      <name val="Tahoma"/>
      <family val="2"/>
    </font>
    <font>
      <b/>
      <sz val="12"/>
      <color indexed="63"/>
      <name val="Tahoma"/>
      <family val="2"/>
    </font>
    <font>
      <b/>
      <sz val="18"/>
      <color indexed="62"/>
      <name val="Cambria"/>
      <family val="2"/>
    </font>
    <font>
      <b/>
      <sz val="12"/>
      <color indexed="8"/>
      <name val="Tahoma"/>
      <family val="2"/>
    </font>
    <font>
      <sz val="10"/>
      <color indexed="8"/>
      <name val="MS Sans Serif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rebuchet MS"/>
      <family val="2"/>
    </font>
    <font>
      <sz val="10"/>
      <color theme="4" tint="-0.249977111117893"/>
      <name val="Arial"/>
      <family val="2"/>
    </font>
    <font>
      <b/>
      <sz val="10"/>
      <color rgb="FFFF0000"/>
      <name val="Arial MT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8"/>
      <color indexed="56"/>
      <name val="Cambria"/>
      <family val="2"/>
    </font>
    <font>
      <b/>
      <sz val="12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52"/>
      <name val="Tahoma"/>
      <family val="2"/>
    </font>
    <font>
      <sz val="12"/>
      <color indexed="60"/>
      <name val="Tahoma"/>
      <family val="2"/>
    </font>
    <font>
      <sz val="10"/>
      <color theme="1"/>
      <name val="Arial MT"/>
    </font>
    <font>
      <sz val="10"/>
      <color theme="1"/>
      <name val="Arial MT"/>
      <family val="2"/>
    </font>
    <font>
      <b/>
      <sz val="10"/>
      <color theme="1"/>
      <name val="Arial MT"/>
    </font>
    <font>
      <b/>
      <sz val="10"/>
      <color theme="1"/>
      <name val="Arial MT"/>
      <family val="2"/>
    </font>
    <font>
      <sz val="12"/>
      <color theme="1"/>
      <name val="Arial MT"/>
    </font>
    <font>
      <sz val="10"/>
      <color theme="3" tint="-0.499984740745262"/>
      <name val="Arial MT"/>
    </font>
    <font>
      <u val="double"/>
      <sz val="10"/>
      <color theme="1"/>
      <name val="Arial MT"/>
      <family val="2"/>
    </font>
    <font>
      <sz val="10"/>
      <color theme="1"/>
      <name val="Courier"/>
      <family val="3"/>
    </font>
    <font>
      <sz val="10"/>
      <color rgb="FF00B050"/>
      <name val="Arial"/>
      <family val="2"/>
    </font>
    <font>
      <sz val="10"/>
      <color rgb="FF0070C0"/>
      <name val="Arial MT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Arial MT"/>
    </font>
    <font>
      <sz val="10"/>
      <color theme="4" tint="-0.249977111117893"/>
      <name val="Arial MT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Arial MT"/>
      <family val="2"/>
    </font>
    <font>
      <sz val="10"/>
      <color theme="1"/>
      <name val="Calibri"/>
      <family val="2"/>
      <scheme val="minor"/>
    </font>
    <font>
      <sz val="12"/>
      <name val="Arial MT"/>
      <family val="2"/>
    </font>
  </fonts>
  <fills count="6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9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31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  <border>
      <left/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653">
    <xf numFmtId="0" fontId="0" fillId="0" borderId="0"/>
    <xf numFmtId="0" fontId="50" fillId="2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4" borderId="0" applyNumberFormat="0" applyBorder="0" applyAlignment="0" applyProtection="0"/>
    <xf numFmtId="0" fontId="50" fillId="9" borderId="0" applyNumberFormat="0" applyBorder="0" applyAlignment="0" applyProtection="0"/>
    <xf numFmtId="0" fontId="50" fillId="3" borderId="0" applyNumberFormat="0" applyBorder="0" applyAlignment="0" applyProtection="0"/>
    <xf numFmtId="0" fontId="50" fillId="8" borderId="0" applyNumberFormat="0" applyBorder="0" applyAlignment="0" applyProtection="0"/>
    <xf numFmtId="0" fontId="50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1" fillId="3" borderId="0" applyNumberFormat="0" applyBorder="0" applyAlignment="0" applyProtection="0"/>
    <xf numFmtId="0" fontId="51" fillId="8" borderId="0" applyNumberFormat="0" applyBorder="0" applyAlignment="0" applyProtection="0"/>
    <xf numFmtId="0" fontId="51" fillId="4" borderId="0" applyNumberFormat="0" applyBorder="0" applyAlignment="0" applyProtection="0"/>
    <xf numFmtId="0" fontId="51" fillId="13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1" fillId="15" borderId="0" applyNumberFormat="0" applyBorder="0" applyAlignment="0" applyProtection="0"/>
    <xf numFmtId="0" fontId="51" fillId="12" borderId="0" applyNumberFormat="0" applyBorder="0" applyAlignment="0" applyProtection="0"/>
    <xf numFmtId="0" fontId="51" fillId="14" borderId="0" applyNumberFormat="0" applyBorder="0" applyAlignment="0" applyProtection="0"/>
    <xf numFmtId="0" fontId="52" fillId="6" borderId="0" applyNumberFormat="0" applyBorder="0" applyAlignment="0" applyProtection="0"/>
    <xf numFmtId="0" fontId="31" fillId="0" borderId="1">
      <alignment horizontal="right"/>
    </xf>
    <xf numFmtId="169" fontId="29" fillId="0" borderId="0" applyFill="0" applyBorder="0" applyAlignment="0"/>
    <xf numFmtId="0" fontId="53" fillId="16" borderId="2" applyNumberFormat="0" applyAlignment="0" applyProtection="0"/>
    <xf numFmtId="0" fontId="54" fillId="17" borderId="3" applyNumberFormat="0" applyAlignment="0" applyProtection="0"/>
    <xf numFmtId="43" fontId="26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1" fillId="0" borderId="0"/>
    <xf numFmtId="44" fontId="3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69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35" fillId="0" borderId="0" applyNumberFormat="0" applyAlignment="0">
      <alignment horizontal="left"/>
    </xf>
    <xf numFmtId="0" fontId="55" fillId="0" borderId="0" applyNumberFormat="0" applyFill="0" applyBorder="0" applyAlignment="0" applyProtection="0"/>
    <xf numFmtId="0" fontId="56" fillId="8" borderId="0" applyNumberFormat="0" applyBorder="0" applyAlignment="0" applyProtection="0"/>
    <xf numFmtId="38" fontId="36" fillId="18" borderId="0" applyNumberFormat="0" applyBorder="0" applyAlignment="0" applyProtection="0"/>
    <xf numFmtId="0" fontId="37" fillId="0" borderId="4" applyNumberFormat="0" applyAlignment="0" applyProtection="0">
      <alignment horizontal="left" vertical="center"/>
    </xf>
    <xf numFmtId="0" fontId="37" fillId="0" borderId="5">
      <alignment horizontal="left" vertical="center"/>
    </xf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10" fontId="36" fillId="19" borderId="9" applyNumberFormat="0" applyBorder="0" applyAlignment="0" applyProtection="0"/>
    <xf numFmtId="0" fontId="60" fillId="9" borderId="2" applyNumberFormat="0" applyAlignment="0" applyProtection="0"/>
    <xf numFmtId="0" fontId="61" fillId="0" borderId="10" applyNumberFormat="0" applyFill="0" applyAlignment="0" applyProtection="0"/>
    <xf numFmtId="0" fontId="62" fillId="9" borderId="0" applyNumberFormat="0" applyBorder="0" applyAlignment="0" applyProtection="0"/>
    <xf numFmtId="170" fontId="30" fillId="0" borderId="0"/>
    <xf numFmtId="17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9" fillId="0" borderId="0"/>
    <xf numFmtId="0" fontId="27" fillId="0" borderId="0"/>
    <xf numFmtId="0" fontId="69" fillId="0" borderId="0"/>
    <xf numFmtId="0" fontId="69" fillId="0" borderId="0"/>
    <xf numFmtId="0" fontId="32" fillId="0" borderId="0"/>
    <xf numFmtId="0" fontId="32" fillId="0" borderId="0"/>
    <xf numFmtId="0" fontId="32" fillId="0" borderId="0"/>
    <xf numFmtId="0" fontId="69" fillId="0" borderId="0"/>
    <xf numFmtId="0" fontId="32" fillId="0" borderId="0"/>
    <xf numFmtId="0" fontId="6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2" fillId="0" borderId="0"/>
    <xf numFmtId="0" fontId="6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2" fillId="0" borderId="0"/>
    <xf numFmtId="0" fontId="27" fillId="0" borderId="0"/>
    <xf numFmtId="0" fontId="69" fillId="0" borderId="0"/>
    <xf numFmtId="0" fontId="27" fillId="0" borderId="0"/>
    <xf numFmtId="0" fontId="27" fillId="0" borderId="0"/>
    <xf numFmtId="0" fontId="27" fillId="0" borderId="0"/>
    <xf numFmtId="0" fontId="6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9" fillId="0" borderId="0"/>
    <xf numFmtId="0" fontId="27" fillId="0" borderId="0"/>
    <xf numFmtId="0" fontId="32" fillId="0" borderId="0"/>
    <xf numFmtId="0" fontId="66" fillId="0" borderId="0"/>
    <xf numFmtId="0" fontId="6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9" fontId="23" fillId="0" borderId="0"/>
    <xf numFmtId="39" fontId="23" fillId="0" borderId="0"/>
    <xf numFmtId="0" fontId="32" fillId="0" borderId="0"/>
    <xf numFmtId="0" fontId="6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3" fillId="0" borderId="0"/>
    <xf numFmtId="39" fontId="23" fillId="0" borderId="0"/>
    <xf numFmtId="0" fontId="32" fillId="0" borderId="0"/>
    <xf numFmtId="0" fontId="69" fillId="0" borderId="0"/>
    <xf numFmtId="0" fontId="27" fillId="0" borderId="0"/>
    <xf numFmtId="0" fontId="27" fillId="0" borderId="0"/>
    <xf numFmtId="0" fontId="27" fillId="0" borderId="0"/>
    <xf numFmtId="0" fontId="69" fillId="0" borderId="0"/>
    <xf numFmtId="0" fontId="27" fillId="0" borderId="0"/>
    <xf numFmtId="0" fontId="69" fillId="0" borderId="0"/>
    <xf numFmtId="0" fontId="27" fillId="0" borderId="0"/>
    <xf numFmtId="0" fontId="69" fillId="0" borderId="0"/>
    <xf numFmtId="0" fontId="27" fillId="0" borderId="0"/>
    <xf numFmtId="0" fontId="69" fillId="0" borderId="0"/>
    <xf numFmtId="0" fontId="27" fillId="0" borderId="0"/>
    <xf numFmtId="0" fontId="69" fillId="0" borderId="0"/>
    <xf numFmtId="0" fontId="27" fillId="0" borderId="0"/>
    <xf numFmtId="0" fontId="69" fillId="0" borderId="0"/>
    <xf numFmtId="0" fontId="27" fillId="0" borderId="0"/>
    <xf numFmtId="0" fontId="69" fillId="0" borderId="0"/>
    <xf numFmtId="0" fontId="27" fillId="0" borderId="0"/>
    <xf numFmtId="0" fontId="32" fillId="0" borderId="0"/>
    <xf numFmtId="0" fontId="27" fillId="0" borderId="0"/>
    <xf numFmtId="0" fontId="69" fillId="0" borderId="0"/>
    <xf numFmtId="0" fontId="69" fillId="0" borderId="0"/>
    <xf numFmtId="0" fontId="27" fillId="0" borderId="0"/>
    <xf numFmtId="0" fontId="32" fillId="0" borderId="0"/>
    <xf numFmtId="0" fontId="27" fillId="0" borderId="0"/>
    <xf numFmtId="0" fontId="32" fillId="0" borderId="0"/>
    <xf numFmtId="0" fontId="27" fillId="0" borderId="0"/>
    <xf numFmtId="0" fontId="32" fillId="0" borderId="0"/>
    <xf numFmtId="0" fontId="27" fillId="0" borderId="0"/>
    <xf numFmtId="0" fontId="32" fillId="0" borderId="0"/>
    <xf numFmtId="0" fontId="27" fillId="0" borderId="0"/>
    <xf numFmtId="0" fontId="32" fillId="0" borderId="0"/>
    <xf numFmtId="0" fontId="27" fillId="0" borderId="0"/>
    <xf numFmtId="39" fontId="23" fillId="0" borderId="0"/>
    <xf numFmtId="0" fontId="27" fillId="0" borderId="0"/>
    <xf numFmtId="39" fontId="23" fillId="0" borderId="0"/>
    <xf numFmtId="0" fontId="27" fillId="0" borderId="0"/>
    <xf numFmtId="39" fontId="23" fillId="0" borderId="0"/>
    <xf numFmtId="0" fontId="27" fillId="0" borderId="0"/>
    <xf numFmtId="39" fontId="23" fillId="0" borderId="0"/>
    <xf numFmtId="0" fontId="27" fillId="0" borderId="0"/>
    <xf numFmtId="0" fontId="27" fillId="0" borderId="0"/>
    <xf numFmtId="39" fontId="23" fillId="0" borderId="0"/>
    <xf numFmtId="0" fontId="27" fillId="0" borderId="0"/>
    <xf numFmtId="39" fontId="23" fillId="0" borderId="0"/>
    <xf numFmtId="0" fontId="27" fillId="0" borderId="0"/>
    <xf numFmtId="39" fontId="23" fillId="0" borderId="0"/>
    <xf numFmtId="0" fontId="27" fillId="0" borderId="0"/>
    <xf numFmtId="39" fontId="23" fillId="0" borderId="0"/>
    <xf numFmtId="0" fontId="27" fillId="0" borderId="0"/>
    <xf numFmtId="39" fontId="23" fillId="0" borderId="0"/>
    <xf numFmtId="0" fontId="27" fillId="0" borderId="0"/>
    <xf numFmtId="39" fontId="23" fillId="0" borderId="0"/>
    <xf numFmtId="0" fontId="27" fillId="0" borderId="0"/>
    <xf numFmtId="39" fontId="23" fillId="0" borderId="0"/>
    <xf numFmtId="0" fontId="27" fillId="0" borderId="0"/>
    <xf numFmtId="39" fontId="23" fillId="0" borderId="0"/>
    <xf numFmtId="0" fontId="27" fillId="0" borderId="0"/>
    <xf numFmtId="39" fontId="23" fillId="0" borderId="0"/>
    <xf numFmtId="0" fontId="27" fillId="0" borderId="0"/>
    <xf numFmtId="0" fontId="69" fillId="0" borderId="0"/>
    <xf numFmtId="0" fontId="27" fillId="0" borderId="0"/>
    <xf numFmtId="39" fontId="23" fillId="0" borderId="0"/>
    <xf numFmtId="0" fontId="27" fillId="0" borderId="0"/>
    <xf numFmtId="39" fontId="23" fillId="0" borderId="0"/>
    <xf numFmtId="0" fontId="27" fillId="0" borderId="0"/>
    <xf numFmtId="39" fontId="23" fillId="0" borderId="0"/>
    <xf numFmtId="0" fontId="27" fillId="0" borderId="0"/>
    <xf numFmtId="39" fontId="2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3" fillId="5" borderId="11" applyNumberFormat="0" applyFont="0" applyAlignment="0" applyProtection="0"/>
    <xf numFmtId="0" fontId="32" fillId="5" borderId="11" applyNumberFormat="0" applyFont="0" applyAlignment="0" applyProtection="0"/>
    <xf numFmtId="0" fontId="32" fillId="5" borderId="11" applyNumberFormat="0" applyFont="0" applyAlignment="0" applyProtection="0"/>
    <xf numFmtId="0" fontId="63" fillId="16" borderId="12" applyNumberFormat="0" applyAlignment="0" applyProtection="0"/>
    <xf numFmtId="9" fontId="23" fillId="0" borderId="0" applyFont="0" applyFill="0" applyBorder="0" applyAlignment="0" applyProtection="0"/>
    <xf numFmtId="10" fontId="30" fillId="0" borderId="0" applyFont="0" applyFill="0" applyBorder="0" applyAlignment="0" applyProtection="0"/>
    <xf numFmtId="10" fontId="2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171" fontId="38" fillId="0" borderId="0" applyNumberFormat="0" applyFill="0" applyBorder="0" applyAlignment="0" applyProtection="0">
      <alignment horizontal="left"/>
    </xf>
    <xf numFmtId="40" fontId="39" fillId="0" borderId="0" applyBorder="0">
      <alignment horizontal="right"/>
    </xf>
    <xf numFmtId="0" fontId="64" fillId="0" borderId="0" applyNumberFormat="0" applyFill="0" applyBorder="0" applyAlignment="0" applyProtection="0"/>
    <xf numFmtId="0" fontId="65" fillId="0" borderId="13" applyNumberFormat="0" applyFill="0" applyAlignment="0" applyProtection="0"/>
    <xf numFmtId="0" fontId="61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7" applyNumberFormat="0" applyFill="0" applyAlignment="0" applyProtection="0"/>
    <xf numFmtId="0" fontId="75" fillId="0" borderId="68" applyNumberFormat="0" applyFill="0" applyAlignment="0" applyProtection="0"/>
    <xf numFmtId="0" fontId="76" fillId="0" borderId="69" applyNumberFormat="0" applyFill="0" applyAlignment="0" applyProtection="0"/>
    <xf numFmtId="0" fontId="76" fillId="0" borderId="0" applyNumberFormat="0" applyFill="0" applyBorder="0" applyAlignment="0" applyProtection="0"/>
    <xf numFmtId="0" fontId="77" fillId="23" borderId="0" applyNumberFormat="0" applyBorder="0" applyAlignment="0" applyProtection="0"/>
    <xf numFmtId="0" fontId="78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70" applyNumberFormat="0" applyAlignment="0" applyProtection="0"/>
    <xf numFmtId="0" fontId="81" fillId="27" borderId="71" applyNumberFormat="0" applyAlignment="0" applyProtection="0"/>
    <xf numFmtId="0" fontId="82" fillId="27" borderId="70" applyNumberFormat="0" applyAlignment="0" applyProtection="0"/>
    <xf numFmtId="0" fontId="83" fillId="0" borderId="72" applyNumberFormat="0" applyFill="0" applyAlignment="0" applyProtection="0"/>
    <xf numFmtId="0" fontId="84" fillId="28" borderId="73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75" applyNumberFormat="0" applyFill="0" applyAlignment="0" applyProtection="0"/>
    <xf numFmtId="0" fontId="88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4" borderId="0" applyNumberFormat="0" applyBorder="0" applyAlignment="0" applyProtection="0"/>
    <xf numFmtId="0" fontId="88" fillId="45" borderId="0" applyNumberFormat="0" applyBorder="0" applyAlignment="0" applyProtection="0"/>
    <xf numFmtId="0" fontId="88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88" fillId="49" borderId="0" applyNumberFormat="0" applyBorder="0" applyAlignment="0" applyProtection="0"/>
    <xf numFmtId="0" fontId="88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2" borderId="0" applyNumberFormat="0" applyBorder="0" applyAlignment="0" applyProtection="0"/>
    <xf numFmtId="0" fontId="88" fillId="53" borderId="0" applyNumberFormat="0" applyBorder="0" applyAlignment="0" applyProtection="0"/>
    <xf numFmtId="0" fontId="22" fillId="0" borderId="0"/>
    <xf numFmtId="0" fontId="22" fillId="0" borderId="0"/>
    <xf numFmtId="0" fontId="22" fillId="29" borderId="74" applyNumberFormat="0" applyFont="0" applyAlignment="0" applyProtection="0"/>
    <xf numFmtId="0" fontId="22" fillId="0" borderId="0"/>
    <xf numFmtId="0" fontId="21" fillId="0" borderId="0"/>
    <xf numFmtId="0" fontId="21" fillId="0" borderId="0"/>
    <xf numFmtId="0" fontId="21" fillId="29" borderId="74" applyNumberFormat="0" applyFont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29" borderId="74" applyNumberFormat="0" applyFont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51" borderId="0" applyNumberFormat="0" applyBorder="0" applyAlignment="0" applyProtection="0"/>
    <xf numFmtId="0" fontId="20" fillId="52" borderId="0" applyNumberFormat="0" applyBorder="0" applyAlignment="0" applyProtection="0"/>
    <xf numFmtId="0" fontId="19" fillId="0" borderId="0"/>
    <xf numFmtId="0" fontId="19" fillId="0" borderId="0"/>
    <xf numFmtId="0" fontId="19" fillId="29" borderId="74" applyNumberFormat="0" applyFont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8" fillId="0" borderId="0"/>
    <xf numFmtId="0" fontId="18" fillId="29" borderId="74" applyNumberFormat="0" applyFont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51" borderId="0" applyNumberFormat="0" applyBorder="0" applyAlignment="0" applyProtection="0"/>
    <xf numFmtId="0" fontId="18" fillId="52" borderId="0" applyNumberFormat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29" borderId="74" applyNumberFormat="0" applyFont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0" borderId="0"/>
    <xf numFmtId="0" fontId="17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89" fillId="0" borderId="0"/>
    <xf numFmtId="0" fontId="89" fillId="0" borderId="0"/>
    <xf numFmtId="0" fontId="89" fillId="0" borderId="0"/>
    <xf numFmtId="44" fontId="16" fillId="0" borderId="0" applyFont="0" applyFill="0" applyBorder="0" applyAlignment="0" applyProtection="0"/>
    <xf numFmtId="0" fontId="14" fillId="0" borderId="0"/>
    <xf numFmtId="0" fontId="23" fillId="0" borderId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9" borderId="74" applyNumberFormat="0" applyFont="0" applyAlignment="0" applyProtection="0"/>
    <xf numFmtId="0" fontId="13" fillId="0" borderId="0"/>
    <xf numFmtId="0" fontId="13" fillId="0" borderId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0" borderId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0" borderId="0"/>
    <xf numFmtId="0" fontId="13" fillId="47" borderId="0" applyNumberFormat="0" applyBorder="0" applyAlignment="0" applyProtection="0"/>
    <xf numFmtId="0" fontId="13" fillId="48" borderId="0" applyNumberFormat="0" applyBorder="0" applyAlignment="0" applyProtection="0"/>
    <xf numFmtId="0" fontId="13" fillId="0" borderId="0"/>
    <xf numFmtId="0" fontId="13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29" borderId="74" applyNumberFormat="0" applyFont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9" borderId="74" applyNumberFormat="0" applyFont="0" applyAlignment="0" applyProtection="0"/>
    <xf numFmtId="0" fontId="12" fillId="0" borderId="0"/>
    <xf numFmtId="0" fontId="12" fillId="0" borderId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0" borderId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0" borderId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0" borderId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0" applyNumberFormat="0" applyBorder="0" applyAlignment="0" applyProtection="0"/>
    <xf numFmtId="0" fontId="50" fillId="55" borderId="0" applyNumberFormat="0" applyBorder="0" applyAlignment="0" applyProtection="0"/>
    <xf numFmtId="0" fontId="50" fillId="2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50" fillId="56" borderId="0" applyNumberFormat="0" applyBorder="0" applyAlignment="0" applyProtection="0"/>
    <xf numFmtId="0" fontId="50" fillId="5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43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51" borderId="0" applyNumberFormat="0" applyBorder="0" applyAlignment="0" applyProtection="0"/>
    <xf numFmtId="0" fontId="50" fillId="7" borderId="0" applyNumberFormat="0" applyBorder="0" applyAlignment="0" applyProtection="0"/>
    <xf numFmtId="0" fontId="50" fillId="5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32" borderId="0" applyNumberFormat="0" applyBorder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50" fillId="57" borderId="0" applyNumberFormat="0" applyBorder="0" applyAlignment="0" applyProtection="0"/>
    <xf numFmtId="0" fontId="50" fillId="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4" borderId="0" applyNumberFormat="0" applyBorder="0" applyAlignment="0" applyProtection="0"/>
    <xf numFmtId="0" fontId="50" fillId="6" borderId="0" applyNumberFormat="0" applyBorder="0" applyAlignment="0" applyProtection="0"/>
    <xf numFmtId="0" fontId="50" fillId="3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8" borderId="0" applyNumberFormat="0" applyBorder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52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51" fillId="58" borderId="0" applyNumberFormat="0" applyBorder="0" applyAlignment="0" applyProtection="0"/>
    <xf numFmtId="0" fontId="51" fillId="8" borderId="0" applyNumberFormat="0" applyBorder="0" applyAlignment="0" applyProtection="0"/>
    <xf numFmtId="0" fontId="51" fillId="4" borderId="0" applyNumberFormat="0" applyBorder="0" applyAlignment="0" applyProtection="0"/>
    <xf numFmtId="0" fontId="51" fillId="11" borderId="0" applyNumberFormat="0" applyBorder="0" applyAlignment="0" applyProtection="0"/>
    <xf numFmtId="0" fontId="51" fillId="57" borderId="0" applyNumberFormat="0" applyBorder="0" applyAlignment="0" applyProtection="0"/>
    <xf numFmtId="0" fontId="51" fillId="10" borderId="0" applyNumberFormat="0" applyBorder="0" applyAlignment="0" applyProtection="0"/>
    <xf numFmtId="0" fontId="51" fillId="59" borderId="0" applyNumberFormat="0" applyBorder="0" applyAlignment="0" applyProtection="0"/>
    <xf numFmtId="0" fontId="51" fillId="3" borderId="0" applyNumberFormat="0" applyBorder="0" applyAlignment="0" applyProtection="0"/>
    <xf numFmtId="0" fontId="51" fillId="12" borderId="0" applyNumberFormat="0" applyBorder="0" applyAlignment="0" applyProtection="0"/>
    <xf numFmtId="0" fontId="51" fillId="8" borderId="0" applyNumberFormat="0" applyBorder="0" applyAlignment="0" applyProtection="0"/>
    <xf numFmtId="0" fontId="51" fillId="60" borderId="0" applyNumberFormat="0" applyBorder="0" applyAlignment="0" applyProtection="0"/>
    <xf numFmtId="0" fontId="51" fillId="4" borderId="0" applyNumberFormat="0" applyBorder="0" applyAlignment="0" applyProtection="0"/>
    <xf numFmtId="0" fontId="51" fillId="61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1" borderId="0" applyNumberFormat="0" applyBorder="0" applyAlignment="0" applyProtection="0"/>
    <xf numFmtId="0" fontId="51" fillId="62" borderId="0" applyNumberFormat="0" applyBorder="0" applyAlignment="0" applyProtection="0"/>
    <xf numFmtId="0" fontId="51" fillId="10" borderId="0" applyNumberFormat="0" applyBorder="0" applyAlignment="0" applyProtection="0"/>
    <xf numFmtId="0" fontId="51" fillId="59" borderId="0" applyNumberFormat="0" applyBorder="0" applyAlignment="0" applyProtection="0"/>
    <xf numFmtId="0" fontId="51" fillId="15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2" fillId="3" borderId="0" applyNumberFormat="0" applyBorder="0" applyAlignment="0" applyProtection="0"/>
    <xf numFmtId="0" fontId="52" fillId="6" borderId="0" applyNumberFormat="0" applyBorder="0" applyAlignment="0" applyProtection="0"/>
    <xf numFmtId="0" fontId="97" fillId="63" borderId="2" applyNumberFormat="0" applyAlignment="0" applyProtection="0"/>
    <xf numFmtId="0" fontId="97" fillId="63" borderId="2" applyNumberFormat="0" applyAlignment="0" applyProtection="0"/>
    <xf numFmtId="0" fontId="53" fillId="16" borderId="2" applyNumberFormat="0" applyAlignment="0" applyProtection="0"/>
    <xf numFmtId="0" fontId="53" fillId="16" borderId="2" applyNumberFormat="0" applyAlignment="0" applyProtection="0"/>
    <xf numFmtId="0" fontId="53" fillId="16" borderId="2" applyNumberFormat="0" applyAlignment="0" applyProtection="0"/>
    <xf numFmtId="41" fontId="3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2" fillId="0" borderId="0" applyFont="0" applyFill="0" applyBorder="0" applyAlignment="0" applyProtection="0"/>
    <xf numFmtId="7" fontId="33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56" fillId="56" borderId="0" applyNumberFormat="0" applyBorder="0" applyAlignment="0" applyProtection="0"/>
    <xf numFmtId="0" fontId="56" fillId="8" borderId="0" applyNumberFormat="0" applyBorder="0" applyAlignment="0" applyProtection="0"/>
    <xf numFmtId="0" fontId="37" fillId="0" borderId="5">
      <alignment horizontal="left" vertical="center"/>
    </xf>
    <xf numFmtId="0" fontId="98" fillId="0" borderId="78" applyNumberFormat="0" applyFill="0" applyAlignment="0" applyProtection="0"/>
    <xf numFmtId="0" fontId="57" fillId="0" borderId="6" applyNumberFormat="0" applyFill="0" applyAlignment="0" applyProtection="0"/>
    <xf numFmtId="0" fontId="99" fillId="0" borderId="79" applyNumberFormat="0" applyFill="0" applyAlignment="0" applyProtection="0"/>
    <xf numFmtId="0" fontId="58" fillId="0" borderId="7" applyNumberFormat="0" applyFill="0" applyAlignment="0" applyProtection="0"/>
    <xf numFmtId="0" fontId="100" fillId="0" borderId="80" applyNumberFormat="0" applyFill="0" applyAlignment="0" applyProtection="0"/>
    <xf numFmtId="0" fontId="59" fillId="0" borderId="8" applyNumberFormat="0" applyFill="0" applyAlignment="0" applyProtection="0"/>
    <xf numFmtId="0" fontId="10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0" fontId="36" fillId="19" borderId="9" applyNumberFormat="0" applyBorder="0" applyAlignment="0" applyProtection="0"/>
    <xf numFmtId="0" fontId="60" fillId="7" borderId="2" applyNumberFormat="0" applyAlignment="0" applyProtection="0"/>
    <xf numFmtId="0" fontId="60" fillId="7" borderId="2" applyNumberFormat="0" applyAlignment="0" applyProtection="0"/>
    <xf numFmtId="0" fontId="60" fillId="9" borderId="2" applyNumberFormat="0" applyAlignment="0" applyProtection="0"/>
    <xf numFmtId="0" fontId="60" fillId="7" borderId="2" applyNumberFormat="0" applyAlignment="0" applyProtection="0"/>
    <xf numFmtId="0" fontId="60" fillId="7" borderId="2" applyNumberFormat="0" applyAlignment="0" applyProtection="0"/>
    <xf numFmtId="0" fontId="60" fillId="9" borderId="2" applyNumberFormat="0" applyAlignment="0" applyProtection="0"/>
    <xf numFmtId="0" fontId="60" fillId="9" borderId="2" applyNumberFormat="0" applyAlignment="0" applyProtection="0"/>
    <xf numFmtId="0" fontId="60" fillId="9" borderId="2" applyNumberFormat="0" applyAlignment="0" applyProtection="0"/>
    <xf numFmtId="0" fontId="60" fillId="9" borderId="2" applyNumberFormat="0" applyAlignment="0" applyProtection="0"/>
    <xf numFmtId="0" fontId="60" fillId="9" borderId="2" applyNumberFormat="0" applyAlignment="0" applyProtection="0"/>
    <xf numFmtId="0" fontId="60" fillId="9" borderId="2" applyNumberFormat="0" applyAlignment="0" applyProtection="0"/>
    <xf numFmtId="0" fontId="60" fillId="9" borderId="2" applyNumberFormat="0" applyAlignment="0" applyProtection="0"/>
    <xf numFmtId="0" fontId="60" fillId="9" borderId="2" applyNumberFormat="0" applyAlignment="0" applyProtection="0"/>
    <xf numFmtId="0" fontId="101" fillId="0" borderId="81" applyNumberFormat="0" applyFill="0" applyAlignment="0" applyProtection="0"/>
    <xf numFmtId="0" fontId="61" fillId="0" borderId="10" applyNumberFormat="0" applyFill="0" applyAlignment="0" applyProtection="0"/>
    <xf numFmtId="0" fontId="102" fillId="9" borderId="0" applyNumberFormat="0" applyBorder="0" applyAlignment="0" applyProtection="0"/>
    <xf numFmtId="0" fontId="62" fillId="9" borderId="0" applyNumberFormat="0" applyBorder="0" applyAlignment="0" applyProtection="0"/>
    <xf numFmtId="0" fontId="3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2" fillId="0" borderId="0"/>
    <xf numFmtId="0" fontId="3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39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39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39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39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39" fontId="23" fillId="0" borderId="0"/>
    <xf numFmtId="39" fontId="23" fillId="0" borderId="0"/>
    <xf numFmtId="39" fontId="23" fillId="0" borderId="0"/>
    <xf numFmtId="39" fontId="23" fillId="0" borderId="0"/>
    <xf numFmtId="39" fontId="23" fillId="0" borderId="0"/>
    <xf numFmtId="39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39" fontId="23" fillId="0" borderId="0"/>
    <xf numFmtId="39" fontId="23" fillId="0" borderId="0"/>
    <xf numFmtId="39" fontId="23" fillId="0" borderId="0"/>
    <xf numFmtId="39" fontId="23" fillId="0" borderId="0"/>
    <xf numFmtId="0" fontId="12" fillId="0" borderId="0"/>
    <xf numFmtId="0" fontId="32" fillId="0" borderId="0"/>
    <xf numFmtId="0" fontId="12" fillId="0" borderId="0"/>
    <xf numFmtId="0" fontId="23" fillId="0" borderId="0"/>
    <xf numFmtId="0" fontId="12" fillId="0" borderId="0"/>
    <xf numFmtId="0" fontId="12" fillId="0" borderId="0"/>
    <xf numFmtId="0" fontId="27" fillId="0" borderId="0"/>
    <xf numFmtId="39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2" fillId="0" borderId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0" fontId="12" fillId="29" borderId="74" applyNumberFormat="0" applyFont="0" applyAlignment="0" applyProtection="0"/>
    <xf numFmtId="0" fontId="63" fillId="63" borderId="12" applyNumberFormat="0" applyAlignment="0" applyProtection="0"/>
    <xf numFmtId="0" fontId="63" fillId="16" borderId="12" applyNumberForma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82" applyNumberFormat="0" applyFill="0" applyAlignment="0" applyProtection="0"/>
    <xf numFmtId="0" fontId="65" fillId="0" borderId="13" applyNumberFormat="0" applyFill="0" applyAlignment="0" applyProtection="0"/>
    <xf numFmtId="0" fontId="12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9" fillId="0" borderId="0"/>
    <xf numFmtId="0" fontId="9" fillId="0" borderId="0"/>
    <xf numFmtId="0" fontId="9" fillId="29" borderId="74" applyNumberFormat="0" applyFont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53" fillId="16" borderId="93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7" fillId="0" borderId="94">
      <alignment horizontal="left" vertical="center"/>
    </xf>
    <xf numFmtId="10" fontId="36" fillId="19" borderId="87" applyNumberFormat="0" applyBorder="0" applyAlignment="0" applyProtection="0"/>
    <xf numFmtId="0" fontId="60" fillId="9" borderId="93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0" borderId="0"/>
    <xf numFmtId="0" fontId="8" fillId="0" borderId="0"/>
    <xf numFmtId="0" fontId="8" fillId="29" borderId="74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29" borderId="74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9" borderId="74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0" borderId="0"/>
    <xf numFmtId="0" fontId="8" fillId="0" borderId="0"/>
    <xf numFmtId="0" fontId="8" fillId="29" borderId="74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0" borderId="0"/>
    <xf numFmtId="0" fontId="8" fillId="29" borderId="74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29" borderId="74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0" borderId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9" borderId="74" applyNumberFormat="0" applyFont="0" applyAlignment="0" applyProtection="0"/>
    <xf numFmtId="0" fontId="8" fillId="0" borderId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0" borderId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0" borderId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0" borderId="0"/>
    <xf numFmtId="0" fontId="8" fillId="0" borderId="0"/>
    <xf numFmtId="0" fontId="8" fillId="29" borderId="74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29" borderId="74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9" borderId="74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0" borderId="0"/>
    <xf numFmtId="0" fontId="8" fillId="0" borderId="0"/>
    <xf numFmtId="0" fontId="8" fillId="29" borderId="74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0" borderId="0"/>
    <xf numFmtId="0" fontId="8" fillId="29" borderId="74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29" borderId="74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0" borderId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9" borderId="74" applyNumberFormat="0" applyFont="0" applyAlignment="0" applyProtection="0"/>
    <xf numFmtId="0" fontId="8" fillId="0" borderId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0" borderId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0" borderId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97" fillId="63" borderId="93" applyNumberFormat="0" applyAlignment="0" applyProtection="0"/>
    <xf numFmtId="0" fontId="97" fillId="63" borderId="93" applyNumberFormat="0" applyAlignment="0" applyProtection="0"/>
    <xf numFmtId="0" fontId="53" fillId="16" borderId="93" applyNumberFormat="0" applyAlignment="0" applyProtection="0"/>
    <xf numFmtId="0" fontId="53" fillId="16" borderId="93" applyNumberFormat="0" applyAlignment="0" applyProtection="0"/>
    <xf numFmtId="0" fontId="53" fillId="16" borderId="93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7" fillId="0" borderId="94">
      <alignment horizontal="left" vertical="center"/>
    </xf>
    <xf numFmtId="10" fontId="36" fillId="19" borderId="87" applyNumberFormat="0" applyBorder="0" applyAlignment="0" applyProtection="0"/>
    <xf numFmtId="0" fontId="60" fillId="7" borderId="93" applyNumberFormat="0" applyAlignment="0" applyProtection="0"/>
    <xf numFmtId="0" fontId="60" fillId="7" borderId="93" applyNumberFormat="0" applyAlignment="0" applyProtection="0"/>
    <xf numFmtId="0" fontId="60" fillId="9" borderId="93" applyNumberFormat="0" applyAlignment="0" applyProtection="0"/>
    <xf numFmtId="0" fontId="60" fillId="7" borderId="93" applyNumberFormat="0" applyAlignment="0" applyProtection="0"/>
    <xf numFmtId="0" fontId="60" fillId="7" borderId="93" applyNumberFormat="0" applyAlignment="0" applyProtection="0"/>
    <xf numFmtId="0" fontId="60" fillId="9" borderId="93" applyNumberFormat="0" applyAlignment="0" applyProtection="0"/>
    <xf numFmtId="0" fontId="60" fillId="9" borderId="93" applyNumberFormat="0" applyAlignment="0" applyProtection="0"/>
    <xf numFmtId="0" fontId="60" fillId="9" borderId="93" applyNumberFormat="0" applyAlignment="0" applyProtection="0"/>
    <xf numFmtId="0" fontId="60" fillId="9" borderId="93" applyNumberFormat="0" applyAlignment="0" applyProtection="0"/>
    <xf numFmtId="0" fontId="60" fillId="9" borderId="93" applyNumberFormat="0" applyAlignment="0" applyProtection="0"/>
    <xf numFmtId="0" fontId="60" fillId="9" borderId="93" applyNumberFormat="0" applyAlignment="0" applyProtection="0"/>
    <xf numFmtId="0" fontId="60" fillId="9" borderId="93" applyNumberFormat="0" applyAlignment="0" applyProtection="0"/>
    <xf numFmtId="0" fontId="60" fillId="9" borderId="93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9" borderId="74" applyNumberFormat="0" applyFont="0" applyAlignment="0" applyProtection="0"/>
    <xf numFmtId="0" fontId="8" fillId="29" borderId="74" applyNumberFormat="0" applyFont="0" applyAlignment="0" applyProtection="0"/>
    <xf numFmtId="0" fontId="8" fillId="29" borderId="74" applyNumberFormat="0" applyFont="0" applyAlignment="0" applyProtection="0"/>
    <xf numFmtId="0" fontId="8" fillId="29" borderId="74" applyNumberFormat="0" applyFont="0" applyAlignment="0" applyProtection="0"/>
    <xf numFmtId="0" fontId="8" fillId="29" borderId="74" applyNumberFormat="0" applyFont="0" applyAlignment="0" applyProtection="0"/>
    <xf numFmtId="0" fontId="8" fillId="29" borderId="74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29" borderId="74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6" fillId="0" borderId="0"/>
    <xf numFmtId="0" fontId="6" fillId="29" borderId="74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0" borderId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0" borderId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29" borderId="74" applyNumberFormat="0" applyFont="0" applyAlignment="0" applyProtection="0"/>
    <xf numFmtId="0" fontId="5" fillId="29" borderId="74" applyNumberFormat="0" applyFont="0" applyAlignment="0" applyProtection="0"/>
    <xf numFmtId="0" fontId="5" fillId="29" borderId="74" applyNumberFormat="0" applyFont="0" applyAlignment="0" applyProtection="0"/>
    <xf numFmtId="0" fontId="5" fillId="29" borderId="74" applyNumberFormat="0" applyFont="0" applyAlignment="0" applyProtection="0"/>
    <xf numFmtId="0" fontId="5" fillId="29" borderId="74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0" borderId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0" borderId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29" borderId="74" applyNumberFormat="0" applyFont="0" applyAlignment="0" applyProtection="0"/>
    <xf numFmtId="0" fontId="5" fillId="29" borderId="74" applyNumberFormat="0" applyFont="0" applyAlignment="0" applyProtection="0"/>
    <xf numFmtId="0" fontId="5" fillId="29" borderId="74" applyNumberFormat="0" applyFont="0" applyAlignment="0" applyProtection="0"/>
    <xf numFmtId="0" fontId="5" fillId="29" borderId="74" applyNumberFormat="0" applyFont="0" applyAlignment="0" applyProtection="0"/>
    <xf numFmtId="0" fontId="5" fillId="29" borderId="74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43" fontId="5" fillId="0" borderId="0" applyFont="0" applyFill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32" fillId="0" borderId="0"/>
    <xf numFmtId="0" fontId="5" fillId="0" borderId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0" fillId="9" borderId="93" applyNumberForma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31" fillId="0" borderId="1">
      <alignment horizontal="right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29" borderId="74" applyNumberFormat="0" applyFont="0" applyAlignment="0" applyProtection="0"/>
    <xf numFmtId="0" fontId="5" fillId="29" borderId="74" applyNumberFormat="0" applyFont="0" applyAlignment="0" applyProtection="0"/>
    <xf numFmtId="0" fontId="5" fillId="29" borderId="74" applyNumberFormat="0" applyFont="0" applyAlignment="0" applyProtection="0"/>
    <xf numFmtId="0" fontId="5" fillId="29" borderId="74" applyNumberFormat="0" applyFont="0" applyAlignment="0" applyProtection="0"/>
    <xf numFmtId="0" fontId="5" fillId="29" borderId="74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0" borderId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0" borderId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29" borderId="74" applyNumberFormat="0" applyFont="0" applyAlignment="0" applyProtection="0"/>
    <xf numFmtId="0" fontId="5" fillId="29" borderId="74" applyNumberFormat="0" applyFont="0" applyAlignment="0" applyProtection="0"/>
    <xf numFmtId="0" fontId="5" fillId="29" borderId="74" applyNumberFormat="0" applyFont="0" applyAlignment="0" applyProtection="0"/>
    <xf numFmtId="0" fontId="5" fillId="29" borderId="74" applyNumberFormat="0" applyFont="0" applyAlignment="0" applyProtection="0"/>
    <xf numFmtId="0" fontId="5" fillId="29" borderId="74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0" borderId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0" borderId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29" borderId="74" applyNumberFormat="0" applyFont="0" applyAlignment="0" applyProtection="0"/>
    <xf numFmtId="0" fontId="5" fillId="29" borderId="74" applyNumberFormat="0" applyFont="0" applyAlignment="0" applyProtection="0"/>
    <xf numFmtId="0" fontId="5" fillId="29" borderId="74" applyNumberFormat="0" applyFont="0" applyAlignment="0" applyProtection="0"/>
    <xf numFmtId="0" fontId="5" fillId="29" borderId="74" applyNumberFormat="0" applyFont="0" applyAlignment="0" applyProtection="0"/>
    <xf numFmtId="0" fontId="5" fillId="29" borderId="74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43" fontId="5" fillId="0" borderId="0" applyFont="0" applyFill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29" borderId="74" applyNumberFormat="0" applyFont="0" applyAlignment="0" applyProtection="0"/>
    <xf numFmtId="0" fontId="5" fillId="29" borderId="74" applyNumberFormat="0" applyFont="0" applyAlignment="0" applyProtection="0"/>
    <xf numFmtId="0" fontId="5" fillId="29" borderId="74" applyNumberFormat="0" applyFont="0" applyAlignment="0" applyProtection="0"/>
    <xf numFmtId="0" fontId="5" fillId="29" borderId="74" applyNumberFormat="0" applyFont="0" applyAlignment="0" applyProtection="0"/>
    <xf numFmtId="0" fontId="5" fillId="29" borderId="74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0" borderId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0" borderId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29" borderId="74" applyNumberFormat="0" applyFont="0" applyAlignment="0" applyProtection="0"/>
    <xf numFmtId="0" fontId="5" fillId="29" borderId="74" applyNumberFormat="0" applyFont="0" applyAlignment="0" applyProtection="0"/>
    <xf numFmtId="0" fontId="5" fillId="29" borderId="74" applyNumberFormat="0" applyFont="0" applyAlignment="0" applyProtection="0"/>
    <xf numFmtId="0" fontId="5" fillId="29" borderId="74" applyNumberFormat="0" applyFont="0" applyAlignment="0" applyProtection="0"/>
    <xf numFmtId="0" fontId="5" fillId="29" borderId="74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0" borderId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0" borderId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29" borderId="74" applyNumberFormat="0" applyFont="0" applyAlignment="0" applyProtection="0"/>
    <xf numFmtId="0" fontId="5" fillId="29" borderId="74" applyNumberFormat="0" applyFont="0" applyAlignment="0" applyProtection="0"/>
    <xf numFmtId="0" fontId="5" fillId="29" borderId="74" applyNumberFormat="0" applyFont="0" applyAlignment="0" applyProtection="0"/>
    <xf numFmtId="0" fontId="5" fillId="29" borderId="74" applyNumberFormat="0" applyFont="0" applyAlignment="0" applyProtection="0"/>
    <xf numFmtId="0" fontId="5" fillId="29" borderId="74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43" fontId="5" fillId="0" borderId="0" applyFont="0" applyFill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29" borderId="74" applyNumberFormat="0" applyFont="0" applyAlignment="0" applyProtection="0"/>
    <xf numFmtId="0" fontId="5" fillId="29" borderId="74" applyNumberFormat="0" applyFont="0" applyAlignment="0" applyProtection="0"/>
    <xf numFmtId="0" fontId="5" fillId="29" borderId="74" applyNumberFormat="0" applyFont="0" applyAlignment="0" applyProtection="0"/>
    <xf numFmtId="0" fontId="5" fillId="29" borderId="74" applyNumberFormat="0" applyFont="0" applyAlignment="0" applyProtection="0"/>
    <xf numFmtId="0" fontId="5" fillId="29" borderId="74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0" borderId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0" borderId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29" borderId="74" applyNumberFormat="0" applyFont="0" applyAlignment="0" applyProtection="0"/>
    <xf numFmtId="0" fontId="5" fillId="29" borderId="74" applyNumberFormat="0" applyFont="0" applyAlignment="0" applyProtection="0"/>
    <xf numFmtId="0" fontId="5" fillId="29" borderId="74" applyNumberFormat="0" applyFont="0" applyAlignment="0" applyProtection="0"/>
    <xf numFmtId="0" fontId="5" fillId="29" borderId="74" applyNumberFormat="0" applyFont="0" applyAlignment="0" applyProtection="0"/>
    <xf numFmtId="0" fontId="5" fillId="29" borderId="74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0" borderId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0" borderId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29" borderId="74" applyNumberFormat="0" applyFont="0" applyAlignment="0" applyProtection="0"/>
    <xf numFmtId="0" fontId="5" fillId="29" borderId="74" applyNumberFormat="0" applyFont="0" applyAlignment="0" applyProtection="0"/>
    <xf numFmtId="0" fontId="5" fillId="29" borderId="74" applyNumberFormat="0" applyFont="0" applyAlignment="0" applyProtection="0"/>
    <xf numFmtId="0" fontId="5" fillId="29" borderId="74" applyNumberFormat="0" applyFont="0" applyAlignment="0" applyProtection="0"/>
    <xf numFmtId="0" fontId="5" fillId="29" borderId="74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43" fontId="5" fillId="0" borderId="0" applyFont="0" applyFill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29" borderId="74" applyNumberFormat="0" applyFont="0" applyAlignment="0" applyProtection="0"/>
    <xf numFmtId="0" fontId="5" fillId="29" borderId="74" applyNumberFormat="0" applyFont="0" applyAlignment="0" applyProtection="0"/>
    <xf numFmtId="0" fontId="5" fillId="29" borderId="74" applyNumberFormat="0" applyFont="0" applyAlignment="0" applyProtection="0"/>
    <xf numFmtId="0" fontId="5" fillId="29" borderId="74" applyNumberFormat="0" applyFont="0" applyAlignment="0" applyProtection="0"/>
    <xf numFmtId="0" fontId="5" fillId="29" borderId="74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5" borderId="11" applyNumberFormat="0" applyFont="0" applyAlignment="0" applyProtection="0"/>
    <xf numFmtId="0" fontId="32" fillId="5" borderId="11" applyNumberFormat="0" applyFont="0" applyAlignment="0" applyProtection="0"/>
    <xf numFmtId="0" fontId="32" fillId="5" borderId="11" applyNumberFormat="0" applyFont="0" applyAlignment="0" applyProtection="0"/>
    <xf numFmtId="0" fontId="63" fillId="16" borderId="12" applyNumberFormat="0" applyAlignment="0" applyProtection="0"/>
    <xf numFmtId="0" fontId="65" fillId="0" borderId="13" applyNumberFormat="0" applyFill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0" borderId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0" borderId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29" borderId="74" applyNumberFormat="0" applyFont="0" applyAlignment="0" applyProtection="0"/>
    <xf numFmtId="0" fontId="5" fillId="29" borderId="74" applyNumberFormat="0" applyFont="0" applyAlignment="0" applyProtection="0"/>
    <xf numFmtId="0" fontId="5" fillId="29" borderId="74" applyNumberFormat="0" applyFont="0" applyAlignment="0" applyProtection="0"/>
    <xf numFmtId="0" fontId="5" fillId="29" borderId="74" applyNumberFormat="0" applyFont="0" applyAlignment="0" applyProtection="0"/>
    <xf numFmtId="0" fontId="5" fillId="29" borderId="74" applyNumberFormat="0" applyFont="0" applyAlignment="0" applyProtection="0"/>
    <xf numFmtId="0" fontId="63" fillId="63" borderId="12" applyNumberFormat="0" applyAlignment="0" applyProtection="0"/>
    <xf numFmtId="0" fontId="63" fillId="16" borderId="12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5" fillId="0" borderId="82" applyNumberFormat="0" applyFill="0" applyAlignment="0" applyProtection="0"/>
    <xf numFmtId="0" fontId="65" fillId="0" borderId="13" applyNumberFormat="0" applyFill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3" fillId="16" borderId="93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7" fillId="0" borderId="94">
      <alignment horizontal="left" vertical="center"/>
    </xf>
    <xf numFmtId="10" fontId="36" fillId="19" borderId="87" applyNumberFormat="0" applyBorder="0" applyAlignment="0" applyProtection="0"/>
    <xf numFmtId="0" fontId="60" fillId="9" borderId="93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0" borderId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0" borderId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97" fillId="63" borderId="93" applyNumberFormat="0" applyAlignment="0" applyProtection="0"/>
    <xf numFmtId="0" fontId="97" fillId="63" borderId="93" applyNumberFormat="0" applyAlignment="0" applyProtection="0"/>
    <xf numFmtId="0" fontId="53" fillId="16" borderId="93" applyNumberFormat="0" applyAlignment="0" applyProtection="0"/>
    <xf numFmtId="0" fontId="53" fillId="16" borderId="93" applyNumberFormat="0" applyAlignment="0" applyProtection="0"/>
    <xf numFmtId="0" fontId="53" fillId="16" borderId="93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7" fillId="0" borderId="94">
      <alignment horizontal="left" vertical="center"/>
    </xf>
    <xf numFmtId="10" fontId="36" fillId="19" borderId="87" applyNumberFormat="0" applyBorder="0" applyAlignment="0" applyProtection="0"/>
    <xf numFmtId="0" fontId="60" fillId="7" borderId="93" applyNumberFormat="0" applyAlignment="0" applyProtection="0"/>
    <xf numFmtId="0" fontId="60" fillId="7" borderId="93" applyNumberFormat="0" applyAlignment="0" applyProtection="0"/>
    <xf numFmtId="0" fontId="60" fillId="9" borderId="93" applyNumberFormat="0" applyAlignment="0" applyProtection="0"/>
    <xf numFmtId="0" fontId="60" fillId="7" borderId="93" applyNumberFormat="0" applyAlignment="0" applyProtection="0"/>
    <xf numFmtId="0" fontId="60" fillId="7" borderId="93" applyNumberFormat="0" applyAlignment="0" applyProtection="0"/>
    <xf numFmtId="0" fontId="60" fillId="9" borderId="93" applyNumberFormat="0" applyAlignment="0" applyProtection="0"/>
    <xf numFmtId="0" fontId="60" fillId="9" borderId="93" applyNumberFormat="0" applyAlignment="0" applyProtection="0"/>
    <xf numFmtId="0" fontId="60" fillId="9" borderId="93" applyNumberFormat="0" applyAlignment="0" applyProtection="0"/>
    <xf numFmtId="0" fontId="60" fillId="9" borderId="93" applyNumberFormat="0" applyAlignment="0" applyProtection="0"/>
    <xf numFmtId="0" fontId="60" fillId="9" borderId="93" applyNumberFormat="0" applyAlignment="0" applyProtection="0"/>
    <xf numFmtId="0" fontId="60" fillId="9" borderId="93" applyNumberFormat="0" applyAlignment="0" applyProtection="0"/>
    <xf numFmtId="0" fontId="60" fillId="9" borderId="93" applyNumberFormat="0" applyAlignment="0" applyProtection="0"/>
    <xf numFmtId="0" fontId="60" fillId="9" borderId="93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29" borderId="74" applyNumberFormat="0" applyFont="0" applyAlignment="0" applyProtection="0"/>
    <xf numFmtId="0" fontId="5" fillId="29" borderId="74" applyNumberFormat="0" applyFont="0" applyAlignment="0" applyProtection="0"/>
    <xf numFmtId="0" fontId="5" fillId="29" borderId="74" applyNumberFormat="0" applyFont="0" applyAlignment="0" applyProtection="0"/>
    <xf numFmtId="0" fontId="5" fillId="29" borderId="74" applyNumberFormat="0" applyFont="0" applyAlignment="0" applyProtection="0"/>
    <xf numFmtId="0" fontId="5" fillId="29" borderId="74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43" fontId="5" fillId="0" borderId="0" applyFont="0" applyFill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60" fillId="9" borderId="93" applyNumberForma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29" borderId="74" applyNumberFormat="0" applyFont="0" applyAlignment="0" applyProtection="0"/>
    <xf numFmtId="0" fontId="5" fillId="29" borderId="74" applyNumberFormat="0" applyFont="0" applyAlignment="0" applyProtection="0"/>
    <xf numFmtId="0" fontId="5" fillId="29" borderId="74" applyNumberFormat="0" applyFont="0" applyAlignment="0" applyProtection="0"/>
    <xf numFmtId="0" fontId="5" fillId="29" borderId="74" applyNumberFormat="0" applyFont="0" applyAlignment="0" applyProtection="0"/>
    <xf numFmtId="0" fontId="5" fillId="29" borderId="74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0" borderId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0" borderId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29" borderId="74" applyNumberFormat="0" applyFont="0" applyAlignment="0" applyProtection="0"/>
    <xf numFmtId="0" fontId="5" fillId="29" borderId="74" applyNumberFormat="0" applyFont="0" applyAlignment="0" applyProtection="0"/>
    <xf numFmtId="0" fontId="5" fillId="29" borderId="74" applyNumberFormat="0" applyFont="0" applyAlignment="0" applyProtection="0"/>
    <xf numFmtId="0" fontId="5" fillId="29" borderId="74" applyNumberFormat="0" applyFont="0" applyAlignment="0" applyProtection="0"/>
    <xf numFmtId="0" fontId="5" fillId="29" borderId="74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0" borderId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0" borderId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29" borderId="74" applyNumberFormat="0" applyFont="0" applyAlignment="0" applyProtection="0"/>
    <xf numFmtId="0" fontId="5" fillId="29" borderId="74" applyNumberFormat="0" applyFont="0" applyAlignment="0" applyProtection="0"/>
    <xf numFmtId="0" fontId="5" fillId="29" borderId="74" applyNumberFormat="0" applyFont="0" applyAlignment="0" applyProtection="0"/>
    <xf numFmtId="0" fontId="5" fillId="29" borderId="74" applyNumberFormat="0" applyFont="0" applyAlignment="0" applyProtection="0"/>
    <xf numFmtId="0" fontId="5" fillId="29" borderId="74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43" fontId="5" fillId="0" borderId="0" applyFont="0" applyFill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9" borderId="74" applyNumberFormat="0" applyFont="0" applyAlignment="0" applyProtection="0"/>
    <xf numFmtId="0" fontId="5" fillId="29" borderId="74" applyNumberFormat="0" applyFont="0" applyAlignment="0" applyProtection="0"/>
    <xf numFmtId="0" fontId="5" fillId="29" borderId="74" applyNumberFormat="0" applyFont="0" applyAlignment="0" applyProtection="0"/>
    <xf numFmtId="0" fontId="5" fillId="29" borderId="74" applyNumberFormat="0" applyFont="0" applyAlignment="0" applyProtection="0"/>
    <xf numFmtId="0" fontId="5" fillId="29" borderId="74" applyNumberFormat="0" applyFont="0" applyAlignment="0" applyProtection="0"/>
    <xf numFmtId="0" fontId="5" fillId="29" borderId="74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3" fillId="16" borderId="2" applyNumberFormat="0" applyAlignment="0" applyProtection="0"/>
    <xf numFmtId="0" fontId="37" fillId="0" borderId="5">
      <alignment horizontal="left" vertical="center"/>
    </xf>
    <xf numFmtId="0" fontId="60" fillId="9" borderId="2" applyNumberFormat="0" applyAlignment="0" applyProtection="0"/>
    <xf numFmtId="0" fontId="97" fillId="63" borderId="2" applyNumberFormat="0" applyAlignment="0" applyProtection="0"/>
    <xf numFmtId="0" fontId="97" fillId="63" borderId="2" applyNumberFormat="0" applyAlignment="0" applyProtection="0"/>
    <xf numFmtId="0" fontId="53" fillId="16" borderId="2" applyNumberFormat="0" applyAlignment="0" applyProtection="0"/>
    <xf numFmtId="0" fontId="53" fillId="16" borderId="2" applyNumberFormat="0" applyAlignment="0" applyProtection="0"/>
    <xf numFmtId="0" fontId="53" fillId="16" borderId="2" applyNumberFormat="0" applyAlignment="0" applyProtection="0"/>
    <xf numFmtId="0" fontId="37" fillId="0" borderId="5">
      <alignment horizontal="left" vertical="center"/>
    </xf>
    <xf numFmtId="0" fontId="60" fillId="7" borderId="2" applyNumberFormat="0" applyAlignment="0" applyProtection="0"/>
    <xf numFmtId="0" fontId="60" fillId="7" borderId="2" applyNumberFormat="0" applyAlignment="0" applyProtection="0"/>
    <xf numFmtId="0" fontId="60" fillId="9" borderId="2" applyNumberFormat="0" applyAlignment="0" applyProtection="0"/>
    <xf numFmtId="0" fontId="60" fillId="7" borderId="2" applyNumberFormat="0" applyAlignment="0" applyProtection="0"/>
    <xf numFmtId="0" fontId="60" fillId="7" borderId="2" applyNumberFormat="0" applyAlignment="0" applyProtection="0"/>
    <xf numFmtId="0" fontId="60" fillId="9" borderId="2" applyNumberFormat="0" applyAlignment="0" applyProtection="0"/>
    <xf numFmtId="0" fontId="60" fillId="9" borderId="2" applyNumberFormat="0" applyAlignment="0" applyProtection="0"/>
    <xf numFmtId="0" fontId="60" fillId="9" borderId="2" applyNumberFormat="0" applyAlignment="0" applyProtection="0"/>
    <xf numFmtId="0" fontId="60" fillId="9" borderId="2" applyNumberFormat="0" applyAlignment="0" applyProtection="0"/>
    <xf numFmtId="0" fontId="60" fillId="9" borderId="2" applyNumberFormat="0" applyAlignment="0" applyProtection="0"/>
    <xf numFmtId="0" fontId="60" fillId="9" borderId="2" applyNumberFormat="0" applyAlignment="0" applyProtection="0"/>
    <xf numFmtId="0" fontId="60" fillId="9" borderId="2" applyNumberFormat="0" applyAlignment="0" applyProtection="0"/>
    <xf numFmtId="0" fontId="60" fillId="9" borderId="2" applyNumberFormat="0" applyAlignment="0" applyProtection="0"/>
    <xf numFmtId="0" fontId="60" fillId="9" borderId="2" applyNumberFormat="0" applyAlignment="0" applyProtection="0"/>
    <xf numFmtId="0" fontId="4" fillId="0" borderId="0"/>
    <xf numFmtId="0" fontId="4" fillId="0" borderId="0"/>
    <xf numFmtId="0" fontId="4" fillId="0" borderId="0"/>
    <xf numFmtId="0" fontId="4" fillId="29" borderId="74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9" borderId="74" applyNumberFormat="0" applyFont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1" fillId="0" borderId="0"/>
    <xf numFmtId="0" fontId="1" fillId="29" borderId="74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</cellStyleXfs>
  <cellXfs count="1184">
    <xf numFmtId="0" fontId="0" fillId="0" borderId="0" xfId="0"/>
    <xf numFmtId="0" fontId="25" fillId="0" borderId="0" xfId="0" applyFont="1"/>
    <xf numFmtId="0" fontId="24" fillId="0" borderId="0" xfId="0" applyFont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14" xfId="0" applyFont="1" applyBorder="1" applyAlignment="1">
      <alignment horizontal="center"/>
    </xf>
    <xf numFmtId="0" fontId="24" fillId="0" borderId="15" xfId="0" applyFont="1" applyBorder="1"/>
    <xf numFmtId="0" fontId="24" fillId="0" borderId="16" xfId="0" applyFont="1" applyBorder="1" applyAlignment="1">
      <alignment horizontal="center"/>
    </xf>
    <xf numFmtId="0" fontId="24" fillId="0" borderId="16" xfId="0" applyFont="1" applyBorder="1"/>
    <xf numFmtId="0" fontId="25" fillId="0" borderId="16" xfId="0" applyFont="1" applyBorder="1"/>
    <xf numFmtId="0" fontId="25" fillId="0" borderId="17" xfId="0" applyFont="1" applyBorder="1"/>
    <xf numFmtId="0" fontId="25" fillId="0" borderId="18" xfId="0" applyFont="1" applyBorder="1" applyAlignment="1">
      <alignment horizontal="center"/>
    </xf>
    <xf numFmtId="0" fontId="24" fillId="0" borderId="19" xfId="0" applyFont="1" applyBorder="1"/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164" fontId="25" fillId="0" borderId="0" xfId="30" applyNumberFormat="1" applyFont="1" applyBorder="1"/>
    <xf numFmtId="164" fontId="25" fillId="0" borderId="23" xfId="30" applyNumberFormat="1" applyFont="1" applyBorder="1"/>
    <xf numFmtId="0" fontId="25" fillId="0" borderId="24" xfId="0" applyFont="1" applyBorder="1" applyAlignment="1">
      <alignment horizontal="center"/>
    </xf>
    <xf numFmtId="0" fontId="25" fillId="0" borderId="22" xfId="0" applyFont="1" applyBorder="1"/>
    <xf numFmtId="164" fontId="25" fillId="0" borderId="16" xfId="30" applyNumberFormat="1" applyFont="1" applyBorder="1"/>
    <xf numFmtId="164" fontId="25" fillId="0" borderId="17" xfId="30" applyNumberFormat="1" applyFont="1" applyBorder="1"/>
    <xf numFmtId="0" fontId="25" fillId="0" borderId="19" xfId="0" applyFont="1" applyBorder="1"/>
    <xf numFmtId="164" fontId="25" fillId="0" borderId="20" xfId="30" applyNumberFormat="1" applyFont="1" applyBorder="1"/>
    <xf numFmtId="164" fontId="25" fillId="0" borderId="21" xfId="30" applyNumberFormat="1" applyFont="1" applyBorder="1"/>
    <xf numFmtId="0" fontId="25" fillId="0" borderId="16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164" fontId="25" fillId="0" borderId="0" xfId="30" applyNumberFormat="1" applyFont="1" applyBorder="1" applyAlignment="1">
      <alignment horizontal="center"/>
    </xf>
    <xf numFmtId="0" fontId="43" fillId="0" borderId="0" xfId="189" applyFont="1" applyAlignment="1">
      <alignment horizontal="center"/>
    </xf>
    <xf numFmtId="0" fontId="43" fillId="0" borderId="0" xfId="189" applyFont="1" applyProtection="1">
      <protection locked="0"/>
    </xf>
    <xf numFmtId="0" fontId="43" fillId="0" borderId="0" xfId="189" applyFont="1"/>
    <xf numFmtId="0" fontId="30" fillId="0" borderId="0" xfId="189" applyFont="1"/>
    <xf numFmtId="166" fontId="43" fillId="0" borderId="0" xfId="189" applyNumberFormat="1" applyFont="1" applyAlignment="1" applyProtection="1">
      <alignment horizontal="left"/>
      <protection locked="0"/>
    </xf>
    <xf numFmtId="0" fontId="43" fillId="0" borderId="0" xfId="189" applyFont="1" applyBorder="1" applyProtection="1">
      <protection locked="0"/>
    </xf>
    <xf numFmtId="0" fontId="43" fillId="0" borderId="0" xfId="189" applyFont="1" applyBorder="1"/>
    <xf numFmtId="0" fontId="44" fillId="0" borderId="25" xfId="189" applyFont="1" applyBorder="1"/>
    <xf numFmtId="0" fontId="43" fillId="0" borderId="26" xfId="189" applyFont="1" applyBorder="1" applyAlignment="1">
      <alignment horizontal="center"/>
    </xf>
    <xf numFmtId="0" fontId="43" fillId="0" borderId="27" xfId="189" applyFont="1" applyBorder="1"/>
    <xf numFmtId="0" fontId="43" fillId="0" borderId="28" xfId="189" applyFont="1" applyBorder="1" applyAlignment="1">
      <alignment horizontal="center"/>
    </xf>
    <xf numFmtId="37" fontId="43" fillId="0" borderId="27" xfId="189" applyNumberFormat="1" applyFont="1" applyBorder="1" applyProtection="1">
      <protection locked="0"/>
    </xf>
    <xf numFmtId="0" fontId="43" fillId="0" borderId="29" xfId="189" applyFont="1" applyBorder="1"/>
    <xf numFmtId="37" fontId="43" fillId="0" borderId="0" xfId="189" applyNumberFormat="1" applyFont="1" applyProtection="1"/>
    <xf numFmtId="0" fontId="43" fillId="0" borderId="0" xfId="189" applyFont="1" applyFill="1"/>
    <xf numFmtId="14" fontId="44" fillId="0" borderId="25" xfId="189" applyNumberFormat="1" applyFont="1" applyBorder="1" applyAlignment="1" applyProtection="1">
      <alignment horizontal="center"/>
      <protection locked="0"/>
    </xf>
    <xf numFmtId="0" fontId="43" fillId="0" borderId="0" xfId="189" applyFont="1" applyAlignment="1"/>
    <xf numFmtId="0" fontId="43" fillId="0" borderId="1" xfId="189" applyFont="1" applyBorder="1" applyAlignment="1">
      <alignment horizontal="center"/>
    </xf>
    <xf numFmtId="0" fontId="44" fillId="0" borderId="25" xfId="189" applyFont="1" applyBorder="1" applyAlignment="1" applyProtection="1">
      <alignment horizontal="center"/>
      <protection locked="0"/>
    </xf>
    <xf numFmtId="0" fontId="43" fillId="0" borderId="0" xfId="202" applyFont="1" applyAlignment="1">
      <alignment horizontal="center"/>
    </xf>
    <xf numFmtId="0" fontId="43" fillId="0" borderId="0" xfId="202" applyFont="1"/>
    <xf numFmtId="0" fontId="43" fillId="0" borderId="0" xfId="202" applyFont="1" applyAlignment="1">
      <alignment horizontal="right"/>
    </xf>
    <xf numFmtId="0" fontId="43" fillId="0" borderId="0" xfId="202" applyFont="1" applyAlignment="1" applyProtection="1">
      <alignment horizontal="right"/>
    </xf>
    <xf numFmtId="168" fontId="43" fillId="0" borderId="0" xfId="202" applyNumberFormat="1" applyFont="1" applyAlignment="1" applyProtection="1">
      <alignment horizontal="left"/>
    </xf>
    <xf numFmtId="0" fontId="43" fillId="0" borderId="0" xfId="202" applyFont="1" applyFill="1" applyAlignment="1">
      <alignment horizontal="center"/>
    </xf>
    <xf numFmtId="0" fontId="43" fillId="0" borderId="0" xfId="202" applyFont="1" applyFill="1"/>
    <xf numFmtId="0" fontId="44" fillId="0" borderId="0" xfId="202" applyFont="1"/>
    <xf numFmtId="0" fontId="43" fillId="0" borderId="1" xfId="202" applyFont="1" applyBorder="1"/>
    <xf numFmtId="0" fontId="43" fillId="0" borderId="1" xfId="202" applyFont="1" applyFill="1" applyBorder="1" applyAlignment="1">
      <alignment horizontal="center"/>
    </xf>
    <xf numFmtId="0" fontId="43" fillId="0" borderId="30" xfId="202" applyFont="1" applyBorder="1" applyAlignment="1">
      <alignment horizontal="center" wrapText="1"/>
    </xf>
    <xf numFmtId="0" fontId="43" fillId="0" borderId="26" xfId="202" applyFont="1" applyBorder="1" applyAlignment="1">
      <alignment horizontal="center"/>
    </xf>
    <xf numFmtId="0" fontId="43" fillId="0" borderId="28" xfId="202" applyFont="1" applyBorder="1" applyAlignment="1">
      <alignment horizontal="center"/>
    </xf>
    <xf numFmtId="0" fontId="44" fillId="0" borderId="0" xfId="202" applyFont="1" applyFill="1"/>
    <xf numFmtId="37" fontId="43" fillId="0" borderId="0" xfId="202" applyNumberFormat="1" applyFont="1"/>
    <xf numFmtId="0" fontId="43" fillId="0" borderId="29" xfId="202" applyFont="1" applyBorder="1"/>
    <xf numFmtId="0" fontId="43" fillId="0" borderId="31" xfId="202" applyFont="1" applyBorder="1" applyAlignment="1">
      <alignment horizontal="center"/>
    </xf>
    <xf numFmtId="0" fontId="43" fillId="0" borderId="0" xfId="202" applyFont="1" applyBorder="1" applyAlignment="1">
      <alignment horizontal="center"/>
    </xf>
    <xf numFmtId="0" fontId="28" fillId="0" borderId="0" xfId="0" applyFont="1"/>
    <xf numFmtId="0" fontId="43" fillId="0" borderId="0" xfId="0" applyFont="1" applyAlignment="1">
      <alignment horizontal="center"/>
    </xf>
    <xf numFmtId="0" fontId="43" fillId="0" borderId="0" xfId="0" applyFont="1" applyProtection="1">
      <protection locked="0"/>
    </xf>
    <xf numFmtId="0" fontId="43" fillId="0" borderId="0" xfId="0" applyFont="1"/>
    <xf numFmtId="0" fontId="43" fillId="0" borderId="0" xfId="0" applyFont="1" applyAlignment="1" applyProtection="1">
      <alignment horizontal="right"/>
      <protection locked="0"/>
    </xf>
    <xf numFmtId="168" fontId="43" fillId="0" borderId="0" xfId="0" applyNumberFormat="1" applyFont="1" applyAlignment="1" applyProtection="1">
      <alignment horizontal="left"/>
      <protection locked="0"/>
    </xf>
    <xf numFmtId="0" fontId="43" fillId="0" borderId="0" xfId="0" applyFont="1" applyFill="1"/>
    <xf numFmtId="0" fontId="43" fillId="0" borderId="0" xfId="0" applyFont="1" applyAlignment="1" applyProtection="1">
      <alignment horizontal="centerContinuous"/>
      <protection locked="0"/>
    </xf>
    <xf numFmtId="0" fontId="43" fillId="0" borderId="0" xfId="0" applyFont="1" applyFill="1" applyAlignment="1">
      <alignment horizontal="centerContinuous"/>
    </xf>
    <xf numFmtId="0" fontId="44" fillId="0" borderId="0" xfId="0" applyFont="1" applyFill="1"/>
    <xf numFmtId="0" fontId="43" fillId="0" borderId="0" xfId="0" applyFont="1" applyAlignment="1" applyProtection="1">
      <alignment horizontal="center"/>
    </xf>
    <xf numFmtId="0" fontId="43" fillId="0" borderId="9" xfId="0" applyFont="1" applyBorder="1" applyAlignment="1">
      <alignment horizontal="center" wrapText="1"/>
    </xf>
    <xf numFmtId="0" fontId="44" fillId="0" borderId="32" xfId="0" applyFont="1" applyBorder="1" applyProtection="1">
      <protection locked="0"/>
    </xf>
    <xf numFmtId="0" fontId="44" fillId="0" borderId="5" xfId="0" applyFont="1" applyFill="1" applyBorder="1" applyAlignment="1" applyProtection="1">
      <alignment horizontal="center"/>
      <protection locked="0"/>
    </xf>
    <xf numFmtId="0" fontId="44" fillId="0" borderId="33" xfId="0" applyFont="1" applyFill="1" applyBorder="1" applyAlignment="1" applyProtection="1">
      <alignment horizontal="center"/>
      <protection locked="0"/>
    </xf>
    <xf numFmtId="0" fontId="43" fillId="0" borderId="24" xfId="0" applyFont="1" applyBorder="1" applyAlignment="1">
      <alignment horizontal="center"/>
    </xf>
    <xf numFmtId="0" fontId="44" fillId="0" borderId="22" xfId="0" applyFont="1" applyBorder="1" applyProtection="1">
      <protection locked="0"/>
    </xf>
    <xf numFmtId="0" fontId="43" fillId="0" borderId="0" xfId="0" applyFont="1" applyFill="1" applyBorder="1"/>
    <xf numFmtId="0" fontId="43" fillId="0" borderId="23" xfId="0" applyFont="1" applyFill="1" applyBorder="1"/>
    <xf numFmtId="0" fontId="43" fillId="0" borderId="22" xfId="0" applyFont="1" applyBorder="1" applyProtection="1">
      <protection locked="0"/>
    </xf>
    <xf numFmtId="37" fontId="45" fillId="20" borderId="0" xfId="0" applyNumberFormat="1" applyFont="1" applyFill="1" applyProtection="1">
      <protection locked="0"/>
    </xf>
    <xf numFmtId="37" fontId="43" fillId="0" borderId="23" xfId="0" applyNumberFormat="1" applyFont="1" applyFill="1" applyBorder="1" applyProtection="1">
      <protection locked="0"/>
    </xf>
    <xf numFmtId="37" fontId="45" fillId="20" borderId="1" xfId="0" applyNumberFormat="1" applyFont="1" applyFill="1" applyBorder="1" applyProtection="1">
      <protection locked="0"/>
    </xf>
    <xf numFmtId="37" fontId="44" fillId="0" borderId="0" xfId="0" applyNumberFormat="1" applyFont="1" applyFill="1" applyBorder="1" applyProtection="1">
      <protection locked="0"/>
    </xf>
    <xf numFmtId="0" fontId="43" fillId="0" borderId="22" xfId="0" applyFont="1" applyBorder="1"/>
    <xf numFmtId="37" fontId="43" fillId="0" borderId="0" xfId="0" applyNumberFormat="1" applyFont="1" applyFill="1" applyBorder="1" applyProtection="1"/>
    <xf numFmtId="37" fontId="43" fillId="0" borderId="23" xfId="0" applyNumberFormat="1" applyFont="1" applyFill="1" applyBorder="1" applyProtection="1"/>
    <xf numFmtId="37" fontId="45" fillId="20" borderId="0" xfId="0" applyNumberFormat="1" applyFont="1" applyFill="1" applyBorder="1" applyProtection="1">
      <protection locked="0"/>
    </xf>
    <xf numFmtId="37" fontId="43" fillId="0" borderId="0" xfId="0" applyNumberFormat="1" applyFont="1" applyFill="1" applyBorder="1" applyProtection="1">
      <protection locked="0"/>
    </xf>
    <xf numFmtId="37" fontId="43" fillId="0" borderId="1" xfId="0" applyNumberFormat="1" applyFont="1" applyFill="1" applyBorder="1" applyProtection="1">
      <protection locked="0"/>
    </xf>
    <xf numFmtId="37" fontId="43" fillId="0" borderId="1" xfId="0" applyNumberFormat="1" applyFont="1" applyFill="1" applyBorder="1" applyProtection="1"/>
    <xf numFmtId="0" fontId="43" fillId="0" borderId="18" xfId="0" applyFont="1" applyBorder="1" applyAlignment="1">
      <alignment horizontal="center"/>
    </xf>
    <xf numFmtId="0" fontId="43" fillId="0" borderId="19" xfId="0" applyFont="1" applyBorder="1" applyProtection="1">
      <protection locked="0"/>
    </xf>
    <xf numFmtId="37" fontId="43" fillId="0" borderId="20" xfId="0" applyNumberFormat="1" applyFont="1" applyFill="1" applyBorder="1" applyProtection="1"/>
    <xf numFmtId="37" fontId="43" fillId="0" borderId="21" xfId="0" applyNumberFormat="1" applyFont="1" applyFill="1" applyBorder="1" applyProtection="1">
      <protection locked="0"/>
    </xf>
    <xf numFmtId="37" fontId="43" fillId="0" borderId="0" xfId="0" applyNumberFormat="1" applyFont="1"/>
    <xf numFmtId="0" fontId="43" fillId="0" borderId="14" xfId="189" applyFont="1" applyBorder="1" applyAlignment="1">
      <alignment horizontal="center"/>
    </xf>
    <xf numFmtId="0" fontId="43" fillId="0" borderId="18" xfId="189" applyFont="1" applyBorder="1" applyAlignment="1">
      <alignment horizontal="center"/>
    </xf>
    <xf numFmtId="0" fontId="43" fillId="0" borderId="24" xfId="189" applyFont="1" applyBorder="1" applyAlignment="1">
      <alignment horizontal="center"/>
    </xf>
    <xf numFmtId="0" fontId="43" fillId="0" borderId="0" xfId="189" applyFont="1" applyAlignment="1" applyProtection="1">
      <alignment horizontal="right"/>
      <protection locked="0"/>
    </xf>
    <xf numFmtId="168" fontId="43" fillId="0" borderId="0" xfId="189" applyNumberFormat="1" applyFont="1" applyAlignment="1" applyProtection="1">
      <alignment horizontal="left"/>
      <protection locked="0"/>
    </xf>
    <xf numFmtId="0" fontId="43" fillId="0" borderId="0" xfId="189" applyFont="1" applyAlignment="1" applyProtection="1">
      <alignment horizontal="center"/>
    </xf>
    <xf numFmtId="0" fontId="43" fillId="0" borderId="0" xfId="189" applyFont="1" applyFill="1" applyAlignment="1">
      <alignment horizontal="center"/>
    </xf>
    <xf numFmtId="0" fontId="43" fillId="0" borderId="35" xfId="189" applyFont="1" applyBorder="1"/>
    <xf numFmtId="0" fontId="43" fillId="0" borderId="26" xfId="189" applyFont="1" applyFill="1" applyBorder="1"/>
    <xf numFmtId="0" fontId="43" fillId="0" borderId="31" xfId="189" applyFont="1" applyBorder="1" applyAlignment="1">
      <alignment horizontal="center" wrapText="1"/>
    </xf>
    <xf numFmtId="0" fontId="44" fillId="0" borderId="36" xfId="189" applyFont="1" applyBorder="1" applyAlignment="1" applyProtection="1">
      <alignment wrapText="1"/>
      <protection locked="0"/>
    </xf>
    <xf numFmtId="0" fontId="44" fillId="0" borderId="31" xfId="189" applyFont="1" applyFill="1" applyBorder="1" applyAlignment="1" applyProtection="1">
      <alignment horizontal="center" wrapText="1"/>
      <protection locked="0"/>
    </xf>
    <xf numFmtId="0" fontId="43" fillId="0" borderId="35" xfId="189" applyFont="1" applyBorder="1" applyProtection="1">
      <protection locked="0"/>
    </xf>
    <xf numFmtId="0" fontId="43" fillId="0" borderId="26" xfId="189" applyFont="1" applyFill="1" applyBorder="1" applyProtection="1">
      <protection locked="0"/>
    </xf>
    <xf numFmtId="37" fontId="43" fillId="0" borderId="28" xfId="189" applyNumberFormat="1" applyFont="1" applyFill="1" applyBorder="1" applyProtection="1">
      <protection locked="0"/>
    </xf>
    <xf numFmtId="10" fontId="43" fillId="0" borderId="28" xfId="189" applyNumberFormat="1" applyFont="1" applyFill="1" applyBorder="1" applyProtection="1">
      <protection locked="0"/>
    </xf>
    <xf numFmtId="37" fontId="43" fillId="0" borderId="28" xfId="189" applyNumberFormat="1" applyFont="1" applyFill="1" applyBorder="1" applyProtection="1"/>
    <xf numFmtId="10" fontId="43" fillId="0" borderId="28" xfId="189" applyNumberFormat="1" applyFont="1" applyFill="1" applyBorder="1" applyProtection="1"/>
    <xf numFmtId="37" fontId="43" fillId="0" borderId="26" xfId="189" applyNumberFormat="1" applyFont="1" applyFill="1" applyBorder="1" applyProtection="1">
      <protection locked="0"/>
    </xf>
    <xf numFmtId="10" fontId="43" fillId="0" borderId="37" xfId="189" applyNumberFormat="1" applyFont="1" applyFill="1" applyBorder="1" applyProtection="1">
      <protection locked="0"/>
    </xf>
    <xf numFmtId="0" fontId="43" fillId="0" borderId="31" xfId="189" applyFont="1" applyBorder="1" applyAlignment="1">
      <alignment horizontal="center"/>
    </xf>
    <xf numFmtId="0" fontId="43" fillId="0" borderId="36" xfId="189" applyFont="1" applyBorder="1"/>
    <xf numFmtId="0" fontId="43" fillId="0" borderId="38" xfId="189" applyFont="1" applyFill="1" applyBorder="1"/>
    <xf numFmtId="0" fontId="43" fillId="0" borderId="36" xfId="189" applyFont="1" applyFill="1" applyBorder="1"/>
    <xf numFmtId="0" fontId="43" fillId="0" borderId="29" xfId="189" applyFont="1" applyFill="1" applyBorder="1"/>
    <xf numFmtId="0" fontId="43" fillId="0" borderId="0" xfId="189" applyFont="1" applyFill="1" applyBorder="1"/>
    <xf numFmtId="0" fontId="43" fillId="0" borderId="27" xfId="189" applyFont="1" applyBorder="1" applyAlignment="1">
      <alignment horizontal="left" indent="1"/>
    </xf>
    <xf numFmtId="10" fontId="43" fillId="0" borderId="26" xfId="189" applyNumberFormat="1" applyFont="1" applyFill="1" applyBorder="1" applyProtection="1"/>
    <xf numFmtId="10" fontId="43" fillId="0" borderId="26" xfId="189" applyNumberFormat="1" applyFont="1" applyFill="1" applyBorder="1" applyProtection="1">
      <protection locked="0"/>
    </xf>
    <xf numFmtId="5" fontId="43" fillId="0" borderId="26" xfId="189" applyNumberFormat="1" applyFont="1" applyFill="1" applyBorder="1"/>
    <xf numFmtId="0" fontId="43" fillId="0" borderId="27" xfId="189" applyFont="1" applyBorder="1" applyAlignment="1">
      <alignment horizontal="left"/>
    </xf>
    <xf numFmtId="0" fontId="28" fillId="0" borderId="0" xfId="0" applyFont="1" applyAlignment="1">
      <alignment horizontal="centerContinuous"/>
    </xf>
    <xf numFmtId="0" fontId="28" fillId="0" borderId="39" xfId="0" applyFont="1" applyBorder="1" applyProtection="1">
      <protection locked="0"/>
    </xf>
    <xf numFmtId="0" fontId="28" fillId="0" borderId="30" xfId="0" applyFont="1" applyBorder="1" applyAlignment="1" applyProtection="1">
      <alignment horizontal="center"/>
      <protection locked="0"/>
    </xf>
    <xf numFmtId="0" fontId="43" fillId="0" borderId="35" xfId="189" applyFont="1" applyBorder="1" applyAlignment="1">
      <alignment horizontal="center" wrapText="1"/>
    </xf>
    <xf numFmtId="0" fontId="43" fillId="0" borderId="22" xfId="0" applyFont="1" applyBorder="1" applyAlignment="1" applyProtection="1">
      <alignment horizontal="left"/>
      <protection locked="0"/>
    </xf>
    <xf numFmtId="0" fontId="44" fillId="0" borderId="0" xfId="189" applyFont="1" applyBorder="1"/>
    <xf numFmtId="0" fontId="43" fillId="0" borderId="0" xfId="189" applyFont="1" applyBorder="1" applyAlignment="1">
      <alignment horizontal="left" indent="1"/>
    </xf>
    <xf numFmtId="0" fontId="27" fillId="0" borderId="0" xfId="189" applyFont="1" applyAlignment="1">
      <alignment horizontal="center"/>
    </xf>
    <xf numFmtId="0" fontId="28" fillId="0" borderId="9" xfId="189" applyFont="1" applyBorder="1" applyAlignment="1">
      <alignment horizontal="center" wrapText="1"/>
    </xf>
    <xf numFmtId="0" fontId="30" fillId="0" borderId="18" xfId="189" applyFont="1" applyBorder="1"/>
    <xf numFmtId="164" fontId="43" fillId="0" borderId="24" xfId="35" applyNumberFormat="1" applyFont="1" applyBorder="1"/>
    <xf numFmtId="164" fontId="43" fillId="0" borderId="18" xfId="35" applyNumberFormat="1" applyFont="1" applyBorder="1"/>
    <xf numFmtId="37" fontId="43" fillId="0" borderId="40" xfId="189" applyNumberFormat="1" applyFont="1" applyBorder="1" applyProtection="1">
      <protection locked="0"/>
    </xf>
    <xf numFmtId="37" fontId="43" fillId="0" borderId="23" xfId="0" applyNumberFormat="1" applyFont="1" applyBorder="1" applyProtection="1">
      <protection locked="0"/>
    </xf>
    <xf numFmtId="37" fontId="43" fillId="0" borderId="31" xfId="189" applyNumberFormat="1" applyFont="1" applyBorder="1" applyProtection="1">
      <protection locked="0"/>
    </xf>
    <xf numFmtId="37" fontId="43" fillId="0" borderId="41" xfId="189" applyNumberFormat="1" applyFont="1" applyBorder="1" applyProtection="1">
      <protection locked="0"/>
    </xf>
    <xf numFmtId="37" fontId="43" fillId="0" borderId="35" xfId="189" applyNumberFormat="1" applyFont="1" applyBorder="1" applyProtection="1">
      <protection locked="0"/>
    </xf>
    <xf numFmtId="37" fontId="43" fillId="0" borderId="26" xfId="189" applyNumberFormat="1" applyFont="1" applyBorder="1" applyProtection="1">
      <protection locked="0"/>
    </xf>
    <xf numFmtId="37" fontId="43" fillId="0" borderId="37" xfId="189" applyNumberFormat="1" applyFont="1" applyFill="1" applyBorder="1" applyProtection="1">
      <protection locked="0"/>
    </xf>
    <xf numFmtId="37" fontId="43" fillId="0" borderId="42" xfId="189" applyNumberFormat="1" applyFont="1" applyFill="1" applyBorder="1" applyProtection="1">
      <protection locked="0"/>
    </xf>
    <xf numFmtId="10" fontId="43" fillId="0" borderId="42" xfId="189" applyNumberFormat="1" applyFont="1" applyFill="1" applyBorder="1" applyProtection="1">
      <protection locked="0"/>
    </xf>
    <xf numFmtId="0" fontId="43" fillId="0" borderId="28" xfId="189" applyFont="1" applyBorder="1" applyAlignment="1">
      <alignment horizontal="left" indent="1"/>
    </xf>
    <xf numFmtId="0" fontId="25" fillId="0" borderId="0" xfId="232" applyFont="1"/>
    <xf numFmtId="0" fontId="24" fillId="0" borderId="0" xfId="232" applyFont="1"/>
    <xf numFmtId="0" fontId="24" fillId="0" borderId="0" xfId="232" applyFont="1" applyAlignment="1">
      <alignment horizontal="center"/>
    </xf>
    <xf numFmtId="0" fontId="25" fillId="0" borderId="0" xfId="232" applyFont="1" applyAlignment="1">
      <alignment horizontal="center"/>
    </xf>
    <xf numFmtId="0" fontId="25" fillId="0" borderId="14" xfId="232" applyFont="1" applyBorder="1" applyAlignment="1">
      <alignment horizontal="center"/>
    </xf>
    <xf numFmtId="164" fontId="25" fillId="0" borderId="0" xfId="51" applyNumberFormat="1" applyFont="1" applyBorder="1"/>
    <xf numFmtId="164" fontId="25" fillId="0" borderId="23" xfId="51" applyNumberFormat="1" applyFont="1" applyBorder="1"/>
    <xf numFmtId="0" fontId="25" fillId="0" borderId="24" xfId="232" applyFont="1" applyBorder="1" applyAlignment="1">
      <alignment horizontal="center"/>
    </xf>
    <xf numFmtId="0" fontId="25" fillId="0" borderId="22" xfId="232" applyFont="1" applyBorder="1"/>
    <xf numFmtId="0" fontId="25" fillId="0" borderId="19" xfId="232" applyFont="1" applyBorder="1"/>
    <xf numFmtId="164" fontId="25" fillId="0" borderId="20" xfId="51" applyNumberFormat="1" applyFont="1" applyBorder="1"/>
    <xf numFmtId="164" fontId="25" fillId="0" borderId="21" xfId="51" applyNumberFormat="1" applyFont="1" applyBorder="1"/>
    <xf numFmtId="0" fontId="25" fillId="0" borderId="16" xfId="232" applyFont="1" applyBorder="1" applyAlignment="1">
      <alignment horizontal="center"/>
    </xf>
    <xf numFmtId="0" fontId="25" fillId="0" borderId="0" xfId="232" applyFont="1" applyBorder="1" applyAlignment="1">
      <alignment horizontal="center"/>
    </xf>
    <xf numFmtId="0" fontId="25" fillId="0" borderId="9" xfId="232" applyFont="1" applyBorder="1" applyAlignment="1">
      <alignment horizontal="center" wrapText="1"/>
    </xf>
    <xf numFmtId="0" fontId="24" fillId="0" borderId="32" xfId="232" applyFont="1" applyBorder="1"/>
    <xf numFmtId="0" fontId="24" fillId="0" borderId="5" xfId="232" applyFont="1" applyBorder="1" applyAlignment="1">
      <alignment horizontal="center"/>
    </xf>
    <xf numFmtId="0" fontId="24" fillId="0" borderId="5" xfId="232" applyFont="1" applyBorder="1" applyAlignment="1">
      <alignment horizontal="center" wrapText="1"/>
    </xf>
    <xf numFmtId="0" fontId="24" fillId="0" borderId="33" xfId="232" applyFont="1" applyBorder="1" applyAlignment="1">
      <alignment horizontal="center"/>
    </xf>
    <xf numFmtId="0" fontId="43" fillId="0" borderId="0" xfId="175" applyFont="1" applyAlignment="1">
      <alignment horizontal="center"/>
    </xf>
    <xf numFmtId="0" fontId="43" fillId="0" borderId="0" xfId="175" applyFont="1"/>
    <xf numFmtId="0" fontId="43" fillId="0" borderId="14" xfId="175" applyFont="1" applyBorder="1" applyAlignment="1">
      <alignment horizontal="center"/>
    </xf>
    <xf numFmtId="0" fontId="44" fillId="0" borderId="16" xfId="175" applyFont="1" applyBorder="1" applyAlignment="1">
      <alignment horizontal="center"/>
    </xf>
    <xf numFmtId="0" fontId="44" fillId="0" borderId="17" xfId="175" applyFont="1" applyBorder="1" applyAlignment="1">
      <alignment horizontal="center"/>
    </xf>
    <xf numFmtId="0" fontId="43" fillId="0" borderId="24" xfId="175" applyFont="1" applyBorder="1" applyAlignment="1">
      <alignment horizontal="center"/>
    </xf>
    <xf numFmtId="0" fontId="44" fillId="0" borderId="22" xfId="175" applyFont="1" applyBorder="1" applyAlignment="1">
      <alignment horizontal="center"/>
    </xf>
    <xf numFmtId="0" fontId="44" fillId="0" borderId="0" xfId="175" applyFont="1" applyBorder="1" applyAlignment="1">
      <alignment horizontal="center"/>
    </xf>
    <xf numFmtId="0" fontId="44" fillId="0" borderId="23" xfId="175" applyFont="1" applyBorder="1" applyAlignment="1">
      <alignment horizontal="center"/>
    </xf>
    <xf numFmtId="0" fontId="43" fillId="0" borderId="18" xfId="175" applyFont="1" applyBorder="1" applyAlignment="1">
      <alignment horizontal="center" wrapText="1"/>
    </xf>
    <xf numFmtId="0" fontId="44" fillId="0" borderId="20" xfId="175" quotePrefix="1" applyFont="1" applyBorder="1" applyAlignment="1">
      <alignment horizontal="center" wrapText="1"/>
    </xf>
    <xf numFmtId="0" fontId="44" fillId="0" borderId="21" xfId="175" applyFont="1" applyBorder="1" applyAlignment="1">
      <alignment horizontal="center"/>
    </xf>
    <xf numFmtId="0" fontId="43" fillId="0" borderId="0" xfId="175" applyFont="1" applyBorder="1"/>
    <xf numFmtId="3" fontId="43" fillId="0" borderId="0" xfId="175" applyNumberFormat="1" applyFont="1" applyBorder="1"/>
    <xf numFmtId="0" fontId="43" fillId="0" borderId="0" xfId="175" applyFont="1" applyBorder="1" applyAlignment="1">
      <alignment horizontal="center"/>
    </xf>
    <xf numFmtId="0" fontId="43" fillId="0" borderId="22" xfId="175" applyFont="1" applyBorder="1"/>
    <xf numFmtId="0" fontId="44" fillId="0" borderId="22" xfId="175" applyFont="1" applyBorder="1" applyAlignment="1">
      <alignment horizontal="left" indent="1"/>
    </xf>
    <xf numFmtId="0" fontId="43" fillId="0" borderId="18" xfId="175" applyFont="1" applyBorder="1" applyAlignment="1">
      <alignment horizontal="center"/>
    </xf>
    <xf numFmtId="0" fontId="43" fillId="0" borderId="20" xfId="175" applyFont="1" applyBorder="1"/>
    <xf numFmtId="0" fontId="43" fillId="0" borderId="21" xfId="175" applyFont="1" applyBorder="1"/>
    <xf numFmtId="164" fontId="24" fillId="18" borderId="17" xfId="30" applyNumberFormat="1" applyFont="1" applyFill="1" applyBorder="1"/>
    <xf numFmtId="164" fontId="24" fillId="18" borderId="16" xfId="30" applyNumberFormat="1" applyFont="1" applyFill="1" applyBorder="1"/>
    <xf numFmtId="164" fontId="25" fillId="18" borderId="16" xfId="30" applyNumberFormat="1" applyFont="1" applyFill="1" applyBorder="1"/>
    <xf numFmtId="164" fontId="24" fillId="18" borderId="16" xfId="51" applyNumberFormat="1" applyFont="1" applyFill="1" applyBorder="1"/>
    <xf numFmtId="164" fontId="24" fillId="18" borderId="17" xfId="51" applyNumberFormat="1" applyFont="1" applyFill="1" applyBorder="1"/>
    <xf numFmtId="37" fontId="44" fillId="18" borderId="26" xfId="189" applyNumberFormat="1" applyFont="1" applyFill="1" applyBorder="1" applyProtection="1">
      <protection locked="0"/>
    </xf>
    <xf numFmtId="0" fontId="24" fillId="0" borderId="22" xfId="232" applyFont="1" applyBorder="1" applyAlignment="1">
      <alignment horizontal="left" indent="1"/>
    </xf>
    <xf numFmtId="0" fontId="24" fillId="0" borderId="22" xfId="0" applyFont="1" applyBorder="1" applyAlignment="1">
      <alignment horizontal="left" indent="1"/>
    </xf>
    <xf numFmtId="0" fontId="44" fillId="0" borderId="15" xfId="175" applyFont="1" applyBorder="1" applyAlignment="1">
      <alignment horizontal="center"/>
    </xf>
    <xf numFmtId="0" fontId="44" fillId="0" borderId="19" xfId="175" applyFont="1" applyBorder="1"/>
    <xf numFmtId="0" fontId="43" fillId="0" borderId="19" xfId="175" applyFont="1" applyBorder="1"/>
    <xf numFmtId="0" fontId="43" fillId="0" borderId="36" xfId="202" applyFont="1" applyBorder="1"/>
    <xf numFmtId="0" fontId="43" fillId="0" borderId="38" xfId="202" applyFont="1" applyBorder="1"/>
    <xf numFmtId="37" fontId="43" fillId="0" borderId="44" xfId="202" applyNumberFormat="1" applyFont="1" applyFill="1" applyBorder="1" applyProtection="1"/>
    <xf numFmtId="0" fontId="43" fillId="0" borderId="27" xfId="202" applyFont="1" applyBorder="1"/>
    <xf numFmtId="0" fontId="44" fillId="0" borderId="27" xfId="202" applyFont="1" applyBorder="1" applyAlignment="1">
      <alignment horizontal="left" indent="1"/>
    </xf>
    <xf numFmtId="0" fontId="44" fillId="0" borderId="38" xfId="202" applyFont="1" applyFill="1" applyBorder="1" applyAlignment="1">
      <alignment horizontal="center" wrapText="1"/>
    </xf>
    <xf numFmtId="37" fontId="43" fillId="0" borderId="45" xfId="202" applyNumberFormat="1" applyFont="1" applyBorder="1" applyProtection="1"/>
    <xf numFmtId="37" fontId="44" fillId="18" borderId="44" xfId="202" applyNumberFormat="1" applyFont="1" applyFill="1" applyBorder="1" applyProtection="1"/>
    <xf numFmtId="0" fontId="44" fillId="0" borderId="46" xfId="202" applyFont="1" applyFill="1" applyBorder="1" applyAlignment="1">
      <alignment horizontal="center" wrapText="1"/>
    </xf>
    <xf numFmtId="37" fontId="43" fillId="0" borderId="0" xfId="202" applyNumberFormat="1" applyFont="1" applyFill="1" applyBorder="1" applyProtection="1"/>
    <xf numFmtId="37" fontId="43" fillId="0" borderId="0" xfId="202" applyNumberFormat="1" applyFont="1" applyBorder="1" applyProtection="1"/>
    <xf numFmtId="37" fontId="44" fillId="0" borderId="0" xfId="202" applyNumberFormat="1" applyFont="1" applyBorder="1" applyProtection="1"/>
    <xf numFmtId="37" fontId="43" fillId="0" borderId="34" xfId="0" applyNumberFormat="1" applyFont="1" applyFill="1" applyBorder="1" applyProtection="1"/>
    <xf numFmtId="0" fontId="44" fillId="0" borderId="36" xfId="202" applyFont="1" applyBorder="1"/>
    <xf numFmtId="39" fontId="27" fillId="0" borderId="0" xfId="218" applyFont="1" applyAlignment="1" applyProtection="1">
      <alignment horizontal="center"/>
    </xf>
    <xf numFmtId="39" fontId="27" fillId="0" borderId="0" xfId="218" applyFont="1"/>
    <xf numFmtId="39" fontId="27" fillId="0" borderId="0" xfId="218" applyFont="1" applyProtection="1"/>
    <xf numFmtId="39" fontId="27" fillId="0" borderId="0" xfId="218" applyFont="1" applyBorder="1" applyProtection="1"/>
    <xf numFmtId="39" fontId="28" fillId="0" borderId="0" xfId="218" applyFont="1" applyBorder="1" applyAlignment="1" applyProtection="1">
      <alignment horizontal="centerContinuous"/>
      <protection locked="0"/>
    </xf>
    <xf numFmtId="37" fontId="28" fillId="0" borderId="0" xfId="218" applyNumberFormat="1" applyFont="1" applyBorder="1" applyAlignment="1" applyProtection="1">
      <alignment horizontal="centerContinuous"/>
    </xf>
    <xf numFmtId="39" fontId="28" fillId="0" borderId="0" xfId="218" applyFont="1" applyProtection="1"/>
    <xf numFmtId="37" fontId="28" fillId="0" borderId="0" xfId="218" applyNumberFormat="1" applyFont="1" applyAlignment="1" applyProtection="1">
      <alignment horizontal="centerContinuous"/>
    </xf>
    <xf numFmtId="39" fontId="27" fillId="0" borderId="14" xfId="218" applyFont="1" applyBorder="1" applyAlignment="1" applyProtection="1">
      <alignment horizontal="center"/>
    </xf>
    <xf numFmtId="37" fontId="28" fillId="0" borderId="14" xfId="218" applyNumberFormat="1" applyFont="1" applyBorder="1" applyAlignment="1" applyProtection="1">
      <alignment horizontal="center"/>
      <protection locked="0"/>
    </xf>
    <xf numFmtId="39" fontId="27" fillId="0" borderId="18" xfId="218" applyFont="1" applyBorder="1" applyAlignment="1" applyProtection="1">
      <alignment horizontal="center"/>
    </xf>
    <xf numFmtId="37" fontId="28" fillId="0" borderId="18" xfId="218" applyNumberFormat="1" applyFont="1" applyBorder="1" applyAlignment="1" applyProtection="1">
      <alignment horizontal="center"/>
      <protection locked="0"/>
    </xf>
    <xf numFmtId="174" fontId="27" fillId="0" borderId="28" xfId="218" applyNumberFormat="1" applyFont="1" applyBorder="1" applyAlignment="1" applyProtection="1">
      <alignment horizontal="center"/>
    </xf>
    <xf numFmtId="39" fontId="28" fillId="0" borderId="44" xfId="218" applyFont="1" applyBorder="1" applyProtection="1">
      <protection locked="0"/>
    </xf>
    <xf numFmtId="39" fontId="27" fillId="0" borderId="28" xfId="218" applyFont="1" applyBorder="1" applyAlignment="1" applyProtection="1">
      <alignment horizontal="center"/>
    </xf>
    <xf numFmtId="37" fontId="27" fillId="0" borderId="28" xfId="218" applyNumberFormat="1" applyFont="1" applyBorder="1" applyAlignment="1" applyProtection="1">
      <alignment horizontal="center"/>
      <protection locked="0"/>
    </xf>
    <xf numFmtId="39" fontId="27" fillId="0" borderId="44" xfId="218" applyFont="1" applyBorder="1" applyProtection="1">
      <protection locked="0"/>
    </xf>
    <xf numFmtId="39" fontId="27" fillId="0" borderId="28" xfId="218" applyFont="1" applyBorder="1" applyAlignment="1" applyProtection="1">
      <alignment horizontal="center"/>
      <protection locked="0"/>
    </xf>
    <xf numFmtId="39" fontId="28" fillId="0" borderId="25" xfId="218" applyFont="1" applyBorder="1" applyProtection="1">
      <protection locked="0"/>
    </xf>
    <xf numFmtId="39" fontId="27" fillId="0" borderId="46" xfId="218" applyFont="1" applyBorder="1" applyAlignment="1" applyProtection="1">
      <alignment horizontal="center"/>
    </xf>
    <xf numFmtId="39" fontId="28" fillId="0" borderId="26" xfId="218" applyFont="1" applyBorder="1" applyProtection="1">
      <protection locked="0"/>
    </xf>
    <xf numFmtId="39" fontId="27" fillId="0" borderId="26" xfId="218" applyFont="1" applyBorder="1" applyAlignment="1" applyProtection="1">
      <alignment horizontal="center"/>
    </xf>
    <xf numFmtId="39" fontId="28" fillId="0" borderId="28" xfId="218" applyFont="1" applyBorder="1" applyAlignment="1" applyProtection="1">
      <alignment horizontal="center"/>
      <protection locked="0"/>
    </xf>
    <xf numFmtId="39" fontId="27" fillId="0" borderId="24" xfId="218" applyFont="1" applyBorder="1" applyAlignment="1" applyProtection="1">
      <alignment horizontal="center"/>
    </xf>
    <xf numFmtId="39" fontId="27" fillId="0" borderId="44" xfId="218" applyFont="1" applyFill="1" applyBorder="1" applyProtection="1">
      <protection locked="0"/>
    </xf>
    <xf numFmtId="39" fontId="27" fillId="0" borderId="24" xfId="218" applyFont="1" applyBorder="1" applyAlignment="1" applyProtection="1">
      <alignment horizontal="center"/>
      <protection locked="0"/>
    </xf>
    <xf numFmtId="39" fontId="28" fillId="0" borderId="23" xfId="218" applyFont="1" applyBorder="1" applyProtection="1">
      <protection locked="0"/>
    </xf>
    <xf numFmtId="39" fontId="28" fillId="0" borderId="24" xfId="218" applyFont="1" applyBorder="1" applyAlignment="1" applyProtection="1">
      <alignment horizontal="center"/>
      <protection locked="0"/>
    </xf>
    <xf numFmtId="174" fontId="27" fillId="0" borderId="27" xfId="218" applyNumberFormat="1" applyFont="1" applyBorder="1" applyAlignment="1" applyProtection="1">
      <alignment horizontal="center"/>
    </xf>
    <xf numFmtId="39" fontId="27" fillId="0" borderId="46" xfId="218" applyFont="1" applyBorder="1" applyAlignment="1" applyProtection="1">
      <alignment horizontal="center"/>
      <protection locked="0"/>
    </xf>
    <xf numFmtId="39" fontId="27" fillId="0" borderId="15" xfId="218" applyFont="1" applyBorder="1" applyAlignment="1" applyProtection="1">
      <alignment horizontal="center"/>
    </xf>
    <xf numFmtId="39" fontId="27" fillId="0" borderId="19" xfId="218" applyFont="1" applyBorder="1" applyAlignment="1" applyProtection="1">
      <alignment horizontal="center"/>
    </xf>
    <xf numFmtId="39" fontId="28" fillId="0" borderId="48" xfId="218" applyFont="1" applyBorder="1" applyProtection="1">
      <protection locked="0"/>
    </xf>
    <xf numFmtId="39" fontId="27" fillId="0" borderId="35" xfId="218" applyFont="1" applyBorder="1" applyAlignment="1" applyProtection="1">
      <alignment horizontal="center"/>
    </xf>
    <xf numFmtId="39" fontId="27" fillId="0" borderId="50" xfId="218" applyFont="1" applyBorder="1" applyProtection="1">
      <protection locked="0"/>
    </xf>
    <xf numFmtId="39" fontId="27" fillId="0" borderId="27" xfId="218" applyFont="1" applyBorder="1" applyAlignment="1" applyProtection="1">
      <alignment horizontal="center"/>
      <protection locked="0"/>
    </xf>
    <xf numFmtId="39" fontId="27" fillId="0" borderId="50" xfId="218" quotePrefix="1" applyFont="1" applyBorder="1" applyProtection="1">
      <protection locked="0"/>
    </xf>
    <xf numFmtId="37" fontId="27" fillId="0" borderId="24" xfId="218" applyNumberFormat="1" applyFont="1" applyFill="1" applyBorder="1" applyProtection="1">
      <protection locked="0"/>
    </xf>
    <xf numFmtId="39" fontId="28" fillId="0" borderId="27" xfId="218" applyFont="1" applyBorder="1" applyAlignment="1" applyProtection="1">
      <alignment horizontal="center"/>
      <protection locked="0"/>
    </xf>
    <xf numFmtId="39" fontId="27" fillId="0" borderId="27" xfId="218" applyFont="1" applyBorder="1" applyAlignment="1" applyProtection="1">
      <alignment horizontal="center"/>
    </xf>
    <xf numFmtId="39" fontId="27" fillId="0" borderId="50" xfId="218" applyFont="1" applyBorder="1" applyAlignment="1" applyProtection="1">
      <alignment horizontal="left" indent="2"/>
      <protection locked="0"/>
    </xf>
    <xf numFmtId="39" fontId="27" fillId="0" borderId="0" xfId="218" applyFont="1" applyBorder="1" applyAlignment="1" applyProtection="1">
      <alignment horizontal="center"/>
      <protection locked="0"/>
    </xf>
    <xf numFmtId="39" fontId="28" fillId="0" borderId="32" xfId="218" applyFont="1" applyBorder="1" applyProtection="1">
      <protection locked="0"/>
    </xf>
    <xf numFmtId="39" fontId="28" fillId="0" borderId="5" xfId="218" applyFont="1" applyBorder="1" applyAlignment="1" applyProtection="1">
      <alignment horizontal="center"/>
      <protection locked="0"/>
    </xf>
    <xf numFmtId="39" fontId="28" fillId="0" borderId="15" xfId="218" applyFont="1" applyBorder="1" applyProtection="1">
      <protection locked="0"/>
    </xf>
    <xf numFmtId="39" fontId="28" fillId="0" borderId="14" xfId="218" applyFont="1" applyBorder="1" applyAlignment="1" applyProtection="1">
      <alignment horizontal="center"/>
      <protection locked="0"/>
    </xf>
    <xf numFmtId="39" fontId="28" fillId="0" borderId="50" xfId="218" applyFont="1" applyBorder="1" applyProtection="1">
      <protection locked="0"/>
    </xf>
    <xf numFmtId="37" fontId="27" fillId="0" borderId="24" xfId="218" quotePrefix="1" applyNumberFormat="1" applyFont="1" applyFill="1" applyBorder="1" applyAlignment="1" applyProtection="1">
      <alignment horizontal="center"/>
    </xf>
    <xf numFmtId="39" fontId="27" fillId="0" borderId="51" xfId="218" applyFont="1" applyBorder="1" applyProtection="1">
      <protection locked="0"/>
    </xf>
    <xf numFmtId="39" fontId="27" fillId="0" borderId="36" xfId="218" applyFont="1" applyBorder="1" applyAlignment="1" applyProtection="1">
      <alignment horizontal="center"/>
      <protection locked="0"/>
    </xf>
    <xf numFmtId="39" fontId="44" fillId="0" borderId="52" xfId="218" applyFont="1" applyBorder="1" applyProtection="1"/>
    <xf numFmtId="39" fontId="44" fillId="0" borderId="53" xfId="218" applyFont="1" applyBorder="1" applyAlignment="1" applyProtection="1">
      <alignment horizontal="center"/>
    </xf>
    <xf numFmtId="39" fontId="44" fillId="0" borderId="22" xfId="218" applyFont="1" applyBorder="1" applyProtection="1"/>
    <xf numFmtId="39" fontId="44" fillId="0" borderId="14" xfId="218" applyFont="1" applyBorder="1" applyAlignment="1" applyProtection="1">
      <alignment horizontal="center"/>
    </xf>
    <xf numFmtId="39" fontId="27" fillId="0" borderId="27" xfId="218" applyFont="1" applyFill="1" applyBorder="1" applyAlignment="1" applyProtection="1">
      <alignment horizontal="center"/>
      <protection locked="0"/>
    </xf>
    <xf numFmtId="174" fontId="27" fillId="0" borderId="19" xfId="218" applyNumberFormat="1" applyFont="1" applyBorder="1" applyAlignment="1" applyProtection="1">
      <alignment horizontal="center"/>
    </xf>
    <xf numFmtId="39" fontId="27" fillId="0" borderId="32" xfId="218" applyFont="1" applyBorder="1" applyProtection="1"/>
    <xf numFmtId="39" fontId="27" fillId="0" borderId="5" xfId="218" applyFont="1" applyBorder="1" applyAlignment="1" applyProtection="1">
      <alignment horizontal="center"/>
    </xf>
    <xf numFmtId="174" fontId="27" fillId="0" borderId="0" xfId="218" applyNumberFormat="1" applyFont="1" applyBorder="1" applyAlignment="1" applyProtection="1">
      <alignment horizontal="center"/>
    </xf>
    <xf numFmtId="39" fontId="27" fillId="0" borderId="0" xfId="218" applyFont="1" applyBorder="1" applyAlignment="1" applyProtection="1">
      <alignment horizontal="center"/>
    </xf>
    <xf numFmtId="37" fontId="27" fillId="0" borderId="57" xfId="218" applyNumberFormat="1" applyFont="1" applyFill="1" applyBorder="1" applyProtection="1">
      <protection locked="0"/>
    </xf>
    <xf numFmtId="37" fontId="27" fillId="0" borderId="57" xfId="218" applyNumberFormat="1" applyFont="1" applyFill="1" applyBorder="1"/>
    <xf numFmtId="39" fontId="44" fillId="0" borderId="58" xfId="218" applyFont="1" applyBorder="1" applyProtection="1"/>
    <xf numFmtId="39" fontId="44" fillId="0" borderId="46" xfId="218" applyFont="1" applyBorder="1" applyAlignment="1" applyProtection="1">
      <alignment horizontal="center"/>
    </xf>
    <xf numFmtId="39" fontId="44" fillId="0" borderId="60" xfId="218" applyFont="1" applyBorder="1" applyProtection="1"/>
    <xf numFmtId="39" fontId="44" fillId="0" borderId="26" xfId="218" applyFont="1" applyBorder="1" applyAlignment="1" applyProtection="1">
      <alignment horizontal="center"/>
    </xf>
    <xf numFmtId="39" fontId="28" fillId="0" borderId="14" xfId="218" applyFont="1" applyBorder="1"/>
    <xf numFmtId="39" fontId="27" fillId="0" borderId="14" xfId="218" applyFont="1" applyBorder="1"/>
    <xf numFmtId="39" fontId="27" fillId="0" borderId="18" xfId="218" applyFont="1" applyBorder="1" applyAlignment="1">
      <alignment horizontal="left" indent="1"/>
    </xf>
    <xf numFmtId="39" fontId="27" fillId="0" borderId="18" xfId="218" applyFont="1" applyBorder="1"/>
    <xf numFmtId="37" fontId="27" fillId="0" borderId="18" xfId="218" applyNumberFormat="1" applyFont="1" applyBorder="1"/>
    <xf numFmtId="39" fontId="27" fillId="0" borderId="40" xfId="218" applyFont="1" applyBorder="1"/>
    <xf numFmtId="39" fontId="27" fillId="0" borderId="32" xfId="218" applyFont="1" applyBorder="1"/>
    <xf numFmtId="39" fontId="27" fillId="0" borderId="5" xfId="218" applyFont="1" applyBorder="1" applyAlignment="1">
      <alignment horizontal="center"/>
    </xf>
    <xf numFmtId="37" fontId="27" fillId="0" borderId="33" xfId="218" applyNumberFormat="1" applyFont="1" applyBorder="1"/>
    <xf numFmtId="39" fontId="27" fillId="0" borderId="0" xfId="218" applyFont="1" applyAlignment="1">
      <alignment horizontal="center"/>
    </xf>
    <xf numFmtId="37" fontId="27" fillId="0" borderId="0" xfId="218" applyNumberFormat="1" applyFont="1"/>
    <xf numFmtId="39" fontId="27" fillId="0" borderId="0" xfId="218" applyFont="1" applyBorder="1" applyAlignment="1" applyProtection="1">
      <alignment horizontal="center" vertical="center"/>
    </xf>
    <xf numFmtId="174" fontId="27" fillId="0" borderId="20" xfId="218" applyNumberFormat="1" applyFont="1" applyBorder="1" applyAlignment="1" applyProtection="1">
      <alignment horizontal="center"/>
    </xf>
    <xf numFmtId="39" fontId="27" fillId="0" borderId="20" xfId="218" applyFont="1" applyBorder="1" applyProtection="1"/>
    <xf numFmtId="39" fontId="27" fillId="0" borderId="20" xfId="218" applyFont="1" applyBorder="1" applyAlignment="1" applyProtection="1">
      <alignment horizontal="center"/>
    </xf>
    <xf numFmtId="174" fontId="27" fillId="0" borderId="31" xfId="218" applyNumberFormat="1" applyFont="1" applyBorder="1" applyAlignment="1" applyProtection="1">
      <alignment horizontal="center"/>
    </xf>
    <xf numFmtId="39" fontId="27" fillId="0" borderId="1" xfId="218" applyFont="1" applyBorder="1" applyProtection="1"/>
    <xf numFmtId="39" fontId="27" fillId="0" borderId="1" xfId="218" applyFont="1" applyBorder="1" applyAlignment="1" applyProtection="1">
      <alignment horizontal="left"/>
    </xf>
    <xf numFmtId="39" fontId="27" fillId="0" borderId="22" xfId="218" applyFont="1" applyBorder="1" applyProtection="1">
      <protection locked="0"/>
    </xf>
    <xf numFmtId="39" fontId="27" fillId="0" borderId="43" xfId="218" applyFont="1" applyBorder="1" applyProtection="1">
      <protection locked="0"/>
    </xf>
    <xf numFmtId="39" fontId="27" fillId="0" borderId="61" xfId="218" applyFont="1" applyBorder="1" applyAlignment="1" applyProtection="1">
      <alignment horizontal="center"/>
      <protection locked="0"/>
    </xf>
    <xf numFmtId="0" fontId="44" fillId="0" borderId="19" xfId="0" applyFont="1" applyBorder="1"/>
    <xf numFmtId="0" fontId="44" fillId="0" borderId="20" xfId="0" applyFont="1" applyBorder="1"/>
    <xf numFmtId="0" fontId="44" fillId="0" borderId="21" xfId="0" applyFont="1" applyBorder="1" applyAlignment="1">
      <alignment horizontal="center"/>
    </xf>
    <xf numFmtId="174" fontId="27" fillId="0" borderId="24" xfId="218" applyNumberFormat="1" applyFont="1" applyBorder="1" applyAlignment="1" applyProtection="1">
      <alignment horizontal="center"/>
    </xf>
    <xf numFmtId="37" fontId="43" fillId="0" borderId="23" xfId="218" applyNumberFormat="1" applyFont="1" applyFill="1" applyBorder="1" applyProtection="1">
      <protection locked="0"/>
    </xf>
    <xf numFmtId="0" fontId="0" fillId="0" borderId="0" xfId="0" applyAlignment="1">
      <alignment horizontal="center"/>
    </xf>
    <xf numFmtId="0" fontId="27" fillId="0" borderId="9" xfId="0" applyFont="1" applyBorder="1" applyAlignment="1">
      <alignment horizontal="center" wrapText="1"/>
    </xf>
    <xf numFmtId="0" fontId="27" fillId="0" borderId="14" xfId="0" applyFont="1" applyFill="1" applyBorder="1" applyAlignment="1">
      <alignment horizontal="center"/>
    </xf>
    <xf numFmtId="0" fontId="28" fillId="0" borderId="16" xfId="0" applyFont="1" applyFill="1" applyBorder="1"/>
    <xf numFmtId="0" fontId="27" fillId="0" borderId="16" xfId="0" applyFont="1" applyFill="1" applyBorder="1" applyAlignment="1">
      <alignment horizontal="center"/>
    </xf>
    <xf numFmtId="0" fontId="27" fillId="0" borderId="17" xfId="0" applyFont="1" applyFill="1" applyBorder="1"/>
    <xf numFmtId="0" fontId="27" fillId="0" borderId="24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49" fontId="27" fillId="0" borderId="0" xfId="0" applyNumberFormat="1" applyFont="1" applyFill="1" applyBorder="1" applyAlignment="1">
      <alignment horizontal="left"/>
    </xf>
    <xf numFmtId="49" fontId="27" fillId="0" borderId="22" xfId="0" applyNumberFormat="1" applyFont="1" applyFill="1" applyBorder="1" applyAlignment="1">
      <alignment horizontal="left"/>
    </xf>
    <xf numFmtId="0" fontId="27" fillId="0" borderId="0" xfId="0" applyFont="1" applyFill="1" applyBorder="1"/>
    <xf numFmtId="0" fontId="27" fillId="0" borderId="18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wrapText="1"/>
    </xf>
    <xf numFmtId="0" fontId="27" fillId="0" borderId="0" xfId="0" applyFont="1"/>
    <xf numFmtId="0" fontId="27" fillId="0" borderId="15" xfId="0" applyFont="1" applyBorder="1"/>
    <xf numFmtId="0" fontId="27" fillId="0" borderId="16" xfId="0" applyFont="1" applyBorder="1"/>
    <xf numFmtId="0" fontId="27" fillId="0" borderId="17" xfId="0" applyFont="1" applyBorder="1"/>
    <xf numFmtId="0" fontId="27" fillId="0" borderId="22" xfId="0" applyFont="1" applyBorder="1" applyAlignment="1">
      <alignment horizontal="left" indent="1"/>
    </xf>
    <xf numFmtId="0" fontId="27" fillId="0" borderId="0" xfId="0" applyFont="1" applyBorder="1" applyAlignment="1">
      <alignment horizontal="left" indent="1"/>
    </xf>
    <xf numFmtId="49" fontId="27" fillId="0" borderId="0" xfId="0" applyNumberFormat="1" applyFont="1"/>
    <xf numFmtId="0" fontId="27" fillId="0" borderId="22" xfId="0" applyFont="1" applyBorder="1"/>
    <xf numFmtId="0" fontId="27" fillId="0" borderId="0" xfId="0" applyFont="1" applyBorder="1"/>
    <xf numFmtId="43" fontId="27" fillId="0" borderId="23" xfId="53" applyFont="1" applyBorder="1"/>
    <xf numFmtId="164" fontId="27" fillId="0" borderId="23" xfId="53" applyNumberFormat="1" applyFont="1" applyBorder="1"/>
    <xf numFmtId="0" fontId="27" fillId="0" borderId="23" xfId="0" applyFont="1" applyBorder="1"/>
    <xf numFmtId="0" fontId="27" fillId="0" borderId="18" xfId="0" applyFont="1" applyBorder="1"/>
    <xf numFmtId="0" fontId="27" fillId="0" borderId="19" xfId="0" applyFont="1" applyBorder="1"/>
    <xf numFmtId="0" fontId="27" fillId="0" borderId="20" xfId="0" applyFont="1" applyBorder="1"/>
    <xf numFmtId="0" fontId="27" fillId="0" borderId="21" xfId="0" applyFont="1" applyBorder="1"/>
    <xf numFmtId="49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Fill="1" applyBorder="1" applyAlignment="1">
      <alignment horizontal="right"/>
    </xf>
    <xf numFmtId="0" fontId="41" fillId="0" borderId="0" xfId="0" applyFont="1" applyFill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37" fontId="27" fillId="0" borderId="23" xfId="0" applyNumberFormat="1" applyFont="1" applyFill="1" applyBorder="1"/>
    <xf numFmtId="0" fontId="27" fillId="0" borderId="20" xfId="0" applyFont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center"/>
    </xf>
    <xf numFmtId="37" fontId="27" fillId="0" borderId="16" xfId="0" applyNumberFormat="1" applyFont="1" applyFill="1" applyBorder="1" applyProtection="1">
      <protection locked="0"/>
    </xf>
    <xf numFmtId="37" fontId="27" fillId="0" borderId="17" xfId="0" applyNumberFormat="1" applyFont="1" applyFill="1" applyBorder="1"/>
    <xf numFmtId="37" fontId="27" fillId="0" borderId="21" xfId="0" applyNumberFormat="1" applyFont="1" applyFill="1" applyBorder="1"/>
    <xf numFmtId="0" fontId="28" fillId="0" borderId="22" xfId="0" applyFont="1" applyFill="1" applyBorder="1" applyAlignment="1">
      <alignment wrapText="1"/>
    </xf>
    <xf numFmtId="0" fontId="27" fillId="0" borderId="22" xfId="0" applyFont="1" applyFill="1" applyBorder="1" applyAlignment="1">
      <alignment wrapText="1"/>
    </xf>
    <xf numFmtId="0" fontId="27" fillId="0" borderId="0" xfId="0" quotePrefix="1" applyFont="1" applyFill="1" applyBorder="1" applyAlignment="1">
      <alignment horizontal="center" wrapText="1"/>
    </xf>
    <xf numFmtId="0" fontId="27" fillId="0" borderId="5" xfId="0" applyFont="1" applyFill="1" applyBorder="1"/>
    <xf numFmtId="0" fontId="27" fillId="0" borderId="22" xfId="0" applyFont="1" applyBorder="1" applyAlignment="1">
      <alignment horizontal="center"/>
    </xf>
    <xf numFmtId="0" fontId="40" fillId="0" borderId="19" xfId="0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horizontal="center" vertical="center"/>
    </xf>
    <xf numFmtId="43" fontId="27" fillId="0" borderId="0" xfId="30" applyFont="1"/>
    <xf numFmtId="0" fontId="28" fillId="0" borderId="0" xfId="0" applyFont="1" applyAlignment="1">
      <alignment horizontal="left"/>
    </xf>
    <xf numFmtId="0" fontId="27" fillId="0" borderId="19" xfId="0" applyFont="1" applyBorder="1" applyAlignment="1">
      <alignment horizontal="center"/>
    </xf>
    <xf numFmtId="0" fontId="27" fillId="0" borderId="0" xfId="0" quotePrefix="1" applyFont="1"/>
    <xf numFmtId="164" fontId="27" fillId="0" borderId="21" xfId="30" applyNumberFormat="1" applyFont="1" applyBorder="1"/>
    <xf numFmtId="0" fontId="28" fillId="0" borderId="17" xfId="0" applyFont="1" applyFill="1" applyBorder="1"/>
    <xf numFmtId="0" fontId="28" fillId="0" borderId="5" xfId="0" applyFont="1" applyFill="1" applyBorder="1" applyAlignment="1">
      <alignment horizontal="center"/>
    </xf>
    <xf numFmtId="0" fontId="28" fillId="0" borderId="33" xfId="0" applyFont="1" applyFill="1" applyBorder="1" applyAlignment="1">
      <alignment horizontal="center"/>
    </xf>
    <xf numFmtId="164" fontId="27" fillId="0" borderId="0" xfId="30" applyNumberFormat="1" applyFont="1"/>
    <xf numFmtId="164" fontId="27" fillId="0" borderId="0" xfId="30" applyNumberFormat="1" applyFont="1" applyAlignment="1">
      <alignment horizontal="center"/>
    </xf>
    <xf numFmtId="0" fontId="44" fillId="0" borderId="0" xfId="0" applyFont="1" applyBorder="1" applyAlignment="1" applyProtection="1">
      <protection locked="0"/>
    </xf>
    <xf numFmtId="0" fontId="44" fillId="0" borderId="0" xfId="0" applyFont="1" applyFill="1" applyBorder="1" applyAlignment="1" applyProtection="1">
      <protection locked="0"/>
    </xf>
    <xf numFmtId="164" fontId="27" fillId="0" borderId="17" xfId="30" applyNumberFormat="1" applyFont="1" applyBorder="1"/>
    <xf numFmtId="49" fontId="44" fillId="0" borderId="21" xfId="30" applyNumberFormat="1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164" fontId="27" fillId="0" borderId="0" xfId="30" applyNumberFormat="1" applyFont="1" applyBorder="1" applyAlignment="1">
      <alignment horizontal="center"/>
    </xf>
    <xf numFmtId="164" fontId="27" fillId="0" borderId="23" xfId="30" applyNumberFormat="1" applyFont="1" applyBorder="1"/>
    <xf numFmtId="0" fontId="27" fillId="0" borderId="23" xfId="0" applyFont="1" applyBorder="1" applyAlignment="1">
      <alignment horizontal="center"/>
    </xf>
    <xf numFmtId="0" fontId="29" fillId="0" borderId="19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164" fontId="27" fillId="0" borderId="62" xfId="30" applyNumberFormat="1" applyFont="1" applyBorder="1"/>
    <xf numFmtId="164" fontId="28" fillId="18" borderId="23" xfId="53" applyNumberFormat="1" applyFont="1" applyFill="1" applyBorder="1"/>
    <xf numFmtId="164" fontId="28" fillId="18" borderId="62" xfId="30" applyNumberFormat="1" applyFont="1" applyFill="1" applyBorder="1"/>
    <xf numFmtId="164" fontId="28" fillId="18" borderId="23" xfId="30" applyNumberFormat="1" applyFont="1" applyFill="1" applyBorder="1"/>
    <xf numFmtId="0" fontId="44" fillId="0" borderId="20" xfId="175" applyFont="1" applyBorder="1" applyAlignment="1">
      <alignment horizontal="center" wrapText="1"/>
    </xf>
    <xf numFmtId="0" fontId="44" fillId="0" borderId="0" xfId="175" applyFont="1" applyFill="1" applyBorder="1" applyAlignment="1">
      <alignment horizontal="center"/>
    </xf>
    <xf numFmtId="0" fontId="44" fillId="0" borderId="20" xfId="175" applyFont="1" applyFill="1" applyBorder="1" applyAlignment="1">
      <alignment horizontal="center" wrapText="1"/>
    </xf>
    <xf numFmtId="0" fontId="27" fillId="0" borderId="0" xfId="175" applyFont="1" applyAlignment="1">
      <alignment horizontal="center"/>
    </xf>
    <xf numFmtId="0" fontId="28" fillId="0" borderId="0" xfId="0" applyFont="1" applyAlignment="1">
      <alignment horizontal="center"/>
    </xf>
    <xf numFmtId="164" fontId="43" fillId="0" borderId="0" xfId="30" applyNumberFormat="1" applyFont="1"/>
    <xf numFmtId="37" fontId="43" fillId="0" borderId="23" xfId="175" applyNumberFormat="1" applyFont="1" applyBorder="1" applyAlignment="1">
      <alignment horizontal="center"/>
    </xf>
    <xf numFmtId="37" fontId="43" fillId="0" borderId="20" xfId="175" applyNumberFormat="1" applyFont="1" applyBorder="1" applyAlignment="1">
      <alignment horizontal="center"/>
    </xf>
    <xf numFmtId="37" fontId="43" fillId="0" borderId="21" xfId="175" applyNumberFormat="1" applyFont="1" applyBorder="1" applyAlignment="1">
      <alignment horizontal="center"/>
    </xf>
    <xf numFmtId="37" fontId="43" fillId="0" borderId="16" xfId="175" applyNumberFormat="1" applyFont="1" applyBorder="1" applyAlignment="1">
      <alignment horizontal="center"/>
    </xf>
    <xf numFmtId="37" fontId="44" fillId="18" borderId="17" xfId="175" applyNumberFormat="1" applyFont="1" applyFill="1" applyBorder="1" applyAlignment="1">
      <alignment horizontal="center"/>
    </xf>
    <xf numFmtId="0" fontId="43" fillId="0" borderId="0" xfId="175" quotePrefix="1" applyFont="1"/>
    <xf numFmtId="0" fontId="44" fillId="0" borderId="22" xfId="175" applyFont="1" applyBorder="1" applyAlignment="1"/>
    <xf numFmtId="0" fontId="44" fillId="0" borderId="15" xfId="175" applyFont="1" applyBorder="1" applyAlignment="1"/>
    <xf numFmtId="0" fontId="44" fillId="0" borderId="32" xfId="175" applyFont="1" applyBorder="1"/>
    <xf numFmtId="164" fontId="43" fillId="0" borderId="23" xfId="30" applyNumberFormat="1" applyFont="1" applyBorder="1"/>
    <xf numFmtId="164" fontId="43" fillId="0" borderId="0" xfId="30" applyNumberFormat="1" applyFont="1" applyBorder="1"/>
    <xf numFmtId="164" fontId="43" fillId="0" borderId="20" xfId="30" applyNumberFormat="1" applyFont="1" applyBorder="1"/>
    <xf numFmtId="164" fontId="44" fillId="18" borderId="16" xfId="30" applyNumberFormat="1" applyFont="1" applyFill="1" applyBorder="1"/>
    <xf numFmtId="0" fontId="28" fillId="0" borderId="0" xfId="0" applyFont="1" applyAlignment="1">
      <alignment horizontal="right"/>
    </xf>
    <xf numFmtId="164" fontId="25" fillId="21" borderId="0" xfId="53" applyNumberFormat="1" applyFont="1" applyFill="1"/>
    <xf numFmtId="39" fontId="27" fillId="0" borderId="0" xfId="218" applyFont="1" applyFill="1"/>
    <xf numFmtId="164" fontId="25" fillId="0" borderId="0" xfId="51" applyNumberFormat="1" applyFont="1" applyFill="1" applyBorder="1"/>
    <xf numFmtId="164" fontId="25" fillId="0" borderId="0" xfId="53" applyNumberFormat="1" applyFont="1" applyFill="1"/>
    <xf numFmtId="0" fontId="43" fillId="0" borderId="0" xfId="175" applyFont="1" applyFill="1"/>
    <xf numFmtId="0" fontId="27" fillId="0" borderId="0" xfId="0" applyFont="1" applyFill="1"/>
    <xf numFmtId="0" fontId="28" fillId="0" borderId="0" xfId="0" applyFont="1" applyBorder="1"/>
    <xf numFmtId="37" fontId="43" fillId="0" borderId="0" xfId="175" applyNumberFormat="1" applyFont="1" applyFill="1" applyAlignment="1">
      <alignment horizontal="center"/>
    </xf>
    <xf numFmtId="0" fontId="44" fillId="0" borderId="20" xfId="175" applyFont="1" applyBorder="1" applyAlignment="1">
      <alignment horizontal="center"/>
    </xf>
    <xf numFmtId="0" fontId="43" fillId="0" borderId="0" xfId="189" applyFont="1" applyAlignment="1">
      <alignment horizontal="left" indent="1"/>
    </xf>
    <xf numFmtId="37" fontId="27" fillId="0" borderId="28" xfId="289" applyNumberFormat="1" applyFont="1" applyFill="1" applyBorder="1" applyProtection="1"/>
    <xf numFmtId="164" fontId="27" fillId="0" borderId="0" xfId="39" applyNumberFormat="1" applyFont="1"/>
    <xf numFmtId="37" fontId="28" fillId="0" borderId="30" xfId="0" applyNumberFormat="1" applyFont="1" applyBorder="1" applyProtection="1">
      <protection locked="0"/>
    </xf>
    <xf numFmtId="0" fontId="28" fillId="0" borderId="0" xfId="0" applyFont="1" applyBorder="1" applyAlignment="1" applyProtection="1">
      <alignment horizontal="center"/>
      <protection locked="0"/>
    </xf>
    <xf numFmtId="7" fontId="28" fillId="0" borderId="39" xfId="0" applyNumberFormat="1" applyFont="1" applyBorder="1" applyProtection="1">
      <protection locked="0"/>
    </xf>
    <xf numFmtId="0" fontId="28" fillId="0" borderId="30" xfId="0" applyFont="1" applyBorder="1" applyAlignment="1" applyProtection="1">
      <alignment horizontal="center" wrapText="1"/>
      <protection locked="0"/>
    </xf>
    <xf numFmtId="37" fontId="27" fillId="0" borderId="21" xfId="218" applyNumberFormat="1" applyFont="1" applyFill="1" applyBorder="1" applyProtection="1">
      <protection locked="0"/>
    </xf>
    <xf numFmtId="37" fontId="27" fillId="0" borderId="23" xfId="218" applyNumberFormat="1" applyFont="1" applyFill="1" applyBorder="1" applyProtection="1">
      <protection locked="0"/>
    </xf>
    <xf numFmtId="0" fontId="43" fillId="0" borderId="0" xfId="0" quotePrefix="1" applyFont="1"/>
    <xf numFmtId="0" fontId="27" fillId="0" borderId="0" xfId="0" quotePrefix="1" applyFont="1" applyAlignment="1">
      <alignment horizontal="center"/>
    </xf>
    <xf numFmtId="37" fontId="27" fillId="0" borderId="30" xfId="0" applyNumberFormat="1" applyFont="1" applyBorder="1" applyProtection="1">
      <protection locked="0"/>
    </xf>
    <xf numFmtId="0" fontId="27" fillId="0" borderId="30" xfId="0" applyFont="1" applyBorder="1" applyAlignment="1">
      <alignment horizontal="center" wrapText="1"/>
    </xf>
    <xf numFmtId="0" fontId="28" fillId="0" borderId="39" xfId="0" applyFont="1" applyBorder="1" applyAlignment="1" applyProtection="1">
      <alignment horizontal="center"/>
      <protection locked="0"/>
    </xf>
    <xf numFmtId="37" fontId="28" fillId="18" borderId="30" xfId="0" applyNumberFormat="1" applyFont="1" applyFill="1" applyBorder="1" applyProtection="1">
      <protection locked="0"/>
    </xf>
    <xf numFmtId="0" fontId="27" fillId="0" borderId="31" xfId="0" applyFont="1" applyBorder="1" applyAlignment="1">
      <alignment horizontal="center"/>
    </xf>
    <xf numFmtId="0" fontId="28" fillId="0" borderId="0" xfId="0" applyFont="1" applyAlignment="1" applyProtection="1">
      <alignment horizontal="centerContinuous"/>
      <protection locked="0"/>
    </xf>
    <xf numFmtId="0" fontId="43" fillId="0" borderId="0" xfId="0" applyFont="1" applyAlignment="1">
      <alignment horizontal="left" indent="2"/>
    </xf>
    <xf numFmtId="0" fontId="27" fillId="0" borderId="28" xfId="0" applyFont="1" applyBorder="1" applyAlignment="1">
      <alignment horizontal="center"/>
    </xf>
    <xf numFmtId="39" fontId="27" fillId="0" borderId="44" xfId="218" applyFont="1" applyBorder="1" applyAlignment="1" applyProtection="1">
      <alignment horizontal="left" indent="1"/>
      <protection locked="0"/>
    </xf>
    <xf numFmtId="0" fontId="27" fillId="0" borderId="0" xfId="0" applyFont="1" applyAlignment="1">
      <alignment horizontal="centerContinuous"/>
    </xf>
    <xf numFmtId="37" fontId="28" fillId="0" borderId="30" xfId="0" applyNumberFormat="1" applyFont="1" applyFill="1" applyBorder="1" applyProtection="1">
      <protection locked="0"/>
    </xf>
    <xf numFmtId="168" fontId="27" fillId="0" borderId="0" xfId="0" applyNumberFormat="1" applyFont="1" applyAlignment="1" applyProtection="1">
      <alignment horizontal="left"/>
      <protection locked="0"/>
    </xf>
    <xf numFmtId="39" fontId="27" fillId="0" borderId="0" xfId="218" quotePrefix="1" applyFont="1"/>
    <xf numFmtId="37" fontId="27" fillId="0" borderId="31" xfId="303" applyNumberFormat="1" applyFont="1" applyFill="1" applyBorder="1" applyProtection="1">
      <protection locked="0"/>
    </xf>
    <xf numFmtId="37" fontId="27" fillId="0" borderId="0" xfId="0" applyNumberFormat="1" applyFont="1"/>
    <xf numFmtId="37" fontId="27" fillId="0" borderId="30" xfId="0" applyNumberFormat="1" applyFont="1" applyBorder="1" applyProtection="1"/>
    <xf numFmtId="0" fontId="27" fillId="0" borderId="39" xfId="0" applyFont="1" applyBorder="1" applyProtection="1">
      <protection locked="0"/>
    </xf>
    <xf numFmtId="0" fontId="28" fillId="0" borderId="29" xfId="0" applyFont="1" applyBorder="1" applyAlignment="1" applyProtection="1">
      <protection locked="0"/>
    </xf>
    <xf numFmtId="37" fontId="27" fillId="0" borderId="28" xfId="277" applyNumberFormat="1" applyFont="1" applyFill="1" applyBorder="1" applyProtection="1">
      <protection locked="0"/>
    </xf>
    <xf numFmtId="37" fontId="27" fillId="0" borderId="30" xfId="0" applyNumberFormat="1" applyFont="1" applyFill="1" applyBorder="1" applyProtection="1">
      <protection locked="0"/>
    </xf>
    <xf numFmtId="0" fontId="27" fillId="0" borderId="0" xfId="0" applyFont="1" applyProtection="1">
      <protection locked="0"/>
    </xf>
    <xf numFmtId="39" fontId="27" fillId="0" borderId="0" xfId="218" quotePrefix="1" applyFont="1" applyAlignment="1">
      <alignment horizontal="left" indent="2"/>
    </xf>
    <xf numFmtId="164" fontId="27" fillId="0" borderId="0" xfId="39" applyNumberFormat="1" applyFont="1" applyFill="1"/>
    <xf numFmtId="37" fontId="27" fillId="0" borderId="28" xfId="299" applyNumberFormat="1" applyFont="1" applyFill="1" applyBorder="1" applyProtection="1">
      <protection locked="0"/>
    </xf>
    <xf numFmtId="0" fontId="28" fillId="0" borderId="26" xfId="0" applyFont="1" applyBorder="1" applyAlignment="1">
      <alignment horizontal="center"/>
    </xf>
    <xf numFmtId="0" fontId="28" fillId="0" borderId="31" xfId="0" applyFont="1" applyBorder="1" applyAlignment="1" applyProtection="1">
      <alignment horizontal="center"/>
      <protection locked="0"/>
    </xf>
    <xf numFmtId="0" fontId="28" fillId="0" borderId="0" xfId="0" quotePrefix="1" applyFont="1" applyAlignment="1">
      <alignment horizontal="right"/>
    </xf>
    <xf numFmtId="0" fontId="27" fillId="0" borderId="0" xfId="0" applyFont="1" applyAlignment="1">
      <alignment horizontal="left"/>
    </xf>
    <xf numFmtId="0" fontId="28" fillId="0" borderId="0" xfId="0" applyFont="1" applyBorder="1" applyAlignment="1">
      <alignment horizontal="centerContinuous"/>
    </xf>
    <xf numFmtId="0" fontId="28" fillId="0" borderId="26" xfId="0" applyFont="1" applyBorder="1" applyAlignment="1" applyProtection="1">
      <alignment horizontal="center"/>
      <protection locked="0"/>
    </xf>
    <xf numFmtId="0" fontId="28" fillId="0" borderId="28" xfId="0" applyFont="1" applyBorder="1" applyAlignment="1" applyProtection="1">
      <alignment horizontal="center"/>
      <protection locked="0"/>
    </xf>
    <xf numFmtId="5" fontId="27" fillId="0" borderId="0" xfId="0" applyNumberFormat="1" applyFont="1" applyAlignment="1">
      <alignment horizontal="left"/>
    </xf>
    <xf numFmtId="49" fontId="27" fillId="0" borderId="0" xfId="0" applyNumberFormat="1" applyFont="1" applyAlignment="1">
      <alignment horizontal="right"/>
    </xf>
    <xf numFmtId="0" fontId="28" fillId="0" borderId="49" xfId="0" applyFont="1" applyBorder="1"/>
    <xf numFmtId="37" fontId="27" fillId="0" borderId="24" xfId="0" applyNumberFormat="1" applyFont="1" applyFill="1" applyBorder="1" applyProtection="1">
      <protection locked="0"/>
    </xf>
    <xf numFmtId="0" fontId="28" fillId="0" borderId="24" xfId="0" applyFont="1" applyFill="1" applyBorder="1"/>
    <xf numFmtId="0" fontId="27" fillId="0" borderId="14" xfId="0" applyFont="1" applyBorder="1"/>
    <xf numFmtId="0" fontId="28" fillId="0" borderId="18" xfId="0" applyFont="1" applyBorder="1"/>
    <xf numFmtId="0" fontId="27" fillId="0" borderId="18" xfId="0" quotePrefix="1" applyFont="1" applyBorder="1" applyAlignment="1" applyProtection="1">
      <alignment horizontal="center"/>
      <protection locked="0"/>
    </xf>
    <xf numFmtId="5" fontId="28" fillId="0" borderId="18" xfId="0" applyNumberFormat="1" applyFont="1" applyBorder="1" applyProtection="1">
      <protection locked="0"/>
    </xf>
    <xf numFmtId="0" fontId="28" fillId="0" borderId="18" xfId="0" applyFont="1" applyBorder="1" applyProtection="1">
      <protection locked="0"/>
    </xf>
    <xf numFmtId="0" fontId="27" fillId="0" borderId="14" xfId="0" applyFont="1" applyBorder="1" applyAlignment="1" applyProtection="1">
      <alignment horizontal="center"/>
      <protection locked="0"/>
    </xf>
    <xf numFmtId="0" fontId="27" fillId="0" borderId="14" xfId="0" quotePrefix="1" applyFont="1" applyBorder="1" applyAlignment="1" applyProtection="1">
      <alignment horizontal="center"/>
      <protection locked="0"/>
    </xf>
    <xf numFmtId="37" fontId="28" fillId="0" borderId="49" xfId="0" applyNumberFormat="1" applyFont="1" applyFill="1" applyBorder="1" applyProtection="1">
      <protection locked="0"/>
    </xf>
    <xf numFmtId="5" fontId="28" fillId="0" borderId="49" xfId="0" applyNumberFormat="1" applyFont="1" applyBorder="1" applyProtection="1">
      <protection locked="0"/>
    </xf>
    <xf numFmtId="0" fontId="28" fillId="0" borderId="61" xfId="0" applyFont="1" applyBorder="1"/>
    <xf numFmtId="5" fontId="28" fillId="0" borderId="24" xfId="0" applyNumberFormat="1" applyFont="1" applyBorder="1" applyProtection="1">
      <protection locked="0"/>
    </xf>
    <xf numFmtId="0" fontId="28" fillId="0" borderId="19" xfId="0" applyFont="1" applyBorder="1"/>
    <xf numFmtId="0" fontId="28" fillId="0" borderId="34" xfId="0" applyFont="1" applyBorder="1"/>
    <xf numFmtId="0" fontId="28" fillId="0" borderId="55" xfId="0" applyFont="1" applyBorder="1"/>
    <xf numFmtId="0" fontId="28" fillId="0" borderId="21" xfId="0" applyFont="1" applyBorder="1"/>
    <xf numFmtId="0" fontId="28" fillId="0" borderId="44" xfId="0" applyFont="1" applyBorder="1" applyAlignment="1">
      <alignment horizontal="center"/>
    </xf>
    <xf numFmtId="0" fontId="28" fillId="0" borderId="38" xfId="0" applyFont="1" applyBorder="1" applyAlignment="1" applyProtection="1">
      <alignment horizontal="center"/>
      <protection locked="0"/>
    </xf>
    <xf numFmtId="0" fontId="28" fillId="0" borderId="17" xfId="0" applyFont="1" applyBorder="1" applyProtection="1">
      <protection locked="0"/>
    </xf>
    <xf numFmtId="0" fontId="28" fillId="0" borderId="55" xfId="0" applyFont="1" applyBorder="1" applyAlignment="1" applyProtection="1">
      <protection locked="0"/>
    </xf>
    <xf numFmtId="0" fontId="28" fillId="0" borderId="22" xfId="0" applyFont="1" applyBorder="1" applyAlignment="1" applyProtection="1">
      <protection locked="0"/>
    </xf>
    <xf numFmtId="0" fontId="28" fillId="0" borderId="23" xfId="0" applyFont="1" applyBorder="1" applyAlignment="1" applyProtection="1">
      <protection locked="0"/>
    </xf>
    <xf numFmtId="0" fontId="28" fillId="0" borderId="22" xfId="0" applyFont="1" applyBorder="1" applyAlignment="1" applyProtection="1">
      <alignment horizontal="left" indent="1"/>
      <protection locked="0"/>
    </xf>
    <xf numFmtId="0" fontId="28" fillId="0" borderId="0" xfId="0" applyFont="1" applyBorder="1" applyAlignment="1" applyProtection="1">
      <alignment horizontal="left" indent="1"/>
      <protection locked="0"/>
    </xf>
    <xf numFmtId="0" fontId="27" fillId="0" borderId="23" xfId="0" quotePrefix="1" applyFont="1" applyBorder="1" applyAlignment="1" applyProtection="1">
      <protection locked="0"/>
    </xf>
    <xf numFmtId="172" fontId="27" fillId="0" borderId="22" xfId="0" quotePrefix="1" applyNumberFormat="1" applyFont="1" applyBorder="1" applyAlignment="1" applyProtection="1">
      <protection locked="0"/>
    </xf>
    <xf numFmtId="0" fontId="28" fillId="0" borderId="29" xfId="0" applyFont="1" applyBorder="1"/>
    <xf numFmtId="0" fontId="28" fillId="0" borderId="0" xfId="0" applyFont="1" applyBorder="1" applyAlignment="1" applyProtection="1">
      <protection locked="0"/>
    </xf>
    <xf numFmtId="0" fontId="27" fillId="0" borderId="0" xfId="0" quotePrefix="1" applyFont="1" applyBorder="1" applyAlignment="1" applyProtection="1">
      <protection locked="0"/>
    </xf>
    <xf numFmtId="0" fontId="28" fillId="0" borderId="15" xfId="0" applyFont="1" applyBorder="1" applyProtection="1">
      <protection locked="0"/>
    </xf>
    <xf numFmtId="0" fontId="28" fillId="0" borderId="16" xfId="0" applyFont="1" applyBorder="1" applyProtection="1">
      <protection locked="0"/>
    </xf>
    <xf numFmtId="0" fontId="28" fillId="0" borderId="60" xfId="0" applyFont="1" applyBorder="1"/>
    <xf numFmtId="0" fontId="27" fillId="0" borderId="0" xfId="0" applyFont="1" applyBorder="1" applyProtection="1">
      <protection locked="0"/>
    </xf>
    <xf numFmtId="37" fontId="27" fillId="0" borderId="23" xfId="0" applyNumberFormat="1" applyFont="1" applyFill="1" applyBorder="1" applyProtection="1">
      <protection locked="0"/>
    </xf>
    <xf numFmtId="0" fontId="27" fillId="0" borderId="23" xfId="0" applyFont="1" applyBorder="1" applyProtection="1">
      <protection locked="0"/>
    </xf>
    <xf numFmtId="0" fontId="28" fillId="0" borderId="20" xfId="0" applyFont="1" applyBorder="1"/>
    <xf numFmtId="172" fontId="27" fillId="0" borderId="17" xfId="0" applyNumberFormat="1" applyFont="1" applyBorder="1" applyProtection="1"/>
    <xf numFmtId="0" fontId="28" fillId="0" borderId="23" xfId="0" applyFont="1" applyBorder="1" applyAlignment="1" applyProtection="1">
      <alignment horizontal="left" indent="1"/>
      <protection locked="0"/>
    </xf>
    <xf numFmtId="5" fontId="28" fillId="0" borderId="9" xfId="0" applyNumberFormat="1" applyFont="1" applyBorder="1" applyProtection="1">
      <protection locked="0"/>
    </xf>
    <xf numFmtId="167" fontId="27" fillId="0" borderId="0" xfId="0" applyNumberFormat="1" applyFont="1" applyAlignment="1" applyProtection="1">
      <alignment horizontal="left"/>
      <protection locked="0"/>
    </xf>
    <xf numFmtId="0" fontId="28" fillId="0" borderId="0" xfId="0" applyFont="1" applyProtection="1">
      <protection locked="0"/>
    </xf>
    <xf numFmtId="168" fontId="28" fillId="0" borderId="0" xfId="0" applyNumberFormat="1" applyFont="1" applyAlignment="1" applyProtection="1">
      <alignment horizontal="centerContinuous"/>
      <protection locked="0"/>
    </xf>
    <xf numFmtId="0" fontId="0" fillId="0" borderId="0" xfId="0" applyFont="1"/>
    <xf numFmtId="172" fontId="28" fillId="0" borderId="23" xfId="0" applyNumberFormat="1" applyFont="1" applyBorder="1" applyProtection="1">
      <protection locked="0"/>
    </xf>
    <xf numFmtId="5" fontId="28" fillId="0" borderId="24" xfId="0" applyNumberFormat="1" applyFont="1" applyFill="1" applyBorder="1" applyProtection="1">
      <protection locked="0"/>
    </xf>
    <xf numFmtId="172" fontId="27" fillId="0" borderId="23" xfId="0" applyNumberFormat="1" applyFont="1" applyFill="1" applyBorder="1" applyAlignment="1" applyProtection="1">
      <alignment horizontal="center"/>
      <protection locked="0"/>
    </xf>
    <xf numFmtId="37" fontId="27" fillId="0" borderId="55" xfId="0" applyNumberFormat="1" applyFont="1" applyBorder="1" applyAlignment="1" applyProtection="1">
      <alignment horizontal="center"/>
      <protection locked="0"/>
    </xf>
    <xf numFmtId="172" fontId="28" fillId="0" borderId="23" xfId="0" applyNumberFormat="1" applyFont="1" applyBorder="1" applyAlignment="1" applyProtection="1">
      <alignment horizontal="center"/>
      <protection locked="0"/>
    </xf>
    <xf numFmtId="0" fontId="28" fillId="0" borderId="33" xfId="0" applyFont="1" applyFill="1" applyBorder="1"/>
    <xf numFmtId="0" fontId="28" fillId="0" borderId="0" xfId="0" applyFont="1" applyFill="1" applyBorder="1" applyAlignment="1">
      <alignment horizontal="center"/>
    </xf>
    <xf numFmtId="37" fontId="29" fillId="0" borderId="36" xfId="189" quotePrefix="1" applyNumberFormat="1" applyFont="1" applyBorder="1" applyAlignment="1" applyProtection="1">
      <alignment horizontal="center"/>
    </xf>
    <xf numFmtId="0" fontId="29" fillId="0" borderId="0" xfId="189" quotePrefix="1" applyFont="1" applyAlignment="1">
      <alignment horizontal="center"/>
    </xf>
    <xf numFmtId="5" fontId="28" fillId="22" borderId="9" xfId="0" applyNumberFormat="1" applyFont="1" applyFill="1" applyBorder="1" applyProtection="1">
      <protection locked="0"/>
    </xf>
    <xf numFmtId="164" fontId="27" fillId="0" borderId="23" xfId="30" applyNumberFormat="1" applyFont="1" applyFill="1" applyBorder="1"/>
    <xf numFmtId="0" fontId="29" fillId="0" borderId="0" xfId="189" applyFont="1" applyAlignment="1"/>
    <xf numFmtId="0" fontId="27" fillId="0" borderId="22" xfId="0" applyFont="1" applyFill="1" applyBorder="1"/>
    <xf numFmtId="0" fontId="29" fillId="0" borderId="0" xfId="203" applyFont="1" applyFill="1" applyBorder="1" applyAlignment="1">
      <alignment horizontal="center" vertical="center"/>
    </xf>
    <xf numFmtId="0" fontId="27" fillId="0" borderId="0" xfId="0" quotePrefix="1" applyFont="1" applyFill="1" applyBorder="1" applyAlignment="1">
      <alignment horizontal="center"/>
    </xf>
    <xf numFmtId="0" fontId="28" fillId="0" borderId="22" xfId="0" applyFont="1" applyFill="1" applyBorder="1"/>
    <xf numFmtId="49" fontId="27" fillId="0" borderId="22" xfId="0" applyNumberFormat="1" applyFont="1" applyFill="1" applyBorder="1"/>
    <xf numFmtId="49" fontId="27" fillId="0" borderId="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center"/>
    </xf>
    <xf numFmtId="49" fontId="28" fillId="0" borderId="22" xfId="0" applyNumberFormat="1" applyFont="1" applyFill="1" applyBorder="1"/>
    <xf numFmtId="0" fontId="27" fillId="0" borderId="19" xfId="0" applyFont="1" applyFill="1" applyBorder="1"/>
    <xf numFmtId="49" fontId="27" fillId="0" borderId="20" xfId="0" applyNumberFormat="1" applyFont="1" applyFill="1" applyBorder="1" applyAlignment="1">
      <alignment horizontal="left"/>
    </xf>
    <xf numFmtId="49" fontId="28" fillId="0" borderId="20" xfId="0" applyNumberFormat="1" applyFont="1" applyFill="1" applyBorder="1"/>
    <xf numFmtId="4" fontId="28" fillId="0" borderId="21" xfId="0" applyNumberFormat="1" applyFont="1" applyFill="1" applyBorder="1" applyAlignment="1">
      <alignment horizontal="right"/>
    </xf>
    <xf numFmtId="0" fontId="27" fillId="0" borderId="15" xfId="0" applyFont="1" applyFill="1" applyBorder="1"/>
    <xf numFmtId="49" fontId="27" fillId="0" borderId="16" xfId="0" applyNumberFormat="1" applyFont="1" applyFill="1" applyBorder="1"/>
    <xf numFmtId="49" fontId="27" fillId="0" borderId="0" xfId="0" applyNumberFormat="1" applyFont="1" applyFill="1" applyBorder="1"/>
    <xf numFmtId="0" fontId="27" fillId="0" borderId="20" xfId="0" applyFont="1" applyFill="1" applyBorder="1"/>
    <xf numFmtId="49" fontId="27" fillId="0" borderId="20" xfId="0" applyNumberFormat="1" applyFont="1" applyFill="1" applyBorder="1"/>
    <xf numFmtId="37" fontId="70" fillId="18" borderId="63" xfId="94" applyNumberFormat="1" applyFont="1" applyFill="1" applyBorder="1" applyProtection="1">
      <protection locked="0"/>
    </xf>
    <xf numFmtId="0" fontId="25" fillId="0" borderId="0" xfId="0" applyFont="1" applyBorder="1"/>
    <xf numFmtId="164" fontId="25" fillId="0" borderId="0" xfId="0" applyNumberFormat="1" applyFont="1"/>
    <xf numFmtId="0" fontId="25" fillId="0" borderId="0" xfId="232" applyFont="1" applyBorder="1"/>
    <xf numFmtId="41" fontId="71" fillId="0" borderId="0" xfId="166" applyNumberFormat="1" applyFont="1" applyFill="1" applyBorder="1"/>
    <xf numFmtId="175" fontId="27" fillId="0" borderId="0" xfId="64" applyNumberFormat="1" applyFont="1" applyFill="1" applyBorder="1"/>
    <xf numFmtId="164" fontId="72" fillId="0" borderId="0" xfId="35" applyNumberFormat="1" applyFont="1"/>
    <xf numFmtId="41" fontId="71" fillId="0" borderId="0" xfId="170" applyNumberFormat="1" applyFont="1" applyFill="1" applyBorder="1"/>
    <xf numFmtId="41" fontId="69" fillId="0" borderId="0" xfId="172" applyNumberFormat="1" applyBorder="1"/>
    <xf numFmtId="164" fontId="43" fillId="0" borderId="0" xfId="175" applyNumberFormat="1" applyFont="1"/>
    <xf numFmtId="17" fontId="29" fillId="0" borderId="15" xfId="175" quotePrefix="1" applyNumberFormat="1" applyFont="1" applyBorder="1"/>
    <xf numFmtId="0" fontId="29" fillId="0" borderId="22" xfId="175" quotePrefix="1" applyFont="1" applyBorder="1"/>
    <xf numFmtId="0" fontId="40" fillId="0" borderId="22" xfId="0" applyFont="1" applyBorder="1" applyProtection="1">
      <protection locked="0"/>
    </xf>
    <xf numFmtId="39" fontId="27" fillId="0" borderId="22" xfId="218" applyFont="1" applyBorder="1" applyAlignment="1">
      <alignment horizontal="left" indent="1"/>
    </xf>
    <xf numFmtId="39" fontId="27" fillId="0" borderId="24" xfId="218" applyFont="1" applyBorder="1"/>
    <xf numFmtId="37" fontId="27" fillId="0" borderId="23" xfId="218" applyNumberFormat="1" applyFont="1" applyBorder="1"/>
    <xf numFmtId="39" fontId="28" fillId="0" borderId="22" xfId="218" applyFont="1" applyBorder="1"/>
    <xf numFmtId="39" fontId="27" fillId="0" borderId="24" xfId="218" applyFont="1" applyBorder="1" applyAlignment="1">
      <alignment horizontal="center"/>
    </xf>
    <xf numFmtId="37" fontId="43" fillId="0" borderId="21" xfId="218" applyNumberFormat="1" applyFont="1" applyFill="1" applyBorder="1" applyProtection="1">
      <protection locked="0"/>
    </xf>
    <xf numFmtId="0" fontId="27" fillId="0" borderId="22" xfId="0" applyFont="1" applyBorder="1" applyProtection="1">
      <protection locked="0"/>
    </xf>
    <xf numFmtId="0" fontId="27" fillId="0" borderId="23" xfId="0" quotePrefix="1" applyFont="1" applyBorder="1" applyAlignment="1">
      <alignment horizontal="center"/>
    </xf>
    <xf numFmtId="37" fontId="27" fillId="0" borderId="24" xfId="0" applyNumberFormat="1" applyFont="1" applyBorder="1"/>
    <xf numFmtId="0" fontId="27" fillId="0" borderId="24" xfId="0" applyFont="1" applyBorder="1"/>
    <xf numFmtId="0" fontId="27" fillId="0" borderId="24" xfId="0" quotePrefix="1" applyFont="1" applyBorder="1" applyAlignment="1">
      <alignment horizontal="center"/>
    </xf>
    <xf numFmtId="37" fontId="27" fillId="0" borderId="18" xfId="0" applyNumberFormat="1" applyFont="1" applyBorder="1"/>
    <xf numFmtId="0" fontId="27" fillId="0" borderId="0" xfId="0" applyFont="1" applyAlignment="1" applyProtection="1">
      <alignment horizontal="right"/>
    </xf>
    <xf numFmtId="0" fontId="70" fillId="0" borderId="16" xfId="0" applyFont="1" applyFill="1" applyBorder="1" applyAlignment="1">
      <alignment horizontal="center"/>
    </xf>
    <xf numFmtId="0" fontId="70" fillId="0" borderId="17" xfId="0" applyFont="1" applyFill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7" fillId="0" borderId="66" xfId="311" applyFont="1" applyBorder="1"/>
    <xf numFmtId="0" fontId="27" fillId="0" borderId="66" xfId="311" applyFont="1" applyBorder="1" applyProtection="1"/>
    <xf numFmtId="37" fontId="28" fillId="0" borderId="21" xfId="0" applyNumberFormat="1" applyFont="1" applyBorder="1"/>
    <xf numFmtId="0" fontId="40" fillId="0" borderId="16" xfId="175" applyFont="1" applyBorder="1" applyAlignment="1">
      <alignment horizontal="center"/>
    </xf>
    <xf numFmtId="0" fontId="40" fillId="0" borderId="20" xfId="175" applyFont="1" applyBorder="1" applyAlignment="1">
      <alignment horizontal="center" wrapText="1"/>
    </xf>
    <xf numFmtId="0" fontId="29" fillId="0" borderId="0" xfId="175" applyFont="1" applyAlignment="1">
      <alignment horizontal="center"/>
    </xf>
    <xf numFmtId="0" fontId="29" fillId="0" borderId="0" xfId="175" quotePrefix="1" applyFont="1" applyAlignment="1">
      <alignment horizontal="center"/>
    </xf>
    <xf numFmtId="37" fontId="27" fillId="0" borderId="14" xfId="218" applyNumberFormat="1" applyFont="1" applyFill="1" applyBorder="1"/>
    <xf numFmtId="0" fontId="71" fillId="0" borderId="0" xfId="189" applyFont="1" applyAlignment="1">
      <alignment horizontal="centerContinuous"/>
    </xf>
    <xf numFmtId="0" fontId="71" fillId="0" borderId="0" xfId="189" applyFont="1" applyAlignment="1">
      <alignment horizontal="center"/>
    </xf>
    <xf numFmtId="0" fontId="71" fillId="0" borderId="0" xfId="189" applyFont="1"/>
    <xf numFmtId="0" fontId="71" fillId="0" borderId="14" xfId="189" applyFont="1" applyBorder="1" applyAlignment="1">
      <alignment horizontal="center"/>
    </xf>
    <xf numFmtId="0" fontId="71" fillId="0" borderId="15" xfId="189" applyFont="1" applyBorder="1"/>
    <xf numFmtId="0" fontId="71" fillId="0" borderId="18" xfId="189" applyFont="1" applyBorder="1" applyAlignment="1">
      <alignment horizontal="center"/>
    </xf>
    <xf numFmtId="0" fontId="70" fillId="0" borderId="19" xfId="189" applyFont="1" applyBorder="1"/>
    <xf numFmtId="0" fontId="70" fillId="0" borderId="20" xfId="189" applyFont="1" applyBorder="1" applyAlignment="1">
      <alignment horizontal="center"/>
    </xf>
    <xf numFmtId="0" fontId="70" fillId="0" borderId="21" xfId="189" applyFont="1" applyBorder="1" applyAlignment="1">
      <alignment horizontal="center"/>
    </xf>
    <xf numFmtId="0" fontId="71" fillId="0" borderId="24" xfId="189" applyFont="1" applyBorder="1" applyAlignment="1">
      <alignment horizontal="center"/>
    </xf>
    <xf numFmtId="37" fontId="71" fillId="0" borderId="0" xfId="189" applyNumberFormat="1" applyFont="1" applyBorder="1"/>
    <xf numFmtId="37" fontId="71" fillId="0" borderId="23" xfId="189" applyNumberFormat="1" applyFont="1" applyBorder="1"/>
    <xf numFmtId="0" fontId="71" fillId="0" borderId="22" xfId="189" applyFont="1" applyBorder="1"/>
    <xf numFmtId="37" fontId="71" fillId="0" borderId="20" xfId="189" applyNumberFormat="1" applyFont="1" applyBorder="1"/>
    <xf numFmtId="37" fontId="71" fillId="0" borderId="21" xfId="189" applyNumberFormat="1" applyFont="1" applyBorder="1"/>
    <xf numFmtId="0" fontId="70" fillId="0" borderId="22" xfId="189" applyFont="1" applyBorder="1"/>
    <xf numFmtId="37" fontId="71" fillId="0" borderId="65" xfId="189" applyNumberFormat="1" applyFont="1" applyBorder="1"/>
    <xf numFmtId="37" fontId="71" fillId="0" borderId="62" xfId="189" applyNumberFormat="1" applyFont="1" applyBorder="1"/>
    <xf numFmtId="0" fontId="71" fillId="0" borderId="19" xfId="189" applyFont="1" applyBorder="1"/>
    <xf numFmtId="0" fontId="71" fillId="0" borderId="20" xfId="189" applyFont="1" applyBorder="1"/>
    <xf numFmtId="0" fontId="71" fillId="0" borderId="21" xfId="189" applyFont="1" applyBorder="1"/>
    <xf numFmtId="0" fontId="27" fillId="0" borderId="0" xfId="0" quotePrefix="1" applyFont="1" applyAlignment="1">
      <alignment horizontal="left"/>
    </xf>
    <xf numFmtId="3" fontId="27" fillId="0" borderId="23" xfId="0" applyNumberFormat="1" applyFont="1" applyFill="1" applyBorder="1" applyAlignment="1">
      <alignment horizontal="right"/>
    </xf>
    <xf numFmtId="3" fontId="28" fillId="0" borderId="17" xfId="0" applyNumberFormat="1" applyFont="1" applyFill="1" applyBorder="1" applyAlignment="1">
      <alignment horizontal="right"/>
    </xf>
    <xf numFmtId="3" fontId="27" fillId="0" borderId="21" xfId="0" applyNumberFormat="1" applyFont="1" applyFill="1" applyBorder="1" applyAlignment="1">
      <alignment horizontal="right"/>
    </xf>
    <xf numFmtId="3" fontId="28" fillId="0" borderId="21" xfId="0" applyNumberFormat="1" applyFont="1" applyFill="1" applyBorder="1" applyAlignment="1">
      <alignment horizontal="right"/>
    </xf>
    <xf numFmtId="3" fontId="28" fillId="0" borderId="64" xfId="0" applyNumberFormat="1" applyFont="1" applyFill="1" applyBorder="1" applyAlignment="1">
      <alignment horizontal="right"/>
    </xf>
    <xf numFmtId="49" fontId="27" fillId="0" borderId="0" xfId="0" quotePrefix="1" applyNumberFormat="1" applyFont="1" applyFill="1" applyBorder="1" applyAlignment="1">
      <alignment horizontal="center"/>
    </xf>
    <xf numFmtId="0" fontId="29" fillId="0" borderId="0" xfId="203" quotePrefix="1" applyFont="1" applyFill="1" applyBorder="1" applyAlignment="1">
      <alignment horizontal="center" vertical="center"/>
    </xf>
    <xf numFmtId="0" fontId="29" fillId="0" borderId="0" xfId="0" applyFont="1" applyAlignment="1">
      <alignment horizontal="left" indent="2"/>
    </xf>
    <xf numFmtId="0" fontId="27" fillId="0" borderId="0" xfId="0" applyFont="1" applyBorder="1"/>
    <xf numFmtId="0" fontId="27" fillId="0" borderId="0" xfId="0" quotePrefix="1" applyFont="1" applyAlignment="1">
      <alignment horizontal="right"/>
    </xf>
    <xf numFmtId="0" fontId="28" fillId="0" borderId="20" xfId="0" applyFont="1" applyBorder="1" applyAlignment="1">
      <alignment horizontal="right"/>
    </xf>
    <xf numFmtId="0" fontId="29" fillId="0" borderId="0" xfId="0" applyFont="1" applyAlignment="1"/>
    <xf numFmtId="0" fontId="27" fillId="0" borderId="20" xfId="0" applyFont="1" applyBorder="1" applyAlignment="1">
      <alignment horizontal="right"/>
    </xf>
    <xf numFmtId="0" fontId="40" fillId="0" borderId="16" xfId="175" applyFont="1" applyBorder="1" applyAlignment="1">
      <alignment horizontal="center" wrapText="1"/>
    </xf>
    <xf numFmtId="0" fontId="40" fillId="0" borderId="0" xfId="175" applyFont="1" applyFill="1" applyBorder="1" applyAlignment="1">
      <alignment horizontal="center"/>
    </xf>
    <xf numFmtId="164" fontId="43" fillId="22" borderId="17" xfId="30" applyNumberFormat="1" applyFont="1" applyFill="1" applyBorder="1"/>
    <xf numFmtId="0" fontId="29" fillId="0" borderId="0" xfId="175" applyFont="1"/>
    <xf numFmtId="0" fontId="44" fillId="0" borderId="16" xfId="175" applyFont="1" applyBorder="1" applyAlignment="1">
      <alignment horizontal="center" wrapText="1"/>
    </xf>
    <xf numFmtId="0" fontId="40" fillId="0" borderId="20" xfId="175" applyFont="1" applyFill="1" applyBorder="1" applyAlignment="1">
      <alignment horizontal="center" wrapText="1"/>
    </xf>
    <xf numFmtId="0" fontId="29" fillId="0" borderId="0" xfId="175" quotePrefix="1" applyFont="1" applyFill="1"/>
    <xf numFmtId="164" fontId="43" fillId="0" borderId="23" xfId="30" applyNumberFormat="1" applyFont="1" applyBorder="1" applyAlignment="1">
      <alignment horizontal="center"/>
    </xf>
    <xf numFmtId="164" fontId="43" fillId="0" borderId="20" xfId="30" applyNumberFormat="1" applyFont="1" applyBorder="1" applyAlignment="1"/>
    <xf numFmtId="164" fontId="43" fillId="0" borderId="21" xfId="30" applyNumberFormat="1" applyFont="1" applyBorder="1" applyAlignment="1"/>
    <xf numFmtId="164" fontId="43" fillId="0" borderId="16" xfId="30" applyNumberFormat="1" applyFont="1" applyBorder="1" applyAlignment="1">
      <alignment horizontal="center"/>
    </xf>
    <xf numFmtId="164" fontId="44" fillId="18" borderId="17" xfId="30" applyNumberFormat="1" applyFont="1" applyFill="1" applyBorder="1" applyAlignment="1">
      <alignment horizontal="center"/>
    </xf>
    <xf numFmtId="0" fontId="29" fillId="0" borderId="0" xfId="175" quotePrefix="1" applyFont="1"/>
    <xf numFmtId="0" fontId="43" fillId="0" borderId="20" xfId="175" quotePrefix="1" applyFont="1" applyBorder="1" applyAlignment="1">
      <alignment horizontal="center"/>
    </xf>
    <xf numFmtId="37" fontId="70" fillId="22" borderId="65" xfId="189" applyNumberFormat="1" applyFont="1" applyFill="1" applyBorder="1"/>
    <xf numFmtId="0" fontId="29" fillId="0" borderId="20" xfId="175" quotePrefix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40" fillId="0" borderId="0" xfId="189" applyFont="1"/>
    <xf numFmtId="0" fontId="40" fillId="0" borderId="0" xfId="0" applyFont="1"/>
    <xf numFmtId="0" fontId="29" fillId="0" borderId="0" xfId="189" applyFont="1" applyBorder="1"/>
    <xf numFmtId="0" fontId="27" fillId="0" borderId="0" xfId="189" applyFont="1" applyFill="1"/>
    <xf numFmtId="0" fontId="40" fillId="0" borderId="0" xfId="175" applyFont="1" applyBorder="1" applyAlignment="1">
      <alignment horizontal="center"/>
    </xf>
    <xf numFmtId="0" fontId="29" fillId="0" borderId="0" xfId="175" applyFont="1" applyFill="1"/>
    <xf numFmtId="37" fontId="28" fillId="54" borderId="23" xfId="218" applyNumberFormat="1" applyFont="1" applyFill="1" applyBorder="1"/>
    <xf numFmtId="43" fontId="27" fillId="0" borderId="0" xfId="0" applyNumberFormat="1" applyFont="1"/>
    <xf numFmtId="176" fontId="27" fillId="0" borderId="0" xfId="0" applyNumberFormat="1" applyFont="1"/>
    <xf numFmtId="0" fontId="43" fillId="0" borderId="20" xfId="175" applyFont="1" applyFill="1" applyBorder="1"/>
    <xf numFmtId="164" fontId="17" fillId="0" borderId="0" xfId="457" applyNumberFormat="1"/>
    <xf numFmtId="164" fontId="17" fillId="0" borderId="0" xfId="460" applyNumberFormat="1"/>
    <xf numFmtId="164" fontId="17" fillId="0" borderId="0" xfId="470" applyNumberFormat="1"/>
    <xf numFmtId="0" fontId="40" fillId="0" borderId="0" xfId="189" applyFont="1" applyFill="1" applyAlignment="1">
      <alignment horizontal="center"/>
    </xf>
    <xf numFmtId="0" fontId="16" fillId="0" borderId="0" xfId="477"/>
    <xf numFmtId="0" fontId="70" fillId="0" borderId="5" xfId="189" applyFont="1" applyBorder="1" applyAlignment="1">
      <alignment horizontal="center"/>
    </xf>
    <xf numFmtId="0" fontId="27" fillId="0" borderId="0" xfId="0" quotePrefix="1" applyFont="1" applyAlignment="1">
      <alignment horizontal="left"/>
    </xf>
    <xf numFmtId="0" fontId="27" fillId="0" borderId="0" xfId="0" applyFont="1"/>
    <xf numFmtId="0" fontId="25" fillId="0" borderId="0" xfId="232" applyFont="1" applyAlignment="1">
      <alignment wrapText="1"/>
    </xf>
    <xf numFmtId="0" fontId="27" fillId="0" borderId="0" xfId="0" applyFont="1" applyBorder="1"/>
    <xf numFmtId="0" fontId="25" fillId="0" borderId="0" xfId="0" applyFont="1" applyBorder="1" applyAlignment="1">
      <alignment horizontal="center" wrapText="1"/>
    </xf>
    <xf numFmtId="0" fontId="24" fillId="0" borderId="0" xfId="0" applyFont="1" applyAlignment="1"/>
    <xf numFmtId="0" fontId="71" fillId="0" borderId="0" xfId="189" applyFont="1" applyBorder="1" applyAlignment="1">
      <alignment horizontal="center"/>
    </xf>
    <xf numFmtId="0" fontId="71" fillId="0" borderId="16" xfId="189" applyFont="1" applyBorder="1"/>
    <xf numFmtId="0" fontId="71" fillId="0" borderId="17" xfId="189" applyFont="1" applyBorder="1"/>
    <xf numFmtId="0" fontId="29" fillId="0" borderId="0" xfId="189" applyFont="1" applyBorder="1" applyAlignment="1">
      <alignment horizontal="right"/>
    </xf>
    <xf numFmtId="0" fontId="40" fillId="0" borderId="0" xfId="189" applyFont="1" applyAlignment="1">
      <alignment horizontal="left" indent="1"/>
    </xf>
    <xf numFmtId="0" fontId="15" fillId="0" borderId="0" xfId="477" applyFont="1"/>
    <xf numFmtId="0" fontId="90" fillId="0" borderId="22" xfId="0" applyFont="1" applyFill="1" applyBorder="1"/>
    <xf numFmtId="37" fontId="43" fillId="0" borderId="17" xfId="0" applyNumberFormat="1" applyFont="1" applyFill="1" applyBorder="1" applyProtection="1">
      <protection locked="0"/>
    </xf>
    <xf numFmtId="164" fontId="27" fillId="0" borderId="16" xfId="30" applyNumberFormat="1" applyFont="1" applyFill="1" applyBorder="1"/>
    <xf numFmtId="164" fontId="27" fillId="0" borderId="0" xfId="30" applyNumberFormat="1" applyFont="1" applyFill="1" applyBorder="1"/>
    <xf numFmtId="164" fontId="28" fillId="18" borderId="21" xfId="30" applyNumberFormat="1" applyFont="1" applyFill="1" applyBorder="1"/>
    <xf numFmtId="164" fontId="28" fillId="18" borderId="64" xfId="30" applyNumberFormat="1" applyFont="1" applyFill="1" applyBorder="1"/>
    <xf numFmtId="164" fontId="27" fillId="0" borderId="20" xfId="30" applyNumberFormat="1" applyFont="1" applyBorder="1"/>
    <xf numFmtId="37" fontId="44" fillId="18" borderId="64" xfId="0" applyNumberFormat="1" applyFont="1" applyFill="1" applyBorder="1" applyProtection="1"/>
    <xf numFmtId="0" fontId="29" fillId="0" borderId="27" xfId="189" applyFont="1" applyBorder="1" applyAlignment="1">
      <alignment horizontal="left" indent="1"/>
    </xf>
    <xf numFmtId="0" fontId="29" fillId="0" borderId="0" xfId="0" quotePrefix="1" applyFont="1" applyAlignment="1"/>
    <xf numFmtId="0" fontId="28" fillId="0" borderId="0" xfId="0" applyFont="1" applyBorder="1" applyAlignment="1">
      <alignment horizontal="left"/>
    </xf>
    <xf numFmtId="172" fontId="27" fillId="0" borderId="76" xfId="0" applyNumberFormat="1" applyFont="1" applyFill="1" applyBorder="1" applyAlignment="1" applyProtection="1">
      <alignment horizontal="center"/>
      <protection locked="0"/>
    </xf>
    <xf numFmtId="0" fontId="27" fillId="0" borderId="76" xfId="0" quotePrefix="1" applyFont="1" applyBorder="1" applyAlignment="1" applyProtection="1">
      <protection locked="0"/>
    </xf>
    <xf numFmtId="0" fontId="25" fillId="0" borderId="0" xfId="232" quotePrefix="1" applyFont="1"/>
    <xf numFmtId="0" fontId="27" fillId="0" borderId="0" xfId="0" applyFont="1" applyAlignment="1">
      <alignment horizontal="right"/>
    </xf>
    <xf numFmtId="164" fontId="27" fillId="0" borderId="77" xfId="39" applyNumberFormat="1" applyFont="1" applyFill="1" applyBorder="1"/>
    <xf numFmtId="0" fontId="14" fillId="0" borderId="0" xfId="484"/>
    <xf numFmtId="164" fontId="27" fillId="0" borderId="17" xfId="30" applyNumberFormat="1" applyFont="1" applyFill="1" applyBorder="1"/>
    <xf numFmtId="164" fontId="28" fillId="18" borderId="17" xfId="30" applyNumberFormat="1" applyFont="1" applyFill="1" applyBorder="1"/>
    <xf numFmtId="0" fontId="27" fillId="0" borderId="1" xfId="0" quotePrefix="1" applyFont="1" applyBorder="1" applyAlignment="1" applyProtection="1">
      <protection locked="0"/>
    </xf>
    <xf numFmtId="0" fontId="27" fillId="0" borderId="0" xfId="485" applyFont="1" applyBorder="1" applyProtection="1">
      <protection locked="0"/>
    </xf>
    <xf numFmtId="172" fontId="27" fillId="0" borderId="22" xfId="485" quotePrefix="1" applyNumberFormat="1" applyFont="1" applyBorder="1" applyAlignment="1" applyProtection="1">
      <alignment horizontal="left"/>
      <protection locked="0"/>
    </xf>
    <xf numFmtId="0" fontId="13" fillId="0" borderId="0" xfId="484" applyFont="1"/>
    <xf numFmtId="17" fontId="29" fillId="0" borderId="22" xfId="175" quotePrefix="1" applyNumberFormat="1" applyFont="1" applyBorder="1"/>
    <xf numFmtId="176" fontId="94" fillId="0" borderId="0" xfId="490" applyNumberFormat="1" applyFont="1" applyAlignment="1">
      <alignment horizontal="right"/>
    </xf>
    <xf numFmtId="176" fontId="94" fillId="0" borderId="0" xfId="491" applyNumberFormat="1" applyFont="1" applyAlignment="1">
      <alignment horizontal="right"/>
    </xf>
    <xf numFmtId="176" fontId="94" fillId="0" borderId="0" xfId="518" applyNumberFormat="1" applyFont="1" applyAlignment="1">
      <alignment horizontal="right"/>
    </xf>
    <xf numFmtId="176" fontId="94" fillId="0" borderId="0" xfId="519" applyNumberFormat="1" applyFont="1" applyAlignment="1">
      <alignment horizontal="right"/>
    </xf>
    <xf numFmtId="176" fontId="94" fillId="0" borderId="0" xfId="517" applyNumberFormat="1" applyFont="1" applyAlignment="1">
      <alignment horizontal="right"/>
    </xf>
    <xf numFmtId="176" fontId="95" fillId="0" borderId="0" xfId="496" applyNumberFormat="1" applyFont="1" applyAlignment="1">
      <alignment horizontal="right"/>
    </xf>
    <xf numFmtId="176" fontId="94" fillId="0" borderId="0" xfId="508" applyNumberFormat="1" applyFont="1" applyAlignment="1">
      <alignment horizontal="right"/>
    </xf>
    <xf numFmtId="176" fontId="94" fillId="0" borderId="0" xfId="493" applyNumberFormat="1" applyFont="1" applyAlignment="1">
      <alignment horizontal="right"/>
    </xf>
    <xf numFmtId="164" fontId="29" fillId="0" borderId="0" xfId="35" applyNumberFormat="1" applyFont="1" applyFill="1" applyBorder="1"/>
    <xf numFmtId="37" fontId="27" fillId="0" borderId="27" xfId="189" applyNumberFormat="1" applyFont="1" applyFill="1" applyBorder="1" applyProtection="1">
      <protection locked="0"/>
    </xf>
    <xf numFmtId="0" fontId="29" fillId="0" borderId="0" xfId="189" quotePrefix="1" applyFont="1" applyFill="1" applyBorder="1" applyAlignment="1">
      <alignment wrapText="1"/>
    </xf>
    <xf numFmtId="0" fontId="40" fillId="0" borderId="0" xfId="175" applyFont="1" applyBorder="1" applyAlignment="1">
      <alignment horizontal="center"/>
    </xf>
    <xf numFmtId="0" fontId="40" fillId="0" borderId="0" xfId="175" applyFont="1" applyBorder="1" applyAlignment="1">
      <alignment horizontal="center"/>
    </xf>
    <xf numFmtId="0" fontId="29" fillId="0" borderId="0" xfId="175" applyFont="1" applyFill="1"/>
    <xf numFmtId="164" fontId="43" fillId="0" borderId="16" xfId="189" applyNumberFormat="1" applyFont="1" applyBorder="1"/>
    <xf numFmtId="37" fontId="27" fillId="0" borderId="27" xfId="189" applyNumberFormat="1" applyFont="1" applyBorder="1" applyProtection="1">
      <protection locked="0"/>
    </xf>
    <xf numFmtId="0" fontId="29" fillId="64" borderId="0" xfId="189" applyFont="1" applyFill="1" applyBorder="1" applyAlignment="1">
      <alignment wrapText="1"/>
    </xf>
    <xf numFmtId="37" fontId="43" fillId="0" borderId="16" xfId="0" applyNumberFormat="1" applyFont="1" applyBorder="1"/>
    <xf numFmtId="0" fontId="29" fillId="0" borderId="0" xfId="0" applyFont="1"/>
    <xf numFmtId="0" fontId="27" fillId="0" borderId="0" xfId="0" quotePrefix="1" applyFont="1" applyAlignment="1">
      <alignment vertical="center"/>
    </xf>
    <xf numFmtId="164" fontId="27" fillId="0" borderId="0" xfId="0" applyNumberFormat="1" applyFont="1"/>
    <xf numFmtId="0" fontId="11" fillId="0" borderId="0" xfId="1224"/>
    <xf numFmtId="0" fontId="103" fillId="0" borderId="0" xfId="1224" applyFont="1"/>
    <xf numFmtId="0" fontId="104" fillId="0" borderId="0" xfId="1224" applyFont="1"/>
    <xf numFmtId="0" fontId="104" fillId="0" borderId="0" xfId="1224" applyFont="1" applyBorder="1"/>
    <xf numFmtId="0" fontId="106" fillId="0" borderId="0" xfId="1224" applyFont="1" applyAlignment="1" applyProtection="1">
      <alignment horizontal="center"/>
      <protection locked="0"/>
    </xf>
    <xf numFmtId="0" fontId="106" fillId="0" borderId="0" xfId="1224" applyFont="1" applyBorder="1" applyAlignment="1" applyProtection="1">
      <alignment horizontal="center"/>
      <protection locked="0"/>
    </xf>
    <xf numFmtId="0" fontId="106" fillId="0" borderId="0" xfId="1224" applyFont="1" applyAlignment="1">
      <alignment horizontal="center"/>
    </xf>
    <xf numFmtId="0" fontId="106" fillId="0" borderId="0" xfId="1224" applyFont="1" applyFill="1" applyBorder="1" applyAlignment="1">
      <alignment horizontal="center"/>
    </xf>
    <xf numFmtId="0" fontId="104" fillId="0" borderId="0" xfId="1224" applyFont="1" applyFill="1" applyBorder="1"/>
    <xf numFmtId="0" fontId="103" fillId="0" borderId="0" xfId="1224" applyFont="1" applyBorder="1"/>
    <xf numFmtId="0" fontId="71" fillId="0" borderId="0" xfId="1224" quotePrefix="1" applyFont="1" applyBorder="1" applyAlignment="1">
      <alignment horizontal="center"/>
    </xf>
    <xf numFmtId="0" fontId="71" fillId="0" borderId="0" xfId="1224" applyFont="1" applyBorder="1"/>
    <xf numFmtId="0" fontId="105" fillId="0" borderId="0" xfId="1224" applyFont="1"/>
    <xf numFmtId="0" fontId="103" fillId="0" borderId="1" xfId="1224" applyFont="1" applyBorder="1"/>
    <xf numFmtId="0" fontId="103" fillId="0" borderId="30" xfId="1224" applyFont="1" applyBorder="1" applyAlignment="1">
      <alignment horizontal="center" wrapText="1"/>
    </xf>
    <xf numFmtId="0" fontId="104" fillId="0" borderId="25" xfId="1224" applyFont="1" applyBorder="1"/>
    <xf numFmtId="0" fontId="104" fillId="0" borderId="46" xfId="1224" applyFont="1" applyBorder="1"/>
    <xf numFmtId="0" fontId="71" fillId="0" borderId="46" xfId="1224" quotePrefix="1" applyFont="1" applyBorder="1" applyAlignment="1">
      <alignment horizontal="center"/>
    </xf>
    <xf numFmtId="0" fontId="71" fillId="0" borderId="46" xfId="1224" applyFont="1" applyBorder="1"/>
    <xf numFmtId="0" fontId="71" fillId="0" borderId="39" xfId="1224" quotePrefix="1" applyFont="1" applyBorder="1" applyAlignment="1">
      <alignment horizontal="center"/>
    </xf>
    <xf numFmtId="0" fontId="103" fillId="0" borderId="28" xfId="1224" applyFont="1" applyBorder="1" applyAlignment="1">
      <alignment horizontal="center" wrapText="1"/>
    </xf>
    <xf numFmtId="0" fontId="104" fillId="0" borderId="27" xfId="1224" applyFont="1" applyBorder="1"/>
    <xf numFmtId="0" fontId="104" fillId="0" borderId="44" xfId="1224" applyFont="1" applyBorder="1" applyAlignment="1" applyProtection="1">
      <alignment horizontal="right" indent="1"/>
      <protection locked="0"/>
    </xf>
    <xf numFmtId="0" fontId="103" fillId="0" borderId="28" xfId="1224" applyFont="1" applyBorder="1" applyAlignment="1">
      <alignment horizontal="center"/>
    </xf>
    <xf numFmtId="0" fontId="104" fillId="0" borderId="30" xfId="1224" applyFont="1" applyBorder="1" applyProtection="1">
      <protection locked="0"/>
    </xf>
    <xf numFmtId="0" fontId="104" fillId="0" borderId="44" xfId="1224" applyFont="1" applyBorder="1"/>
    <xf numFmtId="0" fontId="103" fillId="0" borderId="44" xfId="1224" applyFont="1" applyBorder="1"/>
    <xf numFmtId="0" fontId="71" fillId="0" borderId="0" xfId="1224" applyFont="1" applyAlignment="1">
      <alignment horizontal="center"/>
    </xf>
    <xf numFmtId="0" fontId="104" fillId="0" borderId="30" xfId="1224" applyFont="1" applyBorder="1" applyAlignment="1" applyProtection="1">
      <alignment horizontal="center"/>
      <protection locked="0"/>
    </xf>
    <xf numFmtId="0" fontId="104" fillId="0" borderId="30" xfId="1224" applyFont="1" applyBorder="1"/>
    <xf numFmtId="0" fontId="104" fillId="0" borderId="44" xfId="1224" applyFont="1" applyBorder="1" applyProtection="1">
      <protection locked="0"/>
    </xf>
    <xf numFmtId="0" fontId="106" fillId="0" borderId="39" xfId="1224" applyFont="1" applyBorder="1"/>
    <xf numFmtId="0" fontId="104" fillId="0" borderId="25" xfId="1224" applyFont="1" applyBorder="1" applyProtection="1">
      <protection locked="0"/>
    </xf>
    <xf numFmtId="0" fontId="104" fillId="0" borderId="39" xfId="1224" applyFont="1" applyBorder="1"/>
    <xf numFmtId="37" fontId="108" fillId="0" borderId="30" xfId="1224" applyNumberFormat="1" applyFont="1" applyFill="1" applyBorder="1" applyProtection="1">
      <protection locked="0"/>
    </xf>
    <xf numFmtId="37" fontId="104" fillId="0" borderId="83" xfId="1224" applyNumberFormat="1" applyFont="1" applyBorder="1" applyProtection="1">
      <protection locked="0"/>
    </xf>
    <xf numFmtId="10" fontId="104" fillId="0" borderId="83" xfId="1224" applyNumberFormat="1" applyFont="1" applyBorder="1" applyProtection="1">
      <protection locked="0"/>
    </xf>
    <xf numFmtId="0" fontId="104" fillId="0" borderId="31" xfId="1224" applyFont="1" applyBorder="1" applyProtection="1">
      <protection locked="0"/>
    </xf>
    <xf numFmtId="0" fontId="104" fillId="0" borderId="31" xfId="1224" applyFont="1" applyBorder="1"/>
    <xf numFmtId="37" fontId="104" fillId="0" borderId="26" xfId="1224" applyNumberFormat="1" applyFont="1" applyBorder="1" applyProtection="1">
      <protection locked="0"/>
    </xf>
    <xf numFmtId="178" fontId="104" fillId="0" borderId="30" xfId="1224" applyNumberFormat="1" applyFont="1" applyBorder="1" applyProtection="1">
      <protection locked="0"/>
    </xf>
    <xf numFmtId="179" fontId="104" fillId="0" borderId="30" xfId="1224" applyNumberFormat="1" applyFont="1" applyBorder="1" applyProtection="1">
      <protection locked="0"/>
    </xf>
    <xf numFmtId="172" fontId="104" fillId="0" borderId="83" xfId="1224" applyNumberFormat="1" applyFont="1" applyBorder="1" applyProtection="1">
      <protection locked="0"/>
    </xf>
    <xf numFmtId="0" fontId="104" fillId="0" borderId="0" xfId="1224" applyFont="1" applyBorder="1" applyProtection="1">
      <protection locked="0"/>
    </xf>
    <xf numFmtId="173" fontId="104" fillId="0" borderId="83" xfId="1224" applyNumberFormat="1" applyFont="1" applyBorder="1" applyProtection="1">
      <protection locked="0"/>
    </xf>
    <xf numFmtId="0" fontId="109" fillId="0" borderId="44" xfId="1224" applyFont="1" applyBorder="1" applyProtection="1">
      <protection locked="0"/>
    </xf>
    <xf numFmtId="0" fontId="110" fillId="0" borderId="0" xfId="1224" applyFont="1" applyProtection="1">
      <protection locked="0"/>
    </xf>
    <xf numFmtId="173" fontId="103" fillId="0" borderId="0" xfId="1224" applyNumberFormat="1" applyFont="1"/>
    <xf numFmtId="178" fontId="104" fillId="0" borderId="83" xfId="1224" applyNumberFormat="1" applyFont="1" applyBorder="1" applyProtection="1">
      <protection locked="0"/>
    </xf>
    <xf numFmtId="3" fontId="104" fillId="0" borderId="30" xfId="1224" applyNumberFormat="1" applyFont="1" applyBorder="1" applyProtection="1">
      <protection locked="0"/>
    </xf>
    <xf numFmtId="10" fontId="103" fillId="0" borderId="30" xfId="1224" applyNumberFormat="1" applyFont="1" applyBorder="1" applyProtection="1"/>
    <xf numFmtId="0" fontId="104" fillId="0" borderId="35" xfId="1224" applyFont="1" applyBorder="1" applyProtection="1">
      <protection locked="0"/>
    </xf>
    <xf numFmtId="0" fontId="104" fillId="0" borderId="29" xfId="1224" applyFont="1" applyBorder="1"/>
    <xf numFmtId="0" fontId="104" fillId="0" borderId="45" xfId="1224" applyFont="1" applyBorder="1"/>
    <xf numFmtId="0" fontId="104" fillId="0" borderId="27" xfId="1224" applyFont="1" applyBorder="1" applyProtection="1">
      <protection locked="0"/>
    </xf>
    <xf numFmtId="10" fontId="104" fillId="0" borderId="27" xfId="1224" applyNumberFormat="1" applyFont="1" applyBorder="1" applyProtection="1">
      <protection locked="0"/>
    </xf>
    <xf numFmtId="0" fontId="104" fillId="0" borderId="36" xfId="1224" applyFont="1" applyBorder="1"/>
    <xf numFmtId="0" fontId="104" fillId="0" borderId="1" xfId="1224" applyFont="1" applyBorder="1" applyProtection="1">
      <protection locked="0"/>
    </xf>
    <xf numFmtId="0" fontId="104" fillId="0" borderId="1" xfId="1224" applyFont="1" applyBorder="1"/>
    <xf numFmtId="0" fontId="104" fillId="0" borderId="38" xfId="1224" applyFont="1" applyBorder="1"/>
    <xf numFmtId="0" fontId="104" fillId="0" borderId="39" xfId="1224" applyFont="1" applyBorder="1" applyAlignment="1" applyProtection="1">
      <alignment horizontal="center"/>
      <protection locked="0"/>
    </xf>
    <xf numFmtId="0" fontId="103" fillId="0" borderId="31" xfId="1224" applyFont="1" applyBorder="1"/>
    <xf numFmtId="0" fontId="104" fillId="0" borderId="38" xfId="1224" applyFont="1" applyBorder="1" applyProtection="1">
      <protection locked="0"/>
    </xf>
    <xf numFmtId="0" fontId="104" fillId="0" borderId="0" xfId="1224" quotePrefix="1" applyFont="1" applyBorder="1" applyAlignment="1" applyProtection="1">
      <protection locked="0"/>
    </xf>
    <xf numFmtId="0" fontId="104" fillId="0" borderId="0" xfId="1224" applyFont="1" applyBorder="1" applyAlignment="1" applyProtection="1">
      <protection locked="0"/>
    </xf>
    <xf numFmtId="0" fontId="103" fillId="0" borderId="0" xfId="1224" applyFont="1" applyAlignment="1"/>
    <xf numFmtId="0" fontId="107" fillId="0" borderId="0" xfId="1224" applyFont="1" applyAlignment="1"/>
    <xf numFmtId="0" fontId="104" fillId="0" borderId="0" xfId="1224" quotePrefix="1" applyFont="1" applyBorder="1"/>
    <xf numFmtId="177" fontId="104" fillId="0" borderId="27" xfId="1224" applyNumberFormat="1" applyFont="1" applyBorder="1" applyProtection="1">
      <protection locked="0"/>
    </xf>
    <xf numFmtId="0" fontId="91" fillId="0" borderId="0" xfId="1224" applyFont="1"/>
    <xf numFmtId="182" fontId="112" fillId="0" borderId="0" xfId="1224" applyNumberFormat="1" applyFont="1"/>
    <xf numFmtId="174" fontId="91" fillId="0" borderId="0" xfId="1224" applyNumberFormat="1" applyFont="1"/>
    <xf numFmtId="0" fontId="91" fillId="0" borderId="0" xfId="1224" applyFont="1" applyFill="1"/>
    <xf numFmtId="0" fontId="103" fillId="0" borderId="0" xfId="1224" applyFont="1" applyFill="1"/>
    <xf numFmtId="0" fontId="105" fillId="0" borderId="0" xfId="1224" applyFont="1" applyFill="1"/>
    <xf numFmtId="0" fontId="104" fillId="0" borderId="44" xfId="1224" quotePrefix="1" applyFont="1" applyBorder="1"/>
    <xf numFmtId="0" fontId="11" fillId="0" borderId="0" xfId="1227"/>
    <xf numFmtId="0" fontId="27" fillId="0" borderId="0" xfId="1227" applyFont="1" applyBorder="1"/>
    <xf numFmtId="0" fontId="27" fillId="0" borderId="0" xfId="1227" quotePrefix="1" applyFont="1"/>
    <xf numFmtId="0" fontId="71" fillId="0" borderId="0" xfId="1227" applyFont="1" applyBorder="1"/>
    <xf numFmtId="0" fontId="71" fillId="0" borderId="46" xfId="1227" applyFont="1" applyBorder="1"/>
    <xf numFmtId="0" fontId="71" fillId="0" borderId="0" xfId="1227" applyFont="1" applyAlignment="1">
      <alignment horizontal="center"/>
    </xf>
    <xf numFmtId="0" fontId="71" fillId="0" borderId="0" xfId="1227" applyFont="1" applyAlignment="1" applyProtection="1">
      <alignment horizontal="centerContinuous"/>
      <protection locked="0"/>
    </xf>
    <xf numFmtId="166" fontId="71" fillId="0" borderId="0" xfId="1227" applyNumberFormat="1" applyFont="1" applyAlignment="1" applyProtection="1">
      <alignment horizontal="centerContinuous"/>
      <protection locked="0"/>
    </xf>
    <xf numFmtId="0" fontId="71" fillId="0" borderId="0" xfId="1227" applyFont="1" applyAlignment="1">
      <alignment horizontal="centerContinuous"/>
    </xf>
    <xf numFmtId="0" fontId="71" fillId="0" borderId="0" xfId="1227" quotePrefix="1" applyFont="1" applyAlignment="1">
      <alignment horizontal="center"/>
    </xf>
    <xf numFmtId="0" fontId="71" fillId="0" borderId="0" xfId="1227" applyFont="1" applyBorder="1" applyAlignment="1">
      <alignment horizontal="center"/>
    </xf>
    <xf numFmtId="0" fontId="71" fillId="0" borderId="30" xfId="1227" applyFont="1" applyBorder="1" applyAlignment="1">
      <alignment horizontal="center" wrapText="1"/>
    </xf>
    <xf numFmtId="0" fontId="70" fillId="0" borderId="46" xfId="1227" applyFont="1" applyBorder="1" applyAlignment="1" applyProtection="1">
      <alignment horizontal="center"/>
      <protection locked="0"/>
    </xf>
    <xf numFmtId="0" fontId="70" fillId="0" borderId="39" xfId="1227" applyFont="1" applyBorder="1" applyAlignment="1" applyProtection="1">
      <alignment horizontal="center"/>
      <protection locked="0"/>
    </xf>
    <xf numFmtId="0" fontId="71" fillId="0" borderId="28" xfId="1227" applyFont="1" applyBorder="1" applyAlignment="1">
      <alignment horizontal="center"/>
    </xf>
    <xf numFmtId="0" fontId="71" fillId="0" borderId="45" xfId="1227" applyFont="1" applyBorder="1"/>
    <xf numFmtId="0" fontId="71" fillId="0" borderId="44" xfId="1227" applyFont="1" applyBorder="1"/>
    <xf numFmtId="39" fontId="71" fillId="0" borderId="0" xfId="1227" applyNumberFormat="1" applyFont="1" applyBorder="1" applyProtection="1">
      <protection locked="0"/>
    </xf>
    <xf numFmtId="0" fontId="71" fillId="0" borderId="27" xfId="1227" applyFont="1" applyBorder="1"/>
    <xf numFmtId="0" fontId="71" fillId="0" borderId="0" xfId="1227" applyFont="1" applyBorder="1" applyAlignment="1" applyProtection="1">
      <alignment horizontal="right"/>
      <protection locked="0"/>
    </xf>
    <xf numFmtId="172" fontId="71" fillId="0" borderId="65" xfId="1227" applyNumberFormat="1" applyFont="1" applyBorder="1" applyProtection="1">
      <protection locked="0"/>
    </xf>
    <xf numFmtId="180" fontId="71" fillId="0" borderId="65" xfId="1227" applyNumberFormat="1" applyFont="1" applyFill="1" applyBorder="1" applyProtection="1">
      <protection locked="0"/>
    </xf>
    <xf numFmtId="0" fontId="71" fillId="0" borderId="29" xfId="1227" applyFont="1" applyBorder="1" applyAlignment="1">
      <alignment horizontal="center"/>
    </xf>
    <xf numFmtId="0" fontId="71" fillId="0" borderId="29" xfId="1227" applyFont="1" applyBorder="1"/>
    <xf numFmtId="0" fontId="27" fillId="0" borderId="0" xfId="1227" quotePrefix="1" applyFont="1" applyBorder="1" applyAlignment="1">
      <alignment horizontal="right"/>
    </xf>
    <xf numFmtId="0" fontId="111" fillId="0" borderId="0" xfId="1227" applyFont="1" applyBorder="1"/>
    <xf numFmtId="0" fontId="27" fillId="0" borderId="0" xfId="1227" quotePrefix="1" applyFont="1" applyBorder="1" applyAlignment="1">
      <alignment horizontal="left"/>
    </xf>
    <xf numFmtId="0" fontId="71" fillId="0" borderId="36" xfId="1227" applyFont="1" applyBorder="1"/>
    <xf numFmtId="0" fontId="71" fillId="0" borderId="1" xfId="1227" applyFont="1" applyBorder="1"/>
    <xf numFmtId="0" fontId="71" fillId="0" borderId="1" xfId="1227" applyFont="1" applyBorder="1" applyAlignment="1" applyProtection="1">
      <alignment horizontal="right"/>
      <protection locked="0"/>
    </xf>
    <xf numFmtId="0" fontId="71" fillId="0" borderId="38" xfId="1227" applyFont="1" applyBorder="1" applyAlignment="1" applyProtection="1">
      <alignment horizontal="right"/>
      <protection locked="0"/>
    </xf>
    <xf numFmtId="0" fontId="71" fillId="0" borderId="31" xfId="1227" applyFont="1" applyBorder="1" applyAlignment="1">
      <alignment horizontal="center"/>
    </xf>
    <xf numFmtId="0" fontId="71" fillId="0" borderId="29" xfId="1227" applyFont="1" applyBorder="1" applyAlignment="1" applyProtection="1">
      <alignment horizontal="right"/>
      <protection locked="0"/>
    </xf>
    <xf numFmtId="0" fontId="27" fillId="0" borderId="0" xfId="0" applyFont="1" applyBorder="1"/>
    <xf numFmtId="175" fontId="87" fillId="67" borderId="0" xfId="1233" applyNumberFormat="1" applyFont="1" applyFill="1"/>
    <xf numFmtId="0" fontId="10" fillId="0" borderId="0" xfId="1230" applyFont="1"/>
    <xf numFmtId="0" fontId="10" fillId="22" borderId="0" xfId="1230" applyFont="1" applyFill="1"/>
    <xf numFmtId="0" fontId="10" fillId="0" borderId="0" xfId="1230" quotePrefix="1" applyFont="1"/>
    <xf numFmtId="43" fontId="10" fillId="0" borderId="0" xfId="1230" applyNumberFormat="1" applyFont="1"/>
    <xf numFmtId="43" fontId="10" fillId="0" borderId="20" xfId="1230" applyNumberFormat="1" applyFont="1" applyBorder="1"/>
    <xf numFmtId="43" fontId="10" fillId="0" borderId="16" xfId="1230" applyNumberFormat="1" applyFont="1" applyBorder="1"/>
    <xf numFmtId="0" fontId="10" fillId="0" borderId="0" xfId="1230" applyFont="1" applyAlignment="1">
      <alignment horizontal="right"/>
    </xf>
    <xf numFmtId="0" fontId="10" fillId="66" borderId="0" xfId="1230" applyFont="1" applyFill="1"/>
    <xf numFmtId="0" fontId="10" fillId="66" borderId="0" xfId="1230" applyFont="1" applyFill="1" applyAlignment="1">
      <alignment horizontal="right"/>
    </xf>
    <xf numFmtId="0" fontId="10" fillId="67" borderId="0" xfId="1230" applyFont="1" applyFill="1"/>
    <xf numFmtId="0" fontId="10" fillId="67" borderId="0" xfId="1230" applyFont="1" applyFill="1" applyAlignment="1">
      <alignment horizontal="right"/>
    </xf>
    <xf numFmtId="183" fontId="113" fillId="0" borderId="85" xfId="1230" applyNumberFormat="1" applyFont="1" applyFill="1" applyBorder="1" applyAlignment="1" applyProtection="1">
      <alignment horizontal="center"/>
    </xf>
    <xf numFmtId="184" fontId="113" fillId="0" borderId="85" xfId="1230" applyNumberFormat="1" applyFont="1" applyFill="1" applyBorder="1" applyAlignment="1" applyProtection="1">
      <alignment horizontal="center"/>
    </xf>
    <xf numFmtId="185" fontId="113" fillId="0" borderId="85" xfId="1230" applyNumberFormat="1" applyFont="1" applyFill="1" applyBorder="1" applyAlignment="1" applyProtection="1">
      <alignment horizontal="center"/>
    </xf>
    <xf numFmtId="186" fontId="113" fillId="0" borderId="85" xfId="1230" applyNumberFormat="1" applyFont="1" applyFill="1" applyBorder="1" applyAlignment="1" applyProtection="1">
      <alignment horizontal="center"/>
    </xf>
    <xf numFmtId="43" fontId="113" fillId="0" borderId="85" xfId="1232" applyFont="1" applyFill="1" applyBorder="1" applyAlignment="1" applyProtection="1">
      <alignment horizontal="right" vertical="center" wrapText="1"/>
    </xf>
    <xf numFmtId="43" fontId="113" fillId="0" borderId="86" xfId="1232" applyFont="1" applyFill="1" applyBorder="1" applyAlignment="1" applyProtection="1">
      <alignment horizontal="right" vertical="center" wrapText="1"/>
    </xf>
    <xf numFmtId="183" fontId="114" fillId="65" borderId="87" xfId="1230" applyNumberFormat="1" applyFont="1" applyFill="1" applyBorder="1" applyAlignment="1" applyProtection="1">
      <alignment horizontal="center"/>
    </xf>
    <xf numFmtId="184" fontId="114" fillId="65" borderId="87" xfId="1230" applyNumberFormat="1" applyFont="1" applyFill="1" applyBorder="1" applyAlignment="1" applyProtection="1">
      <alignment horizontal="center"/>
    </xf>
    <xf numFmtId="185" fontId="114" fillId="65" borderId="87" xfId="1230" applyNumberFormat="1" applyFont="1" applyFill="1" applyBorder="1" applyAlignment="1" applyProtection="1">
      <alignment horizontal="center"/>
    </xf>
    <xf numFmtId="186" fontId="114" fillId="65" borderId="87" xfId="1230" applyNumberFormat="1" applyFont="1" applyFill="1" applyBorder="1" applyAlignment="1" applyProtection="1">
      <alignment horizontal="center"/>
    </xf>
    <xf numFmtId="0" fontId="114" fillId="65" borderId="88" xfId="1230" applyFont="1" applyFill="1" applyBorder="1" applyAlignment="1" applyProtection="1">
      <alignment horizontal="center" vertical="center"/>
    </xf>
    <xf numFmtId="0" fontId="114" fillId="0" borderId="0" xfId="1230" applyFont="1" applyFill="1" applyBorder="1" applyAlignment="1" applyProtection="1">
      <alignment horizontal="center" vertical="center"/>
    </xf>
    <xf numFmtId="164" fontId="113" fillId="0" borderId="85" xfId="1232" applyNumberFormat="1" applyFont="1" applyFill="1" applyBorder="1" applyAlignment="1" applyProtection="1">
      <alignment horizontal="right" vertical="center" wrapText="1"/>
    </xf>
    <xf numFmtId="164" fontId="113" fillId="0" borderId="89" xfId="1232" applyNumberFormat="1" applyFont="1" applyFill="1" applyBorder="1" applyAlignment="1" applyProtection="1">
      <alignment horizontal="right" vertical="center" wrapText="1"/>
    </xf>
    <xf numFmtId="164" fontId="113" fillId="0" borderId="86" xfId="1232" applyNumberFormat="1" applyFont="1" applyFill="1" applyBorder="1" applyAlignment="1" applyProtection="1">
      <alignment horizontal="right" vertical="center" wrapText="1"/>
    </xf>
    <xf numFmtId="10" fontId="115" fillId="0" borderId="0" xfId="1231" applyNumberFormat="1" applyFont="1"/>
    <xf numFmtId="43" fontId="115" fillId="0" borderId="0" xfId="1232" applyFont="1"/>
    <xf numFmtId="43" fontId="115" fillId="0" borderId="20" xfId="1232" applyFont="1" applyBorder="1"/>
    <xf numFmtId="10" fontId="115" fillId="0" borderId="20" xfId="1231" applyNumberFormat="1" applyFont="1" applyBorder="1"/>
    <xf numFmtId="9" fontId="115" fillId="0" borderId="0" xfId="1231" applyFont="1"/>
    <xf numFmtId="164" fontId="115" fillId="0" borderId="16" xfId="1232" applyNumberFormat="1" applyFont="1" applyBorder="1"/>
    <xf numFmtId="10" fontId="115" fillId="0" borderId="16" xfId="1231" applyNumberFormat="1" applyFont="1" applyBorder="1"/>
    <xf numFmtId="175" fontId="115" fillId="66" borderId="0" xfId="1233" applyNumberFormat="1" applyFont="1" applyFill="1"/>
    <xf numFmtId="43" fontId="10" fillId="0" borderId="0" xfId="1230" applyNumberFormat="1" applyFont="1" applyBorder="1"/>
    <xf numFmtId="176" fontId="9" fillId="0" borderId="0" xfId="1235" applyNumberFormat="1" applyFont="1" applyAlignment="1">
      <alignment horizontal="right"/>
    </xf>
    <xf numFmtId="176" fontId="9" fillId="0" borderId="0" xfId="518" applyNumberFormat="1" applyFont="1" applyAlignment="1">
      <alignment horizontal="right"/>
    </xf>
    <xf numFmtId="164" fontId="94" fillId="0" borderId="0" xfId="30" applyNumberFormat="1" applyFont="1" applyAlignment="1">
      <alignment horizontal="right"/>
    </xf>
    <xf numFmtId="176" fontId="94" fillId="0" borderId="0" xfId="1235" applyNumberFormat="1" applyFont="1" applyAlignment="1">
      <alignment horizontal="right"/>
    </xf>
    <xf numFmtId="183" fontId="113" fillId="0" borderId="90" xfId="1230" applyNumberFormat="1" applyFont="1" applyFill="1" applyBorder="1" applyAlignment="1" applyProtection="1">
      <alignment horizontal="center"/>
    </xf>
    <xf numFmtId="183" fontId="114" fillId="65" borderId="91" xfId="1230" applyNumberFormat="1" applyFont="1" applyFill="1" applyBorder="1" applyAlignment="1" applyProtection="1">
      <alignment horizontal="center"/>
    </xf>
    <xf numFmtId="0" fontId="10" fillId="0" borderId="92" xfId="1230" applyFont="1" applyBorder="1" applyAlignment="1">
      <alignment horizontal="center"/>
    </xf>
    <xf numFmtId="0" fontId="10" fillId="0" borderId="24" xfId="1230" applyFont="1" applyBorder="1" applyAlignment="1">
      <alignment horizontal="center"/>
    </xf>
    <xf numFmtId="10" fontId="104" fillId="0" borderId="30" xfId="316" applyNumberFormat="1" applyFont="1" applyBorder="1"/>
    <xf numFmtId="10" fontId="27" fillId="0" borderId="20" xfId="1227" applyNumberFormat="1" applyFont="1" applyFill="1" applyBorder="1" applyProtection="1">
      <protection locked="0"/>
    </xf>
    <xf numFmtId="0" fontId="40" fillId="0" borderId="20" xfId="175" quotePrefix="1" applyFont="1" applyBorder="1" applyAlignment="1">
      <alignment horizontal="center" wrapText="1"/>
    </xf>
    <xf numFmtId="0" fontId="27" fillId="0" borderId="0" xfId="175" applyFont="1" applyFill="1"/>
    <xf numFmtId="0" fontId="7" fillId="0" borderId="0" xfId="477" applyFont="1"/>
    <xf numFmtId="0" fontId="40" fillId="0" borderId="95" xfId="175" applyFont="1" applyBorder="1" applyAlignment="1">
      <alignment horizontal="center"/>
    </xf>
    <xf numFmtId="0" fontId="27" fillId="0" borderId="0" xfId="117" applyFont="1" applyBorder="1" applyAlignment="1"/>
    <xf numFmtId="0" fontId="27" fillId="0" borderId="0" xfId="0" applyFont="1"/>
    <xf numFmtId="0" fontId="27" fillId="0" borderId="0" xfId="0" applyFont="1" applyBorder="1"/>
    <xf numFmtId="0" fontId="40" fillId="0" borderId="20" xfId="189" applyNumberFormat="1" applyFont="1" applyBorder="1" applyAlignment="1" applyProtection="1">
      <alignment horizontal="center"/>
    </xf>
    <xf numFmtId="183" fontId="118" fillId="65" borderId="87" xfId="1881" applyNumberFormat="1" applyFont="1" applyFill="1" applyBorder="1" applyAlignment="1" applyProtection="1">
      <alignment horizontal="center"/>
    </xf>
    <xf numFmtId="184" fontId="118" fillId="65" borderId="87" xfId="1881" applyNumberFormat="1" applyFont="1" applyFill="1" applyBorder="1" applyAlignment="1" applyProtection="1">
      <alignment horizontal="center"/>
    </xf>
    <xf numFmtId="185" fontId="118" fillId="65" borderId="87" xfId="1881" applyNumberFormat="1" applyFont="1" applyFill="1" applyBorder="1" applyAlignment="1" applyProtection="1">
      <alignment horizontal="center"/>
    </xf>
    <xf numFmtId="186" fontId="118" fillId="65" borderId="87" xfId="1881" applyNumberFormat="1" applyFont="1" applyFill="1" applyBorder="1" applyAlignment="1" applyProtection="1">
      <alignment horizontal="center"/>
    </xf>
    <xf numFmtId="0" fontId="118" fillId="65" borderId="87" xfId="1881" applyFont="1" applyFill="1" applyBorder="1" applyAlignment="1" applyProtection="1">
      <alignment horizontal="center" vertical="center"/>
    </xf>
    <xf numFmtId="183" fontId="119" fillId="0" borderId="85" xfId="1881" applyNumberFormat="1" applyFont="1" applyFill="1" applyBorder="1" applyAlignment="1" applyProtection="1">
      <alignment horizontal="center"/>
    </xf>
    <xf numFmtId="184" fontId="119" fillId="0" borderId="85" xfId="1881" applyNumberFormat="1" applyFont="1" applyFill="1" applyBorder="1" applyAlignment="1" applyProtection="1">
      <alignment horizontal="center"/>
    </xf>
    <xf numFmtId="185" fontId="119" fillId="0" borderId="85" xfId="1881" applyNumberFormat="1" applyFont="1" applyFill="1" applyBorder="1" applyAlignment="1" applyProtection="1">
      <alignment horizontal="center"/>
    </xf>
    <xf numFmtId="186" fontId="119" fillId="0" borderId="85" xfId="1881" applyNumberFormat="1" applyFont="1" applyFill="1" applyBorder="1" applyAlignment="1" applyProtection="1">
      <alignment horizontal="center"/>
    </xf>
    <xf numFmtId="164" fontId="119" fillId="0" borderId="85" xfId="30" applyNumberFormat="1" applyFont="1" applyFill="1" applyBorder="1" applyAlignment="1" applyProtection="1">
      <alignment horizontal="right" vertical="center" wrapText="1"/>
    </xf>
    <xf numFmtId="164" fontId="10" fillId="0" borderId="0" xfId="1230" applyNumberFormat="1" applyFont="1"/>
    <xf numFmtId="164" fontId="119" fillId="0" borderId="86" xfId="30" applyNumberFormat="1" applyFont="1" applyFill="1" applyBorder="1" applyAlignment="1" applyProtection="1">
      <alignment horizontal="right" vertical="center" wrapText="1"/>
    </xf>
    <xf numFmtId="164" fontId="10" fillId="0" borderId="95" xfId="1230" applyNumberFormat="1" applyFont="1" applyBorder="1"/>
    <xf numFmtId="9" fontId="10" fillId="0" borderId="95" xfId="316" applyFont="1" applyBorder="1"/>
    <xf numFmtId="0" fontId="5" fillId="0" borderId="0" xfId="1230" quotePrefix="1" applyFont="1"/>
    <xf numFmtId="0" fontId="5" fillId="0" borderId="0" xfId="1230" quotePrefix="1" applyFont="1" applyAlignment="1">
      <alignment horizontal="right"/>
    </xf>
    <xf numFmtId="0" fontId="27" fillId="0" borderId="0" xfId="0" quotePrefix="1" applyFont="1" applyBorder="1" applyAlignment="1">
      <alignment horizontal="center"/>
    </xf>
    <xf numFmtId="173" fontId="120" fillId="0" borderId="83" xfId="1224" applyNumberFormat="1" applyFont="1" applyBorder="1" applyProtection="1">
      <protection locked="0"/>
    </xf>
    <xf numFmtId="164" fontId="117" fillId="0" borderId="30" xfId="30" applyNumberFormat="1" applyFont="1" applyBorder="1"/>
    <xf numFmtId="0" fontId="5" fillId="0" borderId="0" xfId="477" applyFont="1"/>
    <xf numFmtId="0" fontId="104" fillId="0" borderId="46" xfId="1224" quotePrefix="1" applyFont="1" applyBorder="1" applyAlignment="1" applyProtection="1">
      <alignment horizontal="right"/>
      <protection locked="0"/>
    </xf>
    <xf numFmtId="39" fontId="27" fillId="0" borderId="14" xfId="218" applyFont="1" applyBorder="1" applyAlignment="1" applyProtection="1">
      <alignment horizontal="center"/>
    </xf>
    <xf numFmtId="39" fontId="27" fillId="0" borderId="18" xfId="218" applyFont="1" applyBorder="1" applyAlignment="1" applyProtection="1">
      <alignment horizontal="center"/>
    </xf>
    <xf numFmtId="39" fontId="27" fillId="0" borderId="0" xfId="218" applyFont="1" applyBorder="1" applyAlignment="1" applyProtection="1">
      <alignment horizontal="center" vertical="center"/>
    </xf>
    <xf numFmtId="174" fontId="27" fillId="0" borderId="24" xfId="218" applyNumberFormat="1" applyFont="1" applyBorder="1" applyAlignment="1" applyProtection="1">
      <alignment horizontal="center"/>
    </xf>
    <xf numFmtId="0" fontId="27" fillId="0" borderId="0" xfId="0" applyFont="1" applyFill="1" applyBorder="1"/>
    <xf numFmtId="0" fontId="27" fillId="0" borderId="0" xfId="0" applyFont="1"/>
    <xf numFmtId="0" fontId="27" fillId="0" borderId="15" xfId="0" applyFont="1" applyBorder="1"/>
    <xf numFmtId="0" fontId="27" fillId="0" borderId="16" xfId="0" applyFont="1" applyBorder="1"/>
    <xf numFmtId="0" fontId="27" fillId="0" borderId="17" xfId="0" applyFont="1" applyBorder="1"/>
    <xf numFmtId="0" fontId="27" fillId="0" borderId="22" xfId="0" applyFont="1" applyBorder="1" applyAlignment="1">
      <alignment horizontal="left" indent="1"/>
    </xf>
    <xf numFmtId="0" fontId="27" fillId="0" borderId="0" xfId="0" applyFont="1" applyBorder="1" applyAlignment="1">
      <alignment horizontal="left" indent="1"/>
    </xf>
    <xf numFmtId="49" fontId="27" fillId="0" borderId="0" xfId="0" applyNumberFormat="1" applyFont="1"/>
    <xf numFmtId="0" fontId="27" fillId="0" borderId="22" xfId="0" applyFont="1" applyBorder="1"/>
    <xf numFmtId="0" fontId="27" fillId="0" borderId="0" xfId="0" applyFont="1" applyBorder="1"/>
    <xf numFmtId="0" fontId="27" fillId="0" borderId="18" xfId="0" applyFont="1" applyBorder="1"/>
    <xf numFmtId="0" fontId="27" fillId="0" borderId="19" xfId="0" applyFont="1" applyBorder="1"/>
    <xf numFmtId="0" fontId="27" fillId="0" borderId="20" xfId="0" applyFont="1" applyBorder="1"/>
    <xf numFmtId="0" fontId="27" fillId="0" borderId="21" xfId="0" applyFont="1" applyBorder="1"/>
    <xf numFmtId="39" fontId="27" fillId="0" borderId="0" xfId="218" applyFont="1" applyFill="1"/>
    <xf numFmtId="0" fontId="40" fillId="0" borderId="0" xfId="189" applyFont="1" applyFill="1" applyAlignment="1">
      <alignment horizontal="center"/>
    </xf>
    <xf numFmtId="0" fontId="27" fillId="0" borderId="0" xfId="117" applyFont="1" applyBorder="1" applyAlignment="1"/>
    <xf numFmtId="0" fontId="27" fillId="0" borderId="0" xfId="0" applyFont="1"/>
    <xf numFmtId="0" fontId="28" fillId="0" borderId="0" xfId="189" applyFont="1" applyFill="1" applyAlignment="1">
      <alignment horizontal="center"/>
    </xf>
    <xf numFmtId="0" fontId="28" fillId="0" borderId="19" xfId="0" applyFont="1" applyBorder="1"/>
    <xf numFmtId="176" fontId="121" fillId="0" borderId="0" xfId="10608" applyNumberFormat="1" applyFont="1" applyAlignment="1">
      <alignment horizontal="right"/>
    </xf>
    <xf numFmtId="176" fontId="121" fillId="0" borderId="0" xfId="10607" applyNumberFormat="1" applyFont="1" applyAlignment="1">
      <alignment horizontal="right"/>
    </xf>
    <xf numFmtId="164" fontId="27" fillId="0" borderId="62" xfId="0" applyNumberFormat="1" applyFont="1" applyBorder="1"/>
    <xf numFmtId="0" fontId="92" fillId="0" borderId="0" xfId="0" applyFont="1"/>
    <xf numFmtId="164" fontId="43" fillId="0" borderId="0" xfId="189" applyNumberFormat="1" applyFont="1" applyFill="1" applyBorder="1"/>
    <xf numFmtId="0" fontId="43" fillId="0" borderId="22" xfId="0" applyFont="1" applyFill="1" applyBorder="1" applyProtection="1">
      <protection locked="0"/>
    </xf>
    <xf numFmtId="0" fontId="29" fillId="0" borderId="22" xfId="0" applyFont="1" applyBorder="1" applyProtection="1">
      <protection locked="0"/>
    </xf>
    <xf numFmtId="0" fontId="29" fillId="0" borderId="0" xfId="0" applyFont="1" applyAlignment="1">
      <alignment wrapText="1"/>
    </xf>
    <xf numFmtId="0" fontId="29" fillId="0" borderId="0" xfId="0" applyFont="1" applyFill="1" applyBorder="1" applyAlignment="1" applyProtection="1">
      <alignment horizontal="left" indent="2"/>
      <protection locked="0"/>
    </xf>
    <xf numFmtId="0" fontId="43" fillId="0" borderId="0" xfId="0" applyFont="1" applyBorder="1"/>
    <xf numFmtId="164" fontId="27" fillId="0" borderId="95" xfId="30" applyNumberFormat="1" applyFont="1" applyBorder="1"/>
    <xf numFmtId="0" fontId="29" fillId="0" borderId="0" xfId="189" applyFont="1"/>
    <xf numFmtId="0" fontId="29" fillId="0" borderId="0" xfId="189" applyFont="1" applyAlignment="1">
      <alignment horizontal="right"/>
    </xf>
    <xf numFmtId="164" fontId="43" fillId="0" borderId="0" xfId="30" applyNumberFormat="1" applyFont="1" applyFill="1"/>
    <xf numFmtId="164" fontId="43" fillId="0" borderId="95" xfId="30" applyNumberFormat="1" applyFont="1" applyFill="1" applyBorder="1"/>
    <xf numFmtId="164" fontId="115" fillId="0" borderId="0" xfId="1232" applyNumberFormat="1" applyFont="1" applyBorder="1"/>
    <xf numFmtId="10" fontId="115" fillId="0" borderId="0" xfId="1231" applyNumberFormat="1" applyFont="1" applyBorder="1"/>
    <xf numFmtId="0" fontId="3" fillId="0" borderId="0" xfId="1230" applyFont="1" applyAlignment="1">
      <alignment horizontal="right"/>
    </xf>
    <xf numFmtId="10" fontId="71" fillId="0" borderId="65" xfId="1227" applyNumberFormat="1" applyFont="1" applyBorder="1" applyProtection="1">
      <protection locked="0"/>
    </xf>
    <xf numFmtId="10" fontId="71" fillId="0" borderId="84" xfId="316" applyNumberFormat="1" applyFont="1" applyBorder="1" applyProtection="1">
      <protection locked="0"/>
    </xf>
    <xf numFmtId="172" fontId="71" fillId="0" borderId="84" xfId="1227" applyNumberFormat="1" applyFont="1" applyBorder="1" applyProtection="1">
      <protection locked="0"/>
    </xf>
    <xf numFmtId="37" fontId="27" fillId="0" borderId="0" xfId="0" applyNumberFormat="1" applyFont="1" applyFill="1" applyBorder="1"/>
    <xf numFmtId="37" fontId="27" fillId="0" borderId="95" xfId="0" applyNumberFormat="1" applyFont="1" applyFill="1" applyBorder="1"/>
    <xf numFmtId="0" fontId="93" fillId="0" borderId="0" xfId="0" applyFont="1" applyFill="1" applyBorder="1"/>
    <xf numFmtId="176" fontId="94" fillId="0" borderId="0" xfId="10639" applyNumberFormat="1" applyFont="1" applyFill="1" applyBorder="1" applyAlignment="1">
      <alignment horizontal="right"/>
    </xf>
    <xf numFmtId="0" fontId="27" fillId="0" borderId="0" xfId="0" quotePrefix="1" applyFont="1"/>
    <xf numFmtId="0" fontId="93" fillId="0" borderId="0" xfId="0" applyFont="1" applyFill="1"/>
    <xf numFmtId="0" fontId="93" fillId="0" borderId="0" xfId="0" applyFont="1" applyFill="1" applyBorder="1" applyAlignment="1" applyProtection="1">
      <protection locked="0"/>
    </xf>
    <xf numFmtId="0" fontId="92" fillId="0" borderId="0" xfId="189" applyFont="1" applyFill="1"/>
    <xf numFmtId="164" fontId="27" fillId="64" borderId="0" xfId="35" quotePrefix="1" applyNumberFormat="1" applyFont="1" applyFill="1" applyBorder="1" applyAlignment="1">
      <alignment wrapText="1"/>
    </xf>
    <xf numFmtId="0" fontId="28" fillId="0" borderId="0" xfId="0" applyFont="1" applyFill="1" applyBorder="1"/>
    <xf numFmtId="0" fontId="27" fillId="0" borderId="0" xfId="0" quotePrefix="1" applyFont="1" applyFill="1" applyBorder="1"/>
    <xf numFmtId="0" fontId="92" fillId="0" borderId="0" xfId="0" applyFont="1" applyFill="1"/>
    <xf numFmtId="0" fontId="29" fillId="0" borderId="0" xfId="189" applyFont="1" applyFill="1"/>
    <xf numFmtId="0" fontId="116" fillId="0" borderId="0" xfId="1224" quotePrefix="1" applyFont="1" applyFill="1"/>
    <xf numFmtId="0" fontId="85" fillId="0" borderId="0" xfId="1224" applyFont="1" applyFill="1"/>
    <xf numFmtId="0" fontId="11" fillId="0" borderId="0" xfId="1224" applyFill="1"/>
    <xf numFmtId="41" fontId="25" fillId="0" borderId="0" xfId="232" applyNumberFormat="1" applyFont="1"/>
    <xf numFmtId="0" fontId="28" fillId="0" borderId="0" xfId="0" applyFont="1" applyFill="1"/>
    <xf numFmtId="0" fontId="10" fillId="0" borderId="0" xfId="1230" applyFont="1" applyFill="1"/>
    <xf numFmtId="0" fontId="27" fillId="0" borderId="0" xfId="0" applyFont="1"/>
    <xf numFmtId="0" fontId="27" fillId="0" borderId="22" xfId="0" applyFont="1" applyBorder="1" applyAlignment="1">
      <alignment horizontal="left" indent="1"/>
    </xf>
    <xf numFmtId="0" fontId="25" fillId="0" borderId="0" xfId="232" applyFont="1" applyAlignment="1">
      <alignment wrapText="1"/>
    </xf>
    <xf numFmtId="0" fontId="27" fillId="0" borderId="0" xfId="0" quotePrefix="1" applyFont="1"/>
    <xf numFmtId="0" fontId="27" fillId="0" borderId="22" xfId="0" applyFont="1" applyBorder="1"/>
    <xf numFmtId="0" fontId="27" fillId="0" borderId="0" xfId="0" applyFont="1" applyBorder="1"/>
    <xf numFmtId="17" fontId="25" fillId="0" borderId="22" xfId="232" quotePrefix="1" applyNumberFormat="1" applyFont="1" applyBorder="1"/>
    <xf numFmtId="164" fontId="25" fillId="0" borderId="0" xfId="53" applyNumberFormat="1" applyFont="1"/>
    <xf numFmtId="164" fontId="25" fillId="0" borderId="0" xfId="30" applyNumberFormat="1" applyFont="1"/>
    <xf numFmtId="164" fontId="27" fillId="0" borderId="0" xfId="30" applyNumberFormat="1" applyFont="1" applyFill="1" applyAlignment="1">
      <alignment horizontal="center"/>
    </xf>
    <xf numFmtId="0" fontId="27" fillId="0" borderId="22" xfId="175" applyFont="1" applyBorder="1"/>
    <xf numFmtId="37" fontId="27" fillId="0" borderId="16" xfId="189" applyNumberFormat="1" applyFont="1" applyFill="1" applyBorder="1" applyProtection="1">
      <protection locked="0"/>
    </xf>
    <xf numFmtId="0" fontId="27" fillId="0" borderId="0" xfId="189" applyFont="1"/>
    <xf numFmtId="164" fontId="27" fillId="64" borderId="0" xfId="30" applyNumberFormat="1" applyFont="1" applyFill="1"/>
    <xf numFmtId="0" fontId="27" fillId="64" borderId="0" xfId="189" applyFont="1" applyFill="1"/>
    <xf numFmtId="0" fontId="27" fillId="0" borderId="0" xfId="189" applyFont="1" applyBorder="1"/>
    <xf numFmtId="164" fontId="27" fillId="0" borderId="16" xfId="30" applyNumberFormat="1" applyFont="1" applyBorder="1"/>
    <xf numFmtId="164" fontId="27" fillId="0" borderId="0" xfId="30" applyNumberFormat="1" applyFont="1" applyBorder="1"/>
    <xf numFmtId="164" fontId="27" fillId="0" borderId="0" xfId="35" applyNumberFormat="1" applyFont="1" applyBorder="1"/>
    <xf numFmtId="37" fontId="27" fillId="0" borderId="0" xfId="189" applyNumberFormat="1" applyFont="1" applyBorder="1" applyProtection="1">
      <protection locked="0"/>
    </xf>
    <xf numFmtId="164" fontId="27" fillId="0" borderId="16" xfId="35" applyNumberFormat="1" applyFont="1" applyBorder="1"/>
    <xf numFmtId="37" fontId="27" fillId="0" borderId="16" xfId="189" applyNumberFormat="1" applyFont="1" applyBorder="1"/>
    <xf numFmtId="37" fontId="27" fillId="0" borderId="0" xfId="189" applyNumberFormat="1" applyFont="1" applyBorder="1"/>
    <xf numFmtId="0" fontId="27" fillId="0" borderId="22" xfId="189" applyFont="1" applyBorder="1"/>
    <xf numFmtId="0" fontId="27" fillId="0" borderId="27" xfId="202" quotePrefix="1" applyFont="1" applyBorder="1"/>
    <xf numFmtId="37" fontId="27" fillId="0" borderId="29" xfId="202" applyNumberFormat="1" applyFont="1" applyFill="1" applyBorder="1" applyProtection="1"/>
    <xf numFmtId="37" fontId="27" fillId="0" borderId="44" xfId="202" applyNumberFormat="1" applyFont="1" applyFill="1" applyBorder="1" applyProtection="1"/>
    <xf numFmtId="37" fontId="27" fillId="0" borderId="0" xfId="202" applyNumberFormat="1" applyFont="1" applyFill="1" applyBorder="1" applyProtection="1"/>
    <xf numFmtId="0" fontId="27" fillId="0" borderId="27" xfId="202" applyFont="1" applyBorder="1"/>
    <xf numFmtId="37" fontId="28" fillId="0" borderId="59" xfId="218" applyNumberFormat="1" applyFont="1" applyFill="1" applyBorder="1" applyProtection="1"/>
    <xf numFmtId="37" fontId="28" fillId="0" borderId="55" xfId="218" applyNumberFormat="1" applyFont="1" applyFill="1" applyBorder="1" applyProtection="1"/>
    <xf numFmtId="37" fontId="27" fillId="0" borderId="57" xfId="218" applyNumberFormat="1" applyFont="1" applyFill="1" applyBorder="1" applyProtection="1"/>
    <xf numFmtId="37" fontId="27" fillId="0" borderId="23" xfId="253" applyNumberFormat="1" applyFont="1" applyFill="1" applyBorder="1" applyProtection="1">
      <protection locked="0"/>
    </xf>
    <xf numFmtId="3" fontId="27" fillId="0" borderId="23" xfId="0" applyNumberFormat="1" applyFont="1" applyFill="1" applyBorder="1"/>
    <xf numFmtId="3" fontId="27" fillId="64" borderId="23" xfId="0" applyNumberFormat="1" applyFont="1" applyFill="1" applyBorder="1" applyAlignment="1">
      <alignment horizontal="right"/>
    </xf>
    <xf numFmtId="37" fontId="27" fillId="0" borderId="0" xfId="0" applyNumberFormat="1" applyFont="1" applyFill="1" applyBorder="1" applyProtection="1">
      <protection locked="0"/>
    </xf>
    <xf numFmtId="37" fontId="27" fillId="0" borderId="95" xfId="0" applyNumberFormat="1" applyFont="1" applyBorder="1"/>
    <xf numFmtId="164" fontId="27" fillId="0" borderId="0" xfId="30" applyNumberFormat="1" applyFont="1" applyAlignment="1">
      <alignment horizontal="right"/>
    </xf>
    <xf numFmtId="0" fontId="27" fillId="0" borderId="0" xfId="0" applyFont="1" applyAlignment="1">
      <alignment wrapText="1"/>
    </xf>
    <xf numFmtId="0" fontId="27" fillId="64" borderId="0" xfId="0" applyFont="1" applyFill="1" applyAlignment="1">
      <alignment wrapText="1"/>
    </xf>
    <xf numFmtId="37" fontId="27" fillId="64" borderId="20" xfId="0" applyNumberFormat="1" applyFont="1" applyFill="1" applyBorder="1" applyProtection="1">
      <protection locked="0"/>
    </xf>
    <xf numFmtId="37" fontId="27" fillId="0" borderId="16" xfId="0" applyNumberFormat="1" applyFont="1" applyBorder="1"/>
    <xf numFmtId="0" fontId="27" fillId="0" borderId="15" xfId="0" quotePrefix="1" applyFont="1" applyFill="1" applyBorder="1" applyAlignment="1">
      <alignment horizontal="center" vertical="center"/>
    </xf>
    <xf numFmtId="0" fontId="27" fillId="0" borderId="16" xfId="0" quotePrefix="1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164" fontId="27" fillId="0" borderId="17" xfId="30" applyNumberFormat="1" applyFont="1" applyFill="1" applyBorder="1" applyAlignment="1">
      <alignment horizontal="right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0" xfId="0" quotePrefix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164" fontId="27" fillId="0" borderId="23" xfId="30" applyNumberFormat="1" applyFont="1" applyFill="1" applyBorder="1" applyAlignment="1">
      <alignment horizontal="right" vertical="center"/>
    </xf>
    <xf numFmtId="164" fontId="27" fillId="0" borderId="21" xfId="30" applyNumberFormat="1" applyFont="1" applyFill="1" applyBorder="1" applyAlignment="1">
      <alignment horizontal="right" vertical="center"/>
    </xf>
    <xf numFmtId="164" fontId="27" fillId="0" borderId="96" xfId="30" applyNumberFormat="1" applyFont="1" applyFill="1" applyBorder="1" applyAlignment="1">
      <alignment horizontal="right" vertical="center"/>
    </xf>
    <xf numFmtId="164" fontId="27" fillId="0" borderId="44" xfId="30" applyNumberFormat="1" applyFont="1" applyFill="1" applyBorder="1" applyAlignment="1">
      <alignment horizontal="right" vertical="center"/>
    </xf>
    <xf numFmtId="164" fontId="27" fillId="0" borderId="63" xfId="30" applyNumberFormat="1" applyFont="1" applyFill="1" applyBorder="1" applyAlignment="1">
      <alignment horizontal="right" vertical="center"/>
    </xf>
    <xf numFmtId="164" fontId="27" fillId="0" borderId="28" xfId="30" applyNumberFormat="1" applyFont="1" applyFill="1" applyBorder="1" applyProtection="1">
      <protection locked="0"/>
    </xf>
    <xf numFmtId="37" fontId="28" fillId="18" borderId="26" xfId="189" applyNumberFormat="1" applyFont="1" applyFill="1" applyBorder="1"/>
    <xf numFmtId="0" fontId="27" fillId="0" borderId="28" xfId="189" applyFont="1" applyFill="1" applyBorder="1"/>
    <xf numFmtId="164" fontId="28" fillId="22" borderId="28" xfId="30" applyNumberFormat="1" applyFont="1" applyFill="1" applyBorder="1" applyProtection="1">
      <protection locked="0"/>
    </xf>
    <xf numFmtId="37" fontId="27" fillId="0" borderId="28" xfId="189" applyNumberFormat="1" applyFont="1" applyFill="1" applyBorder="1" applyProtection="1"/>
    <xf numFmtId="37" fontId="28" fillId="18" borderId="41" xfId="189" applyNumberFormat="1" applyFont="1" applyFill="1" applyBorder="1" applyProtection="1"/>
    <xf numFmtId="37" fontId="27" fillId="0" borderId="30" xfId="0" applyNumberFormat="1" applyFont="1" applyFill="1" applyBorder="1" applyProtection="1"/>
    <xf numFmtId="37" fontId="27" fillId="0" borderId="23" xfId="0" applyNumberFormat="1" applyFont="1" applyBorder="1" applyProtection="1">
      <protection locked="0"/>
    </xf>
    <xf numFmtId="0" fontId="27" fillId="0" borderId="22" xfId="0" applyFont="1" applyFill="1" applyBorder="1" applyAlignment="1">
      <alignment horizontal="center"/>
    </xf>
    <xf numFmtId="164" fontId="28" fillId="22" borderId="23" xfId="30" applyNumberFormat="1" applyFont="1" applyFill="1" applyBorder="1"/>
    <xf numFmtId="175" fontId="115" fillId="0" borderId="0" xfId="1233" applyNumberFormat="1" applyFont="1"/>
    <xf numFmtId="176" fontId="27" fillId="0" borderId="0" xfId="413" applyNumberFormat="1" applyFont="1" applyAlignment="1">
      <alignment horizontal="right"/>
    </xf>
    <xf numFmtId="0" fontId="120" fillId="0" borderId="30" xfId="1224" applyFont="1" applyBorder="1" applyAlignment="1" applyProtection="1">
      <alignment horizontal="right" indent="1"/>
      <protection locked="0"/>
    </xf>
    <xf numFmtId="0" fontId="120" fillId="0" borderId="0" xfId="1224" applyFont="1" applyBorder="1"/>
    <xf numFmtId="187" fontId="120" fillId="0" borderId="30" xfId="30" applyNumberFormat="1" applyFont="1" applyBorder="1"/>
    <xf numFmtId="10" fontId="120" fillId="0" borderId="30" xfId="1226" applyNumberFormat="1" applyFont="1" applyBorder="1"/>
    <xf numFmtId="10" fontId="120" fillId="0" borderId="0" xfId="1226" applyNumberFormat="1" applyFont="1" applyBorder="1"/>
    <xf numFmtId="0" fontId="120" fillId="0" borderId="44" xfId="1224" applyFont="1" applyBorder="1"/>
    <xf numFmtId="164" fontId="120" fillId="0" borderId="30" xfId="30" applyNumberFormat="1" applyFont="1" applyBorder="1"/>
    <xf numFmtId="3" fontId="120" fillId="0" borderId="26" xfId="1224" applyNumberFormat="1" applyFont="1" applyFill="1" applyBorder="1"/>
    <xf numFmtId="181" fontId="25" fillId="0" borderId="83" xfId="1224" applyNumberFormat="1" applyFont="1" applyBorder="1" applyProtection="1">
      <protection locked="0"/>
    </xf>
    <xf numFmtId="180" fontId="25" fillId="0" borderId="83" xfId="1224" applyNumberFormat="1" applyFont="1" applyFill="1" applyBorder="1" applyProtection="1">
      <protection locked="0"/>
    </xf>
    <xf numFmtId="37" fontId="27" fillId="0" borderId="29" xfId="1227" applyNumberFormat="1" applyFont="1" applyFill="1" applyBorder="1" applyProtection="1">
      <protection locked="0"/>
    </xf>
    <xf numFmtId="39" fontId="27" fillId="0" borderId="0" xfId="1227" applyNumberFormat="1" applyFont="1" applyBorder="1"/>
    <xf numFmtId="39" fontId="27" fillId="0" borderId="0" xfId="1227" applyNumberFormat="1" applyFont="1" applyBorder="1" applyProtection="1">
      <protection locked="0"/>
    </xf>
    <xf numFmtId="39" fontId="27" fillId="0" borderId="20" xfId="1227" applyNumberFormat="1" applyFont="1" applyBorder="1" applyProtection="1">
      <protection locked="0"/>
    </xf>
    <xf numFmtId="39" fontId="27" fillId="0" borderId="20" xfId="1227" applyNumberFormat="1" applyFont="1" applyBorder="1"/>
    <xf numFmtId="9" fontId="27" fillId="0" borderId="20" xfId="1227" applyNumberFormat="1" applyFont="1" applyFill="1" applyBorder="1" applyProtection="1">
      <protection locked="0"/>
    </xf>
    <xf numFmtId="181" fontId="27" fillId="0" borderId="20" xfId="2454" applyNumberFormat="1" applyFont="1" applyFill="1" applyBorder="1" applyProtection="1">
      <protection locked="0"/>
    </xf>
    <xf numFmtId="164" fontId="27" fillId="0" borderId="0" xfId="30" applyNumberFormat="1" applyFont="1" applyFill="1"/>
    <xf numFmtId="164" fontId="36" fillId="0" borderId="0" xfId="0" applyNumberFormat="1" applyFont="1"/>
    <xf numFmtId="0" fontId="36" fillId="0" borderId="0" xfId="0" applyFont="1"/>
    <xf numFmtId="164" fontId="115" fillId="0" borderId="0" xfId="470" applyNumberFormat="1" applyFont="1"/>
    <xf numFmtId="164" fontId="115" fillId="0" borderId="0" xfId="457" applyNumberFormat="1" applyFont="1"/>
    <xf numFmtId="164" fontId="115" fillId="0" borderId="0" xfId="460" applyNumberFormat="1" applyFont="1"/>
    <xf numFmtId="0" fontId="27" fillId="0" borderId="0" xfId="175" applyFont="1"/>
    <xf numFmtId="164" fontId="27" fillId="0" borderId="5" xfId="30" applyNumberFormat="1" applyFont="1" applyBorder="1"/>
    <xf numFmtId="164" fontId="27" fillId="0" borderId="33" xfId="30" applyNumberFormat="1" applyFont="1" applyFill="1" applyBorder="1"/>
    <xf numFmtId="164" fontId="28" fillId="0" borderId="23" xfId="30" applyNumberFormat="1" applyFont="1" applyFill="1" applyBorder="1"/>
    <xf numFmtId="164" fontId="28" fillId="18" borderId="65" xfId="30" applyNumberFormat="1" applyFont="1" applyFill="1" applyBorder="1"/>
    <xf numFmtId="164" fontId="27" fillId="0" borderId="62" xfId="30" applyNumberFormat="1" applyFont="1" applyFill="1" applyBorder="1"/>
    <xf numFmtId="0" fontId="27" fillId="0" borderId="20" xfId="175" quotePrefix="1" applyFont="1" applyBorder="1" applyAlignment="1">
      <alignment horizontal="center"/>
    </xf>
    <xf numFmtId="164" fontId="28" fillId="0" borderId="23" xfId="175" applyNumberFormat="1" applyFont="1" applyFill="1" applyBorder="1"/>
    <xf numFmtId="37" fontId="28" fillId="22" borderId="5" xfId="175" applyNumberFormat="1" applyFont="1" applyFill="1" applyBorder="1" applyAlignment="1">
      <alignment horizontal="right"/>
    </xf>
    <xf numFmtId="164" fontId="28" fillId="22" borderId="5" xfId="175" applyNumberFormat="1" applyFont="1" applyFill="1" applyBorder="1"/>
    <xf numFmtId="164" fontId="28" fillId="18" borderId="33" xfId="175" applyNumberFormat="1" applyFont="1" applyFill="1" applyBorder="1"/>
    <xf numFmtId="164" fontId="36" fillId="0" borderId="0" xfId="175" applyNumberFormat="1" applyFont="1"/>
    <xf numFmtId="164" fontId="28" fillId="54" borderId="5" xfId="30" applyNumberFormat="1" applyFont="1" applyFill="1" applyBorder="1"/>
    <xf numFmtId="164" fontId="27" fillId="0" borderId="65" xfId="30" applyNumberFormat="1" applyFont="1" applyFill="1" applyBorder="1"/>
    <xf numFmtId="164" fontId="27" fillId="0" borderId="33" xfId="175" applyNumberFormat="1" applyFont="1" applyFill="1" applyBorder="1"/>
    <xf numFmtId="164" fontId="28" fillId="18" borderId="16" xfId="30" applyNumberFormat="1" applyFont="1" applyFill="1" applyBorder="1"/>
    <xf numFmtId="164" fontId="27" fillId="22" borderId="17" xfId="30" applyNumberFormat="1" applyFont="1" applyFill="1" applyBorder="1"/>
    <xf numFmtId="0" fontId="27" fillId="0" borderId="21" xfId="175" applyFont="1" applyBorder="1"/>
    <xf numFmtId="37" fontId="27" fillId="0" borderId="28" xfId="268" applyNumberFormat="1" applyFont="1" applyFill="1" applyBorder="1" applyProtection="1">
      <protection locked="0"/>
    </xf>
    <xf numFmtId="37" fontId="28" fillId="0" borderId="39" xfId="218" applyNumberFormat="1" applyFont="1" applyFill="1" applyBorder="1" applyProtection="1"/>
    <xf numFmtId="37" fontId="28" fillId="0" borderId="26" xfId="218" applyNumberFormat="1" applyFont="1" applyFill="1" applyBorder="1" applyProtection="1"/>
    <xf numFmtId="37" fontId="27" fillId="0" borderId="28" xfId="218" applyNumberFormat="1" applyFont="1" applyFill="1" applyBorder="1" applyProtection="1"/>
    <xf numFmtId="37" fontId="27" fillId="0" borderId="28" xfId="270" applyNumberFormat="1" applyFont="1" applyFill="1" applyBorder="1" applyProtection="1">
      <protection locked="0"/>
    </xf>
    <xf numFmtId="37" fontId="27" fillId="0" borderId="28" xfId="274" applyNumberFormat="1" applyFont="1" applyFill="1" applyBorder="1" applyProtection="1">
      <protection locked="0"/>
    </xf>
    <xf numFmtId="37" fontId="27" fillId="0" borderId="24" xfId="218" applyNumberFormat="1" applyFont="1" applyFill="1" applyBorder="1" applyProtection="1"/>
    <xf numFmtId="37" fontId="28" fillId="22" borderId="28" xfId="277" applyNumberFormat="1" applyFont="1" applyFill="1" applyBorder="1" applyProtection="1">
      <protection locked="0"/>
    </xf>
    <xf numFmtId="37" fontId="27" fillId="0" borderId="28" xfId="281" applyNumberFormat="1" applyFont="1" applyFill="1" applyBorder="1" applyProtection="1">
      <protection locked="0"/>
    </xf>
    <xf numFmtId="37" fontId="27" fillId="0" borderId="31" xfId="281" applyNumberFormat="1" applyFont="1" applyFill="1" applyBorder="1" applyProtection="1">
      <protection locked="0"/>
    </xf>
    <xf numFmtId="37" fontId="28" fillId="18" borderId="9" xfId="218" applyNumberFormat="1" applyFont="1" applyFill="1" applyBorder="1" applyProtection="1">
      <protection locked="0"/>
    </xf>
    <xf numFmtId="37" fontId="27" fillId="0" borderId="47" xfId="218" applyNumberFormat="1" applyFont="1" applyFill="1" applyBorder="1" applyProtection="1"/>
    <xf numFmtId="37" fontId="27" fillId="0" borderId="20" xfId="218" applyNumberFormat="1" applyFont="1" applyFill="1" applyBorder="1" applyProtection="1"/>
    <xf numFmtId="37" fontId="27" fillId="0" borderId="49" xfId="218" quotePrefix="1" applyNumberFormat="1" applyFont="1" applyFill="1" applyBorder="1" applyAlignment="1" applyProtection="1">
      <alignment horizontal="center"/>
    </xf>
    <xf numFmtId="37" fontId="27" fillId="0" borderId="24" xfId="35" applyNumberFormat="1" applyFont="1" applyFill="1" applyBorder="1"/>
    <xf numFmtId="37" fontId="28" fillId="0" borderId="33" xfId="218" applyNumberFormat="1" applyFont="1" applyFill="1" applyBorder="1" applyProtection="1">
      <protection locked="0"/>
    </xf>
    <xf numFmtId="37" fontId="28" fillId="0" borderId="17" xfId="218" applyNumberFormat="1" applyFont="1" applyFill="1" applyBorder="1" applyProtection="1">
      <protection locked="0"/>
    </xf>
    <xf numFmtId="37" fontId="28" fillId="0" borderId="54" xfId="218" applyNumberFormat="1" applyFont="1" applyFill="1" applyBorder="1" applyProtection="1"/>
    <xf numFmtId="37" fontId="28" fillId="0" borderId="23" xfId="218" applyNumberFormat="1" applyFont="1" applyFill="1" applyBorder="1" applyProtection="1"/>
    <xf numFmtId="37" fontId="27" fillId="0" borderId="33" xfId="218" applyNumberFormat="1" applyFont="1" applyFill="1" applyBorder="1" applyProtection="1"/>
    <xf numFmtId="37" fontId="27" fillId="0" borderId="0" xfId="218" applyNumberFormat="1" applyFont="1" applyFill="1" applyBorder="1" applyProtection="1"/>
    <xf numFmtId="37" fontId="27" fillId="0" borderId="56" xfId="218" applyNumberFormat="1" applyFont="1" applyFill="1" applyBorder="1" applyProtection="1"/>
    <xf numFmtId="0" fontId="27" fillId="0" borderId="0" xfId="0" applyFont="1" applyAlignment="1">
      <alignment horizontal="left" indent="1"/>
    </xf>
    <xf numFmtId="37" fontId="28" fillId="22" borderId="23" xfId="0" applyNumberFormat="1" applyFont="1" applyFill="1" applyBorder="1" applyProtection="1">
      <protection locked="0"/>
    </xf>
    <xf numFmtId="37" fontId="28" fillId="0" borderId="23" xfId="0" applyNumberFormat="1" applyFont="1" applyFill="1" applyBorder="1" applyProtection="1">
      <protection locked="0"/>
    </xf>
    <xf numFmtId="37" fontId="27" fillId="0" borderId="23" xfId="0" applyNumberFormat="1" applyFont="1" applyFill="1" applyBorder="1" applyProtection="1"/>
    <xf numFmtId="0" fontId="24" fillId="0" borderId="0" xfId="232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4" fillId="0" borderId="0" xfId="232" applyFont="1" applyAlignment="1">
      <alignment horizontal="center"/>
    </xf>
    <xf numFmtId="0" fontId="28" fillId="0" borderId="0" xfId="175" applyFont="1" applyAlignment="1">
      <alignment horizontal="center"/>
    </xf>
    <xf numFmtId="0" fontId="24" fillId="0" borderId="0" xfId="0" applyFont="1" applyAlignment="1">
      <alignment horizontal="center"/>
    </xf>
    <xf numFmtId="0" fontId="44" fillId="0" borderId="0" xfId="175" applyFont="1" applyAlignment="1">
      <alignment horizontal="center"/>
    </xf>
    <xf numFmtId="0" fontId="44" fillId="0" borderId="0" xfId="189" applyFont="1" applyBorder="1" applyAlignment="1" applyProtection="1">
      <alignment horizontal="center"/>
      <protection locked="0"/>
    </xf>
    <xf numFmtId="0" fontId="28" fillId="0" borderId="0" xfId="189" applyFont="1" applyBorder="1" applyAlignment="1" applyProtection="1">
      <alignment horizontal="center"/>
      <protection locked="0"/>
    </xf>
    <xf numFmtId="0" fontId="44" fillId="0" borderId="0" xfId="189" applyFont="1" applyBorder="1" applyAlignment="1">
      <alignment horizontal="center"/>
    </xf>
    <xf numFmtId="0" fontId="70" fillId="0" borderId="5" xfId="189" applyFont="1" applyBorder="1" applyAlignment="1">
      <alignment horizontal="center"/>
    </xf>
    <xf numFmtId="0" fontId="70" fillId="0" borderId="33" xfId="189" applyFont="1" applyBorder="1" applyAlignment="1">
      <alignment horizontal="center"/>
    </xf>
    <xf numFmtId="0" fontId="44" fillId="0" borderId="0" xfId="202" applyFont="1" applyBorder="1" applyAlignment="1">
      <alignment horizontal="center"/>
    </xf>
    <xf numFmtId="0" fontId="46" fillId="0" borderId="0" xfId="202" applyFont="1" applyAlignment="1">
      <alignment horizontal="center"/>
    </xf>
    <xf numFmtId="49" fontId="24" fillId="0" borderId="0" xfId="0" applyNumberFormat="1" applyFont="1" applyAlignment="1">
      <alignment horizontal="center"/>
    </xf>
    <xf numFmtId="39" fontId="28" fillId="0" borderId="14" xfId="218" applyFont="1" applyBorder="1" applyAlignment="1" applyProtection="1">
      <alignment horizontal="center"/>
      <protection locked="0"/>
    </xf>
    <xf numFmtId="39" fontId="28" fillId="0" borderId="18" xfId="218" applyFont="1" applyBorder="1" applyAlignment="1" applyProtection="1">
      <alignment horizontal="center"/>
      <protection locked="0"/>
    </xf>
    <xf numFmtId="39" fontId="28" fillId="0" borderId="15" xfId="218" applyFont="1" applyBorder="1" applyAlignment="1" applyProtection="1">
      <alignment horizontal="center"/>
    </xf>
    <xf numFmtId="39" fontId="28" fillId="0" borderId="19" xfId="218" applyFont="1" applyBorder="1" applyAlignment="1" applyProtection="1">
      <alignment horizontal="center"/>
    </xf>
    <xf numFmtId="39" fontId="28" fillId="0" borderId="14" xfId="218" applyFont="1" applyBorder="1" applyAlignment="1" applyProtection="1">
      <alignment horizontal="center"/>
    </xf>
    <xf numFmtId="39" fontId="28" fillId="0" borderId="18" xfId="218" applyFont="1" applyBorder="1" applyAlignment="1" applyProtection="1">
      <alignment horizontal="center"/>
    </xf>
    <xf numFmtId="39" fontId="27" fillId="0" borderId="0" xfId="218" applyFont="1" applyProtection="1"/>
    <xf numFmtId="39" fontId="28" fillId="0" borderId="0" xfId="218" applyFont="1" applyBorder="1" applyAlignment="1" applyProtection="1">
      <alignment horizontal="center"/>
      <protection locked="0"/>
    </xf>
    <xf numFmtId="0" fontId="0" fillId="0" borderId="0" xfId="0" applyBorder="1" applyAlignment="1"/>
    <xf numFmtId="39" fontId="27" fillId="0" borderId="0" xfId="218" applyFont="1" applyBorder="1" applyAlignment="1" applyProtection="1">
      <alignment horizontal="center" vertical="center"/>
    </xf>
    <xf numFmtId="0" fontId="28" fillId="0" borderId="0" xfId="0" applyFont="1" applyAlignment="1">
      <alignment horizontal="center"/>
    </xf>
    <xf numFmtId="0" fontId="27" fillId="0" borderId="0" xfId="117" applyFont="1" applyBorder="1" applyAlignment="1"/>
    <xf numFmtId="0" fontId="44" fillId="0" borderId="0" xfId="0" applyFont="1" applyAlignment="1">
      <alignment horizontal="center"/>
    </xf>
    <xf numFmtId="0" fontId="44" fillId="0" borderId="0" xfId="0" applyFont="1" applyBorder="1" applyAlignment="1" applyProtection="1">
      <alignment horizontal="center"/>
      <protection locked="0"/>
    </xf>
    <xf numFmtId="0" fontId="47" fillId="0" borderId="0" xfId="0" applyFont="1" applyAlignment="1">
      <alignment horizontal="center"/>
    </xf>
    <xf numFmtId="39" fontId="40" fillId="0" borderId="0" xfId="0" applyNumberFormat="1" applyFont="1" applyFill="1" applyBorder="1" applyAlignment="1" applyProtection="1">
      <alignment horizontal="center"/>
      <protection locked="0"/>
    </xf>
    <xf numFmtId="0" fontId="44" fillId="0" borderId="0" xfId="0" applyFont="1" applyFill="1" applyBorder="1" applyAlignment="1" applyProtection="1">
      <alignment horizontal="center"/>
      <protection locked="0"/>
    </xf>
    <xf numFmtId="0" fontId="28" fillId="0" borderId="0" xfId="0" applyNumberFormat="1" applyFont="1" applyFill="1" applyAlignment="1">
      <alignment horizontal="center"/>
    </xf>
    <xf numFmtId="0" fontId="27" fillId="0" borderId="0" xfId="0" quotePrefix="1" applyFont="1" applyAlignment="1">
      <alignment horizontal="left"/>
    </xf>
    <xf numFmtId="0" fontId="27" fillId="0" borderId="0" xfId="0" applyFont="1" applyFill="1" applyBorder="1" applyAlignment="1">
      <alignment wrapText="1"/>
    </xf>
    <xf numFmtId="0" fontId="48" fillId="0" borderId="0" xfId="189" applyFont="1" applyAlignment="1">
      <alignment horizontal="center"/>
    </xf>
    <xf numFmtId="39" fontId="44" fillId="0" borderId="0" xfId="189" applyNumberFormat="1" applyFont="1" applyFill="1" applyBorder="1" applyAlignment="1">
      <alignment horizontal="center"/>
    </xf>
    <xf numFmtId="0" fontId="44" fillId="0" borderId="25" xfId="189" applyFont="1" applyFill="1" applyBorder="1" applyAlignment="1" applyProtection="1">
      <alignment horizontal="center"/>
      <protection locked="0"/>
    </xf>
    <xf numFmtId="0" fontId="49" fillId="0" borderId="39" xfId="189" applyFont="1" applyBorder="1" applyAlignment="1">
      <alignment horizontal="center"/>
    </xf>
    <xf numFmtId="0" fontId="40" fillId="0" borderId="25" xfId="189" applyFont="1" applyFill="1" applyBorder="1" applyAlignment="1" applyProtection="1">
      <alignment horizontal="center"/>
      <protection locked="0"/>
    </xf>
    <xf numFmtId="0" fontId="0" fillId="0" borderId="0" xfId="0" applyFont="1" applyAlignment="1"/>
    <xf numFmtId="0" fontId="27" fillId="0" borderId="0" xfId="0" applyFont="1" applyAlignment="1"/>
    <xf numFmtId="0" fontId="28" fillId="0" borderId="0" xfId="0" applyFont="1" applyAlignment="1" applyProtection="1">
      <alignment horizontal="center"/>
      <protection locked="0"/>
    </xf>
    <xf numFmtId="0" fontId="28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/>
    <xf numFmtId="0" fontId="27" fillId="0" borderId="0" xfId="0" applyFont="1"/>
    <xf numFmtId="0" fontId="28" fillId="0" borderId="22" xfId="0" applyFont="1" applyBorder="1" applyAlignment="1"/>
    <xf numFmtId="0" fontId="28" fillId="0" borderId="0" xfId="0" applyFont="1" applyBorder="1" applyAlignment="1"/>
    <xf numFmtId="0" fontId="28" fillId="0" borderId="23" xfId="0" applyFont="1" applyBorder="1" applyAlignment="1"/>
    <xf numFmtId="0" fontId="27" fillId="0" borderId="0" xfId="0" quotePrefix="1" applyFont="1" applyAlignment="1">
      <alignment horizontal="center"/>
    </xf>
    <xf numFmtId="0" fontId="28" fillId="0" borderId="32" xfId="0" applyFont="1" applyBorder="1" applyProtection="1">
      <protection locked="0"/>
    </xf>
    <xf numFmtId="0" fontId="28" fillId="0" borderId="5" xfId="0" applyFont="1" applyBorder="1" applyProtection="1">
      <protection locked="0"/>
    </xf>
    <xf numFmtId="0" fontId="28" fillId="0" borderId="33" xfId="0" applyFont="1" applyBorder="1" applyProtection="1">
      <protection locked="0"/>
    </xf>
    <xf numFmtId="0" fontId="27" fillId="0" borderId="22" xfId="0" applyFont="1" applyBorder="1" applyProtection="1">
      <protection locked="0"/>
    </xf>
    <xf numFmtId="0" fontId="27" fillId="0" borderId="0" xfId="0" applyFont="1" applyBorder="1" applyProtection="1">
      <protection locked="0"/>
    </xf>
    <xf numFmtId="0" fontId="28" fillId="0" borderId="60" xfId="0" applyFont="1" applyBorder="1" applyAlignment="1" applyProtection="1">
      <protection locked="0"/>
    </xf>
    <xf numFmtId="0" fontId="28" fillId="0" borderId="29" xfId="0" applyFont="1" applyBorder="1" applyAlignment="1" applyProtection="1">
      <protection locked="0"/>
    </xf>
    <xf numFmtId="0" fontId="28" fillId="0" borderId="19" xfId="0" applyFont="1" applyBorder="1" applyProtection="1">
      <protection locked="0"/>
    </xf>
    <xf numFmtId="0" fontId="28" fillId="0" borderId="20" xfId="0" applyFont="1" applyBorder="1" applyProtection="1">
      <protection locked="0"/>
    </xf>
    <xf numFmtId="0" fontId="28" fillId="0" borderId="21" xfId="0" applyFont="1" applyBorder="1" applyProtection="1">
      <protection locked="0"/>
    </xf>
    <xf numFmtId="0" fontId="28" fillId="0" borderId="25" xfId="0" applyFont="1" applyBorder="1" applyAlignment="1" applyProtection="1">
      <alignment horizontal="center"/>
      <protection locked="0"/>
    </xf>
    <xf numFmtId="0" fontId="25" fillId="0" borderId="46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7" fillId="0" borderId="0" xfId="0" applyFont="1" applyAlignment="1">
      <alignment horizontal="left" wrapText="1"/>
    </xf>
    <xf numFmtId="0" fontId="25" fillId="0" borderId="0" xfId="232" applyFont="1" applyAlignment="1">
      <alignment wrapText="1"/>
    </xf>
    <xf numFmtId="0" fontId="27" fillId="0" borderId="0" xfId="0" quotePrefix="1" applyFont="1"/>
    <xf numFmtId="0" fontId="27" fillId="0" borderId="22" xfId="0" applyFont="1" applyBorder="1"/>
    <xf numFmtId="0" fontId="27" fillId="0" borderId="0" xfId="0" applyFont="1" applyBorder="1"/>
    <xf numFmtId="0" fontId="27" fillId="0" borderId="22" xfId="0" applyFont="1" applyBorder="1" applyAlignment="1">
      <alignment horizontal="left" indent="1"/>
    </xf>
    <xf numFmtId="0" fontId="27" fillId="0" borderId="0" xfId="0" applyFont="1" applyBorder="1" applyAlignment="1">
      <alignment horizontal="left" indent="1"/>
    </xf>
    <xf numFmtId="49" fontId="27" fillId="0" borderId="0" xfId="0" applyNumberFormat="1" applyFont="1" applyAlignment="1">
      <alignment horizontal="center"/>
    </xf>
    <xf numFmtId="0" fontId="28" fillId="0" borderId="15" xfId="0" applyFont="1" applyBorder="1"/>
    <xf numFmtId="0" fontId="28" fillId="0" borderId="16" xfId="0" applyFont="1" applyBorder="1"/>
    <xf numFmtId="0" fontId="28" fillId="0" borderId="22" xfId="0" applyFont="1" applyBorder="1"/>
    <xf numFmtId="0" fontId="28" fillId="0" borderId="0" xfId="0" applyFont="1" applyBorder="1"/>
    <xf numFmtId="0" fontId="87" fillId="22" borderId="0" xfId="1230" applyFont="1" applyFill="1" applyAlignment="1">
      <alignment horizontal="center"/>
    </xf>
    <xf numFmtId="0" fontId="25" fillId="0" borderId="0" xfId="232" applyFont="1" applyAlignment="1">
      <alignment horizontal="center" wrapText="1"/>
    </xf>
    <xf numFmtId="0" fontId="28" fillId="0" borderId="0" xfId="0" applyFont="1"/>
    <xf numFmtId="0" fontId="28" fillId="0" borderId="19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106" fillId="0" borderId="25" xfId="1224" applyFont="1" applyBorder="1" applyProtection="1">
      <protection locked="0"/>
    </xf>
    <xf numFmtId="0" fontId="106" fillId="0" borderId="46" xfId="1224" applyFont="1" applyBorder="1" applyProtection="1">
      <protection locked="0"/>
    </xf>
    <xf numFmtId="0" fontId="104" fillId="0" borderId="25" xfId="1224" applyFont="1" applyBorder="1" applyAlignment="1" applyProtection="1">
      <protection locked="0"/>
    </xf>
    <xf numFmtId="0" fontId="107" fillId="0" borderId="46" xfId="1224" applyFont="1" applyBorder="1" applyAlignment="1"/>
    <xf numFmtId="0" fontId="107" fillId="0" borderId="39" xfId="1224" applyFont="1" applyBorder="1" applyAlignment="1"/>
    <xf numFmtId="0" fontId="105" fillId="0" borderId="0" xfId="1224" applyFont="1" applyFill="1" applyBorder="1" applyAlignment="1">
      <alignment horizontal="center"/>
    </xf>
    <xf numFmtId="0" fontId="103" fillId="0" borderId="0" xfId="1224" applyFont="1" applyAlignment="1"/>
    <xf numFmtId="0" fontId="24" fillId="0" borderId="0" xfId="1224" applyFont="1" applyFill="1" applyBorder="1" applyAlignment="1">
      <alignment horizontal="center"/>
    </xf>
    <xf numFmtId="0" fontId="25" fillId="0" borderId="0" xfId="1224" applyFont="1" applyAlignment="1"/>
    <xf numFmtId="0" fontId="120" fillId="0" borderId="25" xfId="1224" applyFont="1" applyBorder="1" applyAlignment="1" applyProtection="1">
      <protection locked="0"/>
    </xf>
    <xf numFmtId="0" fontId="122" fillId="0" borderId="46" xfId="1224" applyFont="1" applyBorder="1" applyAlignment="1"/>
    <xf numFmtId="0" fontId="122" fillId="0" borderId="39" xfId="1224" applyFont="1" applyBorder="1" applyAlignment="1"/>
    <xf numFmtId="0" fontId="71" fillId="0" borderId="27" xfId="1227" applyFont="1" applyBorder="1" applyProtection="1">
      <protection locked="0"/>
    </xf>
    <xf numFmtId="0" fontId="71" fillId="0" borderId="0" xfId="1227" applyFont="1" applyBorder="1" applyProtection="1">
      <protection locked="0"/>
    </xf>
    <xf numFmtId="0" fontId="70" fillId="0" borderId="0" xfId="1227" applyFont="1" applyAlignment="1">
      <alignment horizontal="center"/>
    </xf>
    <xf numFmtId="0" fontId="107" fillId="0" borderId="0" xfId="1227" applyFont="1" applyAlignment="1"/>
    <xf numFmtId="0" fontId="70" fillId="0" borderId="0" xfId="1227" applyFont="1" applyAlignment="1" applyProtection="1">
      <alignment horizontal="center"/>
      <protection locked="0"/>
    </xf>
    <xf numFmtId="0" fontId="71" fillId="0" borderId="0" xfId="1227" quotePrefix="1" applyFont="1" applyAlignment="1">
      <alignment horizontal="center"/>
    </xf>
    <xf numFmtId="0" fontId="71" fillId="0" borderId="35" xfId="1227" applyFont="1" applyBorder="1" applyProtection="1">
      <protection locked="0"/>
    </xf>
    <xf numFmtId="0" fontId="71" fillId="0" borderId="29" xfId="1227" applyFont="1" applyBorder="1" applyProtection="1">
      <protection locked="0"/>
    </xf>
    <xf numFmtId="0" fontId="71" fillId="0" borderId="27" xfId="1227" applyFont="1" applyBorder="1" applyAlignment="1" applyProtection="1">
      <alignment horizontal="left" indent="2"/>
      <protection locked="0"/>
    </xf>
    <xf numFmtId="0" fontId="71" fillId="0" borderId="0" xfId="1227" applyFont="1" applyBorder="1" applyAlignment="1" applyProtection="1">
      <alignment horizontal="left" indent="2"/>
      <protection locked="0"/>
    </xf>
    <xf numFmtId="0" fontId="71" fillId="0" borderId="27" xfId="1227" applyFont="1" applyBorder="1" applyAlignment="1" applyProtection="1">
      <alignment horizontal="left" indent="4"/>
      <protection locked="0"/>
    </xf>
    <xf numFmtId="0" fontId="71" fillId="0" borderId="0" xfId="1227" applyFont="1" applyBorder="1" applyAlignment="1" applyProtection="1">
      <alignment horizontal="left" indent="4"/>
      <protection locked="0"/>
    </xf>
    <xf numFmtId="0" fontId="40" fillId="0" borderId="0" xfId="175" applyFont="1" applyAlignment="1">
      <alignment horizontal="center"/>
    </xf>
  </cellXfs>
  <cellStyles count="10653">
    <cellStyle name="20% - Accent1" xfId="365" builtinId="30" customBuiltin="1"/>
    <cellStyle name="20% - Accent1 10" xfId="558"/>
    <cellStyle name="20% - Accent1 10 2" xfId="1462"/>
    <cellStyle name="20% - Accent1 10 2 2" xfId="4132"/>
    <cellStyle name="20% - Accent1 10 2 2 2" xfId="9942"/>
    <cellStyle name="20% - Accent1 10 2 2 3" xfId="7020"/>
    <cellStyle name="20% - Accent1 10 2 3" xfId="8477"/>
    <cellStyle name="20% - Accent1 10 2 4" xfId="5576"/>
    <cellStyle name="20% - Accent1 10 2 5" xfId="2685"/>
    <cellStyle name="20% - Accent1 10 3" xfId="3538"/>
    <cellStyle name="20% - Accent1 10 3 2" xfId="9348"/>
    <cellStyle name="20% - Accent1 10 3 3" xfId="6426"/>
    <cellStyle name="20% - Accent1 10 4" xfId="7875"/>
    <cellStyle name="20% - Accent1 10 5" xfId="4982"/>
    <cellStyle name="20% - Accent1 10 6" xfId="2091"/>
    <cellStyle name="20% - Accent1 11" xfId="1237"/>
    <cellStyle name="20% - Accent1 11 2" xfId="1855"/>
    <cellStyle name="20% - Accent1 11 2 2" xfId="4505"/>
    <cellStyle name="20% - Accent1 11 2 2 2" xfId="10315"/>
    <cellStyle name="20% - Accent1 11 2 2 3" xfId="7393"/>
    <cellStyle name="20% - Accent1 11 2 3" xfId="8870"/>
    <cellStyle name="20% - Accent1 11 2 4" xfId="5949"/>
    <cellStyle name="20% - Accent1 11 2 5" xfId="3058"/>
    <cellStyle name="20% - Accent1 11 3" xfId="3911"/>
    <cellStyle name="20% - Accent1 11 3 2" xfId="9721"/>
    <cellStyle name="20% - Accent1 11 3 3" xfId="6799"/>
    <cellStyle name="20% - Accent1 11 4" xfId="8252"/>
    <cellStyle name="20% - Accent1 11 5" xfId="5355"/>
    <cellStyle name="20% - Accent1 11 6" xfId="2464"/>
    <cellStyle name="20% - Accent1 12" xfId="1287"/>
    <cellStyle name="20% - Accent1 12 2" xfId="3957"/>
    <cellStyle name="20% - Accent1 12 2 2" xfId="9767"/>
    <cellStyle name="20% - Accent1 12 2 3" xfId="6845"/>
    <cellStyle name="20% - Accent1 12 3" xfId="8302"/>
    <cellStyle name="20% - Accent1 12 4" xfId="5401"/>
    <cellStyle name="20% - Accent1 12 5" xfId="2510"/>
    <cellStyle name="20% - Accent1 13" xfId="1869"/>
    <cellStyle name="20% - Accent1 13 2" xfId="4522"/>
    <cellStyle name="20% - Accent1 13 2 2" xfId="10332"/>
    <cellStyle name="20% - Accent1 13 2 3" xfId="7410"/>
    <cellStyle name="20% - Accent1 13 3" xfId="8887"/>
    <cellStyle name="20% - Accent1 13 4" xfId="5966"/>
    <cellStyle name="20% - Accent1 13 5" xfId="3074"/>
    <cellStyle name="20% - Accent1 14" xfId="3109"/>
    <cellStyle name="20% - Accent1 14 2" xfId="4554"/>
    <cellStyle name="20% - Accent1 14 2 2" xfId="10364"/>
    <cellStyle name="20% - Accent1 14 2 3" xfId="7442"/>
    <cellStyle name="20% - Accent1 14 3" xfId="8920"/>
    <cellStyle name="20% - Accent1 14 4" xfId="5998"/>
    <cellStyle name="20% - Accent1 15" xfId="3363"/>
    <cellStyle name="20% - Accent1 15 2" xfId="9173"/>
    <cellStyle name="20% - Accent1 15 3" xfId="6251"/>
    <cellStyle name="20% - Accent1 16" xfId="7700"/>
    <cellStyle name="20% - Accent1 17" xfId="4807"/>
    <cellStyle name="20% - Accent1 18" xfId="1916"/>
    <cellStyle name="20% - Accent1 19" xfId="10610"/>
    <cellStyle name="20% - Accent1 2" xfId="1"/>
    <cellStyle name="20% - Accent1 2 2" xfId="700"/>
    <cellStyle name="20% - Accent1 20" xfId="10627"/>
    <cellStyle name="20% - Accent1 21" xfId="10641"/>
    <cellStyle name="20% - Accent1 3" xfId="395"/>
    <cellStyle name="20% - Accent1 3 2" xfId="702"/>
    <cellStyle name="20% - Accent1 3 2 2" xfId="1604"/>
    <cellStyle name="20% - Accent1 3 2 2 2" xfId="4274"/>
    <cellStyle name="20% - Accent1 3 2 2 2 2" xfId="10084"/>
    <cellStyle name="20% - Accent1 3 2 2 2 3" xfId="7162"/>
    <cellStyle name="20% - Accent1 3 2 2 3" xfId="8619"/>
    <cellStyle name="20% - Accent1 3 2 2 4" xfId="5718"/>
    <cellStyle name="20% - Accent1 3 2 2 5" xfId="2827"/>
    <cellStyle name="20% - Accent1 3 2 3" xfId="3110"/>
    <cellStyle name="20% - Accent1 3 2 3 2" xfId="4555"/>
    <cellStyle name="20% - Accent1 3 2 3 2 2" xfId="10365"/>
    <cellStyle name="20% - Accent1 3 2 3 2 3" xfId="7443"/>
    <cellStyle name="20% - Accent1 3 2 3 3" xfId="8921"/>
    <cellStyle name="20% - Accent1 3 2 3 4" xfId="5999"/>
    <cellStyle name="20% - Accent1 3 2 4" xfId="3680"/>
    <cellStyle name="20% - Accent1 3 2 4 2" xfId="9490"/>
    <cellStyle name="20% - Accent1 3 2 4 3" xfId="6568"/>
    <cellStyle name="20% - Accent1 3 2 5" xfId="8017"/>
    <cellStyle name="20% - Accent1 3 2 6" xfId="5124"/>
    <cellStyle name="20% - Accent1 3 2 7" xfId="2233"/>
    <cellStyle name="20% - Accent1 3 3" xfId="701"/>
    <cellStyle name="20% - Accent1 3 4" xfId="577"/>
    <cellStyle name="20% - Accent1 3 4 2" xfId="1481"/>
    <cellStyle name="20% - Accent1 3 4 2 2" xfId="4151"/>
    <cellStyle name="20% - Accent1 3 4 2 2 2" xfId="9961"/>
    <cellStyle name="20% - Accent1 3 4 2 2 3" xfId="7039"/>
    <cellStyle name="20% - Accent1 3 4 2 3" xfId="8496"/>
    <cellStyle name="20% - Accent1 3 4 2 4" xfId="5595"/>
    <cellStyle name="20% - Accent1 3 4 2 5" xfId="2704"/>
    <cellStyle name="20% - Accent1 3 4 3" xfId="3557"/>
    <cellStyle name="20% - Accent1 3 4 3 2" xfId="9367"/>
    <cellStyle name="20% - Accent1 3 4 3 3" xfId="6445"/>
    <cellStyle name="20% - Accent1 3 4 4" xfId="7894"/>
    <cellStyle name="20% - Accent1 3 4 5" xfId="5001"/>
    <cellStyle name="20% - Accent1 3 4 6" xfId="2110"/>
    <cellStyle name="20% - Accent1 3 5" xfId="1306"/>
    <cellStyle name="20% - Accent1 3 5 2" xfId="3976"/>
    <cellStyle name="20% - Accent1 3 5 2 2" xfId="9786"/>
    <cellStyle name="20% - Accent1 3 5 2 3" xfId="6864"/>
    <cellStyle name="20% - Accent1 3 5 3" xfId="8321"/>
    <cellStyle name="20% - Accent1 3 5 4" xfId="5420"/>
    <cellStyle name="20% - Accent1 3 5 5" xfId="2529"/>
    <cellStyle name="20% - Accent1 3 6" xfId="3382"/>
    <cellStyle name="20% - Accent1 3 6 2" xfId="9192"/>
    <cellStyle name="20% - Accent1 3 6 3" xfId="6270"/>
    <cellStyle name="20% - Accent1 3 7" xfId="7719"/>
    <cellStyle name="20% - Accent1 3 8" xfId="4826"/>
    <cellStyle name="20% - Accent1 3 9" xfId="1935"/>
    <cellStyle name="20% - Accent1 4" xfId="416"/>
    <cellStyle name="20% - Accent1 4 2" xfId="703"/>
    <cellStyle name="20% - Accent1 4 2 2" xfId="1605"/>
    <cellStyle name="20% - Accent1 4 2 2 2" xfId="4275"/>
    <cellStyle name="20% - Accent1 4 2 2 2 2" xfId="10085"/>
    <cellStyle name="20% - Accent1 4 2 2 2 3" xfId="7163"/>
    <cellStyle name="20% - Accent1 4 2 2 3" xfId="8620"/>
    <cellStyle name="20% - Accent1 4 2 2 4" xfId="5719"/>
    <cellStyle name="20% - Accent1 4 2 2 5" xfId="2828"/>
    <cellStyle name="20% - Accent1 4 2 3" xfId="3681"/>
    <cellStyle name="20% - Accent1 4 2 3 2" xfId="9491"/>
    <cellStyle name="20% - Accent1 4 2 3 3" xfId="6569"/>
    <cellStyle name="20% - Accent1 4 2 4" xfId="8018"/>
    <cellStyle name="20% - Accent1 4 2 5" xfId="5125"/>
    <cellStyle name="20% - Accent1 4 2 6" xfId="2234"/>
    <cellStyle name="20% - Accent1 4 3" xfId="598"/>
    <cellStyle name="20% - Accent1 4 3 2" xfId="1502"/>
    <cellStyle name="20% - Accent1 4 3 2 2" xfId="4172"/>
    <cellStyle name="20% - Accent1 4 3 2 2 2" xfId="9982"/>
    <cellStyle name="20% - Accent1 4 3 2 2 3" xfId="7060"/>
    <cellStyle name="20% - Accent1 4 3 2 3" xfId="8517"/>
    <cellStyle name="20% - Accent1 4 3 2 4" xfId="5616"/>
    <cellStyle name="20% - Accent1 4 3 2 5" xfId="2725"/>
    <cellStyle name="20% - Accent1 4 3 3" xfId="3578"/>
    <cellStyle name="20% - Accent1 4 3 3 2" xfId="9388"/>
    <cellStyle name="20% - Accent1 4 3 3 3" xfId="6466"/>
    <cellStyle name="20% - Accent1 4 3 4" xfId="7915"/>
    <cellStyle name="20% - Accent1 4 3 5" xfId="5022"/>
    <cellStyle name="20% - Accent1 4 3 6" xfId="2131"/>
    <cellStyle name="20% - Accent1 4 4" xfId="1327"/>
    <cellStyle name="20% - Accent1 4 4 2" xfId="3997"/>
    <cellStyle name="20% - Accent1 4 4 2 2" xfId="9807"/>
    <cellStyle name="20% - Accent1 4 4 2 3" xfId="6885"/>
    <cellStyle name="20% - Accent1 4 4 3" xfId="8342"/>
    <cellStyle name="20% - Accent1 4 4 4" xfId="5441"/>
    <cellStyle name="20% - Accent1 4 4 5" xfId="2550"/>
    <cellStyle name="20% - Accent1 4 5" xfId="3111"/>
    <cellStyle name="20% - Accent1 4 5 2" xfId="4556"/>
    <cellStyle name="20% - Accent1 4 5 2 2" xfId="10366"/>
    <cellStyle name="20% - Accent1 4 5 2 3" xfId="7444"/>
    <cellStyle name="20% - Accent1 4 5 3" xfId="8922"/>
    <cellStyle name="20% - Accent1 4 5 4" xfId="6000"/>
    <cellStyle name="20% - Accent1 4 6" xfId="3403"/>
    <cellStyle name="20% - Accent1 4 6 2" xfId="9213"/>
    <cellStyle name="20% - Accent1 4 6 3" xfId="6291"/>
    <cellStyle name="20% - Accent1 4 7" xfId="7740"/>
    <cellStyle name="20% - Accent1 4 8" xfId="4847"/>
    <cellStyle name="20% - Accent1 4 9" xfId="1956"/>
    <cellStyle name="20% - Accent1 5" xfId="431"/>
    <cellStyle name="20% - Accent1 5 2" xfId="704"/>
    <cellStyle name="20% - Accent1 5 2 2" xfId="1606"/>
    <cellStyle name="20% - Accent1 5 2 2 2" xfId="4276"/>
    <cellStyle name="20% - Accent1 5 2 2 2 2" xfId="10086"/>
    <cellStyle name="20% - Accent1 5 2 2 2 3" xfId="7164"/>
    <cellStyle name="20% - Accent1 5 2 2 3" xfId="8621"/>
    <cellStyle name="20% - Accent1 5 2 2 4" xfId="5720"/>
    <cellStyle name="20% - Accent1 5 2 2 5" xfId="2829"/>
    <cellStyle name="20% - Accent1 5 2 3" xfId="3682"/>
    <cellStyle name="20% - Accent1 5 2 3 2" xfId="9492"/>
    <cellStyle name="20% - Accent1 5 2 3 3" xfId="6570"/>
    <cellStyle name="20% - Accent1 5 2 4" xfId="8019"/>
    <cellStyle name="20% - Accent1 5 2 5" xfId="5126"/>
    <cellStyle name="20% - Accent1 5 2 6" xfId="2235"/>
    <cellStyle name="20% - Accent1 5 3" xfId="613"/>
    <cellStyle name="20% - Accent1 5 3 2" xfId="1517"/>
    <cellStyle name="20% - Accent1 5 3 2 2" xfId="4187"/>
    <cellStyle name="20% - Accent1 5 3 2 2 2" xfId="9997"/>
    <cellStyle name="20% - Accent1 5 3 2 2 3" xfId="7075"/>
    <cellStyle name="20% - Accent1 5 3 2 3" xfId="8532"/>
    <cellStyle name="20% - Accent1 5 3 2 4" xfId="5631"/>
    <cellStyle name="20% - Accent1 5 3 2 5" xfId="2740"/>
    <cellStyle name="20% - Accent1 5 3 3" xfId="3593"/>
    <cellStyle name="20% - Accent1 5 3 3 2" xfId="9403"/>
    <cellStyle name="20% - Accent1 5 3 3 3" xfId="6481"/>
    <cellStyle name="20% - Accent1 5 3 4" xfId="7930"/>
    <cellStyle name="20% - Accent1 5 3 5" xfId="5037"/>
    <cellStyle name="20% - Accent1 5 3 6" xfId="2146"/>
    <cellStyle name="20% - Accent1 5 4" xfId="1342"/>
    <cellStyle name="20% - Accent1 5 4 2" xfId="4012"/>
    <cellStyle name="20% - Accent1 5 4 2 2" xfId="9822"/>
    <cellStyle name="20% - Accent1 5 4 2 3" xfId="6900"/>
    <cellStyle name="20% - Accent1 5 4 3" xfId="8357"/>
    <cellStyle name="20% - Accent1 5 4 4" xfId="5456"/>
    <cellStyle name="20% - Accent1 5 4 5" xfId="2565"/>
    <cellStyle name="20% - Accent1 5 5" xfId="3112"/>
    <cellStyle name="20% - Accent1 5 5 2" xfId="4557"/>
    <cellStyle name="20% - Accent1 5 5 2 2" xfId="10367"/>
    <cellStyle name="20% - Accent1 5 5 2 3" xfId="7445"/>
    <cellStyle name="20% - Accent1 5 5 3" xfId="8923"/>
    <cellStyle name="20% - Accent1 5 5 4" xfId="6001"/>
    <cellStyle name="20% - Accent1 5 6" xfId="3418"/>
    <cellStyle name="20% - Accent1 5 6 2" xfId="9228"/>
    <cellStyle name="20% - Accent1 5 6 3" xfId="6306"/>
    <cellStyle name="20% - Accent1 5 7" xfId="7755"/>
    <cellStyle name="20% - Accent1 5 8" xfId="4862"/>
    <cellStyle name="20% - Accent1 5 9" xfId="1971"/>
    <cellStyle name="20% - Accent1 6" xfId="445"/>
    <cellStyle name="20% - Accent1 6 2" xfId="705"/>
    <cellStyle name="20% - Accent1 6 2 2" xfId="1607"/>
    <cellStyle name="20% - Accent1 6 2 2 2" xfId="4277"/>
    <cellStyle name="20% - Accent1 6 2 2 2 2" xfId="10087"/>
    <cellStyle name="20% - Accent1 6 2 2 2 3" xfId="7165"/>
    <cellStyle name="20% - Accent1 6 2 2 3" xfId="8622"/>
    <cellStyle name="20% - Accent1 6 2 2 4" xfId="5721"/>
    <cellStyle name="20% - Accent1 6 2 2 5" xfId="2830"/>
    <cellStyle name="20% - Accent1 6 2 3" xfId="3683"/>
    <cellStyle name="20% - Accent1 6 2 3 2" xfId="9493"/>
    <cellStyle name="20% - Accent1 6 2 3 3" xfId="6571"/>
    <cellStyle name="20% - Accent1 6 2 4" xfId="8020"/>
    <cellStyle name="20% - Accent1 6 2 5" xfId="5127"/>
    <cellStyle name="20% - Accent1 6 2 6" xfId="2236"/>
    <cellStyle name="20% - Accent1 6 3" xfId="627"/>
    <cellStyle name="20% - Accent1 6 3 2" xfId="1531"/>
    <cellStyle name="20% - Accent1 6 3 2 2" xfId="4201"/>
    <cellStyle name="20% - Accent1 6 3 2 2 2" xfId="10011"/>
    <cellStyle name="20% - Accent1 6 3 2 2 3" xfId="7089"/>
    <cellStyle name="20% - Accent1 6 3 2 3" xfId="8546"/>
    <cellStyle name="20% - Accent1 6 3 2 4" xfId="5645"/>
    <cellStyle name="20% - Accent1 6 3 2 5" xfId="2754"/>
    <cellStyle name="20% - Accent1 6 3 3" xfId="3607"/>
    <cellStyle name="20% - Accent1 6 3 3 2" xfId="9417"/>
    <cellStyle name="20% - Accent1 6 3 3 3" xfId="6495"/>
    <cellStyle name="20% - Accent1 6 3 4" xfId="7944"/>
    <cellStyle name="20% - Accent1 6 3 5" xfId="5051"/>
    <cellStyle name="20% - Accent1 6 3 6" xfId="2160"/>
    <cellStyle name="20% - Accent1 6 4" xfId="1356"/>
    <cellStyle name="20% - Accent1 6 4 2" xfId="4026"/>
    <cellStyle name="20% - Accent1 6 4 2 2" xfId="9836"/>
    <cellStyle name="20% - Accent1 6 4 2 3" xfId="6914"/>
    <cellStyle name="20% - Accent1 6 4 3" xfId="8371"/>
    <cellStyle name="20% - Accent1 6 4 4" xfId="5470"/>
    <cellStyle name="20% - Accent1 6 4 5" xfId="2579"/>
    <cellStyle name="20% - Accent1 6 5" xfId="3113"/>
    <cellStyle name="20% - Accent1 6 5 2" xfId="4558"/>
    <cellStyle name="20% - Accent1 6 5 2 2" xfId="10368"/>
    <cellStyle name="20% - Accent1 6 5 2 3" xfId="7446"/>
    <cellStyle name="20% - Accent1 6 5 3" xfId="8924"/>
    <cellStyle name="20% - Accent1 6 5 4" xfId="6002"/>
    <cellStyle name="20% - Accent1 6 6" xfId="3432"/>
    <cellStyle name="20% - Accent1 6 6 2" xfId="9242"/>
    <cellStyle name="20% - Accent1 6 6 3" xfId="6320"/>
    <cellStyle name="20% - Accent1 6 7" xfId="7769"/>
    <cellStyle name="20% - Accent1 6 8" xfId="4876"/>
    <cellStyle name="20% - Accent1 6 9" xfId="1985"/>
    <cellStyle name="20% - Accent1 7" xfId="464"/>
    <cellStyle name="20% - Accent1 7 2" xfId="706"/>
    <cellStyle name="20% - Accent1 7 2 2" xfId="1608"/>
    <cellStyle name="20% - Accent1 7 2 2 2" xfId="4278"/>
    <cellStyle name="20% - Accent1 7 2 2 2 2" xfId="10088"/>
    <cellStyle name="20% - Accent1 7 2 2 2 3" xfId="7166"/>
    <cellStyle name="20% - Accent1 7 2 2 3" xfId="8623"/>
    <cellStyle name="20% - Accent1 7 2 2 4" xfId="5722"/>
    <cellStyle name="20% - Accent1 7 2 2 5" xfId="2831"/>
    <cellStyle name="20% - Accent1 7 2 3" xfId="3684"/>
    <cellStyle name="20% - Accent1 7 2 3 2" xfId="9494"/>
    <cellStyle name="20% - Accent1 7 2 3 3" xfId="6572"/>
    <cellStyle name="20% - Accent1 7 2 4" xfId="8021"/>
    <cellStyle name="20% - Accent1 7 2 5" xfId="5128"/>
    <cellStyle name="20% - Accent1 7 2 6" xfId="2237"/>
    <cellStyle name="20% - Accent1 7 3" xfId="646"/>
    <cellStyle name="20% - Accent1 7 3 2" xfId="1550"/>
    <cellStyle name="20% - Accent1 7 3 2 2" xfId="4220"/>
    <cellStyle name="20% - Accent1 7 3 2 2 2" xfId="10030"/>
    <cellStyle name="20% - Accent1 7 3 2 2 3" xfId="7108"/>
    <cellStyle name="20% - Accent1 7 3 2 3" xfId="8565"/>
    <cellStyle name="20% - Accent1 7 3 2 4" xfId="5664"/>
    <cellStyle name="20% - Accent1 7 3 2 5" xfId="2773"/>
    <cellStyle name="20% - Accent1 7 3 3" xfId="3626"/>
    <cellStyle name="20% - Accent1 7 3 3 2" xfId="9436"/>
    <cellStyle name="20% - Accent1 7 3 3 3" xfId="6514"/>
    <cellStyle name="20% - Accent1 7 3 4" xfId="7963"/>
    <cellStyle name="20% - Accent1 7 3 5" xfId="5070"/>
    <cellStyle name="20% - Accent1 7 3 6" xfId="2179"/>
    <cellStyle name="20% - Accent1 7 4" xfId="1375"/>
    <cellStyle name="20% - Accent1 7 4 2" xfId="4045"/>
    <cellStyle name="20% - Accent1 7 4 2 2" xfId="9855"/>
    <cellStyle name="20% - Accent1 7 4 2 3" xfId="6933"/>
    <cellStyle name="20% - Accent1 7 4 3" xfId="8390"/>
    <cellStyle name="20% - Accent1 7 4 4" xfId="5489"/>
    <cellStyle name="20% - Accent1 7 4 5" xfId="2598"/>
    <cellStyle name="20% - Accent1 7 5" xfId="3114"/>
    <cellStyle name="20% - Accent1 7 5 2" xfId="4559"/>
    <cellStyle name="20% - Accent1 7 5 2 2" xfId="10369"/>
    <cellStyle name="20% - Accent1 7 5 2 3" xfId="7447"/>
    <cellStyle name="20% - Accent1 7 5 3" xfId="8925"/>
    <cellStyle name="20% - Accent1 7 5 4" xfId="6003"/>
    <cellStyle name="20% - Accent1 7 6" xfId="3451"/>
    <cellStyle name="20% - Accent1 7 6 2" xfId="9261"/>
    <cellStyle name="20% - Accent1 7 6 3" xfId="6339"/>
    <cellStyle name="20% - Accent1 7 7" xfId="7788"/>
    <cellStyle name="20% - Accent1 7 8" xfId="4895"/>
    <cellStyle name="20% - Accent1 7 9" xfId="2004"/>
    <cellStyle name="20% - Accent1 8" xfId="502"/>
    <cellStyle name="20% - Accent1 8 2" xfId="680"/>
    <cellStyle name="20% - Accent1 8 2 2" xfId="1584"/>
    <cellStyle name="20% - Accent1 8 2 2 2" xfId="4254"/>
    <cellStyle name="20% - Accent1 8 2 2 2 2" xfId="10064"/>
    <cellStyle name="20% - Accent1 8 2 2 2 3" xfId="7142"/>
    <cellStyle name="20% - Accent1 8 2 2 3" xfId="8599"/>
    <cellStyle name="20% - Accent1 8 2 2 4" xfId="5698"/>
    <cellStyle name="20% - Accent1 8 2 2 5" xfId="2807"/>
    <cellStyle name="20% - Accent1 8 2 3" xfId="3660"/>
    <cellStyle name="20% - Accent1 8 2 3 2" xfId="9470"/>
    <cellStyle name="20% - Accent1 8 2 3 3" xfId="6548"/>
    <cellStyle name="20% - Accent1 8 2 4" xfId="7997"/>
    <cellStyle name="20% - Accent1 8 2 5" xfId="5104"/>
    <cellStyle name="20% - Accent1 8 2 6" xfId="2213"/>
    <cellStyle name="20% - Accent1 8 3" xfId="1409"/>
    <cellStyle name="20% - Accent1 8 3 2" xfId="4079"/>
    <cellStyle name="20% - Accent1 8 3 2 2" xfId="9889"/>
    <cellStyle name="20% - Accent1 8 3 2 3" xfId="6967"/>
    <cellStyle name="20% - Accent1 8 3 3" xfId="8424"/>
    <cellStyle name="20% - Accent1 8 3 4" xfId="5523"/>
    <cellStyle name="20% - Accent1 8 3 5" xfId="2632"/>
    <cellStyle name="20% - Accent1 8 4" xfId="3485"/>
    <cellStyle name="20% - Accent1 8 4 2" xfId="9295"/>
    <cellStyle name="20% - Accent1 8 4 3" xfId="6373"/>
    <cellStyle name="20% - Accent1 8 5" xfId="7822"/>
    <cellStyle name="20% - Accent1 8 6" xfId="4929"/>
    <cellStyle name="20% - Accent1 8 7" xfId="2038"/>
    <cellStyle name="20% - Accent1 9" xfId="699"/>
    <cellStyle name="20% - Accent1 9 2" xfId="1603"/>
    <cellStyle name="20% - Accent1 9 2 2" xfId="4273"/>
    <cellStyle name="20% - Accent1 9 2 2 2" xfId="10083"/>
    <cellStyle name="20% - Accent1 9 2 2 3" xfId="7161"/>
    <cellStyle name="20% - Accent1 9 2 3" xfId="8618"/>
    <cellStyle name="20% - Accent1 9 2 4" xfId="5717"/>
    <cellStyle name="20% - Accent1 9 2 5" xfId="2826"/>
    <cellStyle name="20% - Accent1 9 3" xfId="3679"/>
    <cellStyle name="20% - Accent1 9 3 2" xfId="9489"/>
    <cellStyle name="20% - Accent1 9 3 3" xfId="6567"/>
    <cellStyle name="20% - Accent1 9 4" xfId="8016"/>
    <cellStyle name="20% - Accent1 9 5" xfId="5123"/>
    <cellStyle name="20% - Accent1 9 6" xfId="2232"/>
    <cellStyle name="20% - Accent2" xfId="369" builtinId="34" customBuiltin="1"/>
    <cellStyle name="20% - Accent2 10" xfId="560"/>
    <cellStyle name="20% - Accent2 10 2" xfId="1464"/>
    <cellStyle name="20% - Accent2 10 2 2" xfId="4134"/>
    <cellStyle name="20% - Accent2 10 2 2 2" xfId="9944"/>
    <cellStyle name="20% - Accent2 10 2 2 3" xfId="7022"/>
    <cellStyle name="20% - Accent2 10 2 3" xfId="8479"/>
    <cellStyle name="20% - Accent2 10 2 4" xfId="5578"/>
    <cellStyle name="20% - Accent2 10 2 5" xfId="2687"/>
    <cellStyle name="20% - Accent2 10 3" xfId="3540"/>
    <cellStyle name="20% - Accent2 10 3 2" xfId="9350"/>
    <cellStyle name="20% - Accent2 10 3 3" xfId="6428"/>
    <cellStyle name="20% - Accent2 10 4" xfId="7877"/>
    <cellStyle name="20% - Accent2 10 5" xfId="4984"/>
    <cellStyle name="20% - Accent2 10 6" xfId="2093"/>
    <cellStyle name="20% - Accent2 11" xfId="1239"/>
    <cellStyle name="20% - Accent2 11 2" xfId="1857"/>
    <cellStyle name="20% - Accent2 11 2 2" xfId="4507"/>
    <cellStyle name="20% - Accent2 11 2 2 2" xfId="10317"/>
    <cellStyle name="20% - Accent2 11 2 2 3" xfId="7395"/>
    <cellStyle name="20% - Accent2 11 2 3" xfId="8872"/>
    <cellStyle name="20% - Accent2 11 2 4" xfId="5951"/>
    <cellStyle name="20% - Accent2 11 2 5" xfId="3060"/>
    <cellStyle name="20% - Accent2 11 3" xfId="3913"/>
    <cellStyle name="20% - Accent2 11 3 2" xfId="9723"/>
    <cellStyle name="20% - Accent2 11 3 3" xfId="6801"/>
    <cellStyle name="20% - Accent2 11 4" xfId="8254"/>
    <cellStyle name="20% - Accent2 11 5" xfId="5357"/>
    <cellStyle name="20% - Accent2 11 6" xfId="2466"/>
    <cellStyle name="20% - Accent2 12" xfId="1289"/>
    <cellStyle name="20% - Accent2 12 2" xfId="3959"/>
    <cellStyle name="20% - Accent2 12 2 2" xfId="9769"/>
    <cellStyle name="20% - Accent2 12 2 3" xfId="6847"/>
    <cellStyle name="20% - Accent2 12 3" xfId="8304"/>
    <cellStyle name="20% - Accent2 12 4" xfId="5403"/>
    <cellStyle name="20% - Accent2 12 5" xfId="2512"/>
    <cellStyle name="20% - Accent2 13" xfId="1871"/>
    <cellStyle name="20% - Accent2 13 2" xfId="4525"/>
    <cellStyle name="20% - Accent2 13 2 2" xfId="10335"/>
    <cellStyle name="20% - Accent2 13 2 3" xfId="7413"/>
    <cellStyle name="20% - Accent2 13 3" xfId="8890"/>
    <cellStyle name="20% - Accent2 13 4" xfId="5969"/>
    <cellStyle name="20% - Accent2 13 5" xfId="3077"/>
    <cellStyle name="20% - Accent2 14" xfId="3115"/>
    <cellStyle name="20% - Accent2 14 2" xfId="4560"/>
    <cellStyle name="20% - Accent2 14 2 2" xfId="10370"/>
    <cellStyle name="20% - Accent2 14 2 3" xfId="7448"/>
    <cellStyle name="20% - Accent2 14 3" xfId="8926"/>
    <cellStyle name="20% - Accent2 14 4" xfId="6004"/>
    <cellStyle name="20% - Accent2 15" xfId="3365"/>
    <cellStyle name="20% - Accent2 15 2" xfId="9175"/>
    <cellStyle name="20% - Accent2 15 3" xfId="6253"/>
    <cellStyle name="20% - Accent2 16" xfId="7702"/>
    <cellStyle name="20% - Accent2 17" xfId="4809"/>
    <cellStyle name="20% - Accent2 18" xfId="1918"/>
    <cellStyle name="20% - Accent2 19" xfId="10612"/>
    <cellStyle name="20% - Accent2 2" xfId="2"/>
    <cellStyle name="20% - Accent2 2 2" xfId="708"/>
    <cellStyle name="20% - Accent2 20" xfId="10629"/>
    <cellStyle name="20% - Accent2 21" xfId="10643"/>
    <cellStyle name="20% - Accent2 3" xfId="397"/>
    <cellStyle name="20% - Accent2 3 2" xfId="710"/>
    <cellStyle name="20% - Accent2 3 2 2" xfId="1610"/>
    <cellStyle name="20% - Accent2 3 2 2 2" xfId="4280"/>
    <cellStyle name="20% - Accent2 3 2 2 2 2" xfId="10090"/>
    <cellStyle name="20% - Accent2 3 2 2 2 3" xfId="7168"/>
    <cellStyle name="20% - Accent2 3 2 2 3" xfId="8625"/>
    <cellStyle name="20% - Accent2 3 2 2 4" xfId="5724"/>
    <cellStyle name="20% - Accent2 3 2 2 5" xfId="2833"/>
    <cellStyle name="20% - Accent2 3 2 3" xfId="3116"/>
    <cellStyle name="20% - Accent2 3 2 3 2" xfId="4561"/>
    <cellStyle name="20% - Accent2 3 2 3 2 2" xfId="10371"/>
    <cellStyle name="20% - Accent2 3 2 3 2 3" xfId="7449"/>
    <cellStyle name="20% - Accent2 3 2 3 3" xfId="8927"/>
    <cellStyle name="20% - Accent2 3 2 3 4" xfId="6005"/>
    <cellStyle name="20% - Accent2 3 2 4" xfId="3686"/>
    <cellStyle name="20% - Accent2 3 2 4 2" xfId="9496"/>
    <cellStyle name="20% - Accent2 3 2 4 3" xfId="6574"/>
    <cellStyle name="20% - Accent2 3 2 5" xfId="8023"/>
    <cellStyle name="20% - Accent2 3 2 6" xfId="5130"/>
    <cellStyle name="20% - Accent2 3 2 7" xfId="2239"/>
    <cellStyle name="20% - Accent2 3 3" xfId="709"/>
    <cellStyle name="20% - Accent2 3 4" xfId="579"/>
    <cellStyle name="20% - Accent2 3 4 2" xfId="1483"/>
    <cellStyle name="20% - Accent2 3 4 2 2" xfId="4153"/>
    <cellStyle name="20% - Accent2 3 4 2 2 2" xfId="9963"/>
    <cellStyle name="20% - Accent2 3 4 2 2 3" xfId="7041"/>
    <cellStyle name="20% - Accent2 3 4 2 3" xfId="8498"/>
    <cellStyle name="20% - Accent2 3 4 2 4" xfId="5597"/>
    <cellStyle name="20% - Accent2 3 4 2 5" xfId="2706"/>
    <cellStyle name="20% - Accent2 3 4 3" xfId="3559"/>
    <cellStyle name="20% - Accent2 3 4 3 2" xfId="9369"/>
    <cellStyle name="20% - Accent2 3 4 3 3" xfId="6447"/>
    <cellStyle name="20% - Accent2 3 4 4" xfId="7896"/>
    <cellStyle name="20% - Accent2 3 4 5" xfId="5003"/>
    <cellStyle name="20% - Accent2 3 4 6" xfId="2112"/>
    <cellStyle name="20% - Accent2 3 5" xfId="1308"/>
    <cellStyle name="20% - Accent2 3 5 2" xfId="3978"/>
    <cellStyle name="20% - Accent2 3 5 2 2" xfId="9788"/>
    <cellStyle name="20% - Accent2 3 5 2 3" xfId="6866"/>
    <cellStyle name="20% - Accent2 3 5 3" xfId="8323"/>
    <cellStyle name="20% - Accent2 3 5 4" xfId="5422"/>
    <cellStyle name="20% - Accent2 3 5 5" xfId="2531"/>
    <cellStyle name="20% - Accent2 3 6" xfId="3384"/>
    <cellStyle name="20% - Accent2 3 6 2" xfId="9194"/>
    <cellStyle name="20% - Accent2 3 6 3" xfId="6272"/>
    <cellStyle name="20% - Accent2 3 7" xfId="7721"/>
    <cellStyle name="20% - Accent2 3 8" xfId="4828"/>
    <cellStyle name="20% - Accent2 3 9" xfId="1937"/>
    <cellStyle name="20% - Accent2 4" xfId="418"/>
    <cellStyle name="20% - Accent2 4 2" xfId="711"/>
    <cellStyle name="20% - Accent2 4 2 2" xfId="1611"/>
    <cellStyle name="20% - Accent2 4 2 2 2" xfId="4281"/>
    <cellStyle name="20% - Accent2 4 2 2 2 2" xfId="10091"/>
    <cellStyle name="20% - Accent2 4 2 2 2 3" xfId="7169"/>
    <cellStyle name="20% - Accent2 4 2 2 3" xfId="8626"/>
    <cellStyle name="20% - Accent2 4 2 2 4" xfId="5725"/>
    <cellStyle name="20% - Accent2 4 2 2 5" xfId="2834"/>
    <cellStyle name="20% - Accent2 4 2 3" xfId="3687"/>
    <cellStyle name="20% - Accent2 4 2 3 2" xfId="9497"/>
    <cellStyle name="20% - Accent2 4 2 3 3" xfId="6575"/>
    <cellStyle name="20% - Accent2 4 2 4" xfId="8024"/>
    <cellStyle name="20% - Accent2 4 2 5" xfId="5131"/>
    <cellStyle name="20% - Accent2 4 2 6" xfId="2240"/>
    <cellStyle name="20% - Accent2 4 3" xfId="600"/>
    <cellStyle name="20% - Accent2 4 3 2" xfId="1504"/>
    <cellStyle name="20% - Accent2 4 3 2 2" xfId="4174"/>
    <cellStyle name="20% - Accent2 4 3 2 2 2" xfId="9984"/>
    <cellStyle name="20% - Accent2 4 3 2 2 3" xfId="7062"/>
    <cellStyle name="20% - Accent2 4 3 2 3" xfId="8519"/>
    <cellStyle name="20% - Accent2 4 3 2 4" xfId="5618"/>
    <cellStyle name="20% - Accent2 4 3 2 5" xfId="2727"/>
    <cellStyle name="20% - Accent2 4 3 3" xfId="3580"/>
    <cellStyle name="20% - Accent2 4 3 3 2" xfId="9390"/>
    <cellStyle name="20% - Accent2 4 3 3 3" xfId="6468"/>
    <cellStyle name="20% - Accent2 4 3 4" xfId="7917"/>
    <cellStyle name="20% - Accent2 4 3 5" xfId="5024"/>
    <cellStyle name="20% - Accent2 4 3 6" xfId="2133"/>
    <cellStyle name="20% - Accent2 4 4" xfId="1329"/>
    <cellStyle name="20% - Accent2 4 4 2" xfId="3999"/>
    <cellStyle name="20% - Accent2 4 4 2 2" xfId="9809"/>
    <cellStyle name="20% - Accent2 4 4 2 3" xfId="6887"/>
    <cellStyle name="20% - Accent2 4 4 3" xfId="8344"/>
    <cellStyle name="20% - Accent2 4 4 4" xfId="5443"/>
    <cellStyle name="20% - Accent2 4 4 5" xfId="2552"/>
    <cellStyle name="20% - Accent2 4 5" xfId="3117"/>
    <cellStyle name="20% - Accent2 4 5 2" xfId="4562"/>
    <cellStyle name="20% - Accent2 4 5 2 2" xfId="10372"/>
    <cellStyle name="20% - Accent2 4 5 2 3" xfId="7450"/>
    <cellStyle name="20% - Accent2 4 5 3" xfId="8928"/>
    <cellStyle name="20% - Accent2 4 5 4" xfId="6006"/>
    <cellStyle name="20% - Accent2 4 6" xfId="3405"/>
    <cellStyle name="20% - Accent2 4 6 2" xfId="9215"/>
    <cellStyle name="20% - Accent2 4 6 3" xfId="6293"/>
    <cellStyle name="20% - Accent2 4 7" xfId="7742"/>
    <cellStyle name="20% - Accent2 4 8" xfId="4849"/>
    <cellStyle name="20% - Accent2 4 9" xfId="1958"/>
    <cellStyle name="20% - Accent2 5" xfId="433"/>
    <cellStyle name="20% - Accent2 5 2" xfId="712"/>
    <cellStyle name="20% - Accent2 5 2 2" xfId="1612"/>
    <cellStyle name="20% - Accent2 5 2 2 2" xfId="4282"/>
    <cellStyle name="20% - Accent2 5 2 2 2 2" xfId="10092"/>
    <cellStyle name="20% - Accent2 5 2 2 2 3" xfId="7170"/>
    <cellStyle name="20% - Accent2 5 2 2 3" xfId="8627"/>
    <cellStyle name="20% - Accent2 5 2 2 4" xfId="5726"/>
    <cellStyle name="20% - Accent2 5 2 2 5" xfId="2835"/>
    <cellStyle name="20% - Accent2 5 2 3" xfId="3688"/>
    <cellStyle name="20% - Accent2 5 2 3 2" xfId="9498"/>
    <cellStyle name="20% - Accent2 5 2 3 3" xfId="6576"/>
    <cellStyle name="20% - Accent2 5 2 4" xfId="8025"/>
    <cellStyle name="20% - Accent2 5 2 5" xfId="5132"/>
    <cellStyle name="20% - Accent2 5 2 6" xfId="2241"/>
    <cellStyle name="20% - Accent2 5 3" xfId="615"/>
    <cellStyle name="20% - Accent2 5 3 2" xfId="1519"/>
    <cellStyle name="20% - Accent2 5 3 2 2" xfId="4189"/>
    <cellStyle name="20% - Accent2 5 3 2 2 2" xfId="9999"/>
    <cellStyle name="20% - Accent2 5 3 2 2 3" xfId="7077"/>
    <cellStyle name="20% - Accent2 5 3 2 3" xfId="8534"/>
    <cellStyle name="20% - Accent2 5 3 2 4" xfId="5633"/>
    <cellStyle name="20% - Accent2 5 3 2 5" xfId="2742"/>
    <cellStyle name="20% - Accent2 5 3 3" xfId="3595"/>
    <cellStyle name="20% - Accent2 5 3 3 2" xfId="9405"/>
    <cellStyle name="20% - Accent2 5 3 3 3" xfId="6483"/>
    <cellStyle name="20% - Accent2 5 3 4" xfId="7932"/>
    <cellStyle name="20% - Accent2 5 3 5" xfId="5039"/>
    <cellStyle name="20% - Accent2 5 3 6" xfId="2148"/>
    <cellStyle name="20% - Accent2 5 4" xfId="1344"/>
    <cellStyle name="20% - Accent2 5 4 2" xfId="4014"/>
    <cellStyle name="20% - Accent2 5 4 2 2" xfId="9824"/>
    <cellStyle name="20% - Accent2 5 4 2 3" xfId="6902"/>
    <cellStyle name="20% - Accent2 5 4 3" xfId="8359"/>
    <cellStyle name="20% - Accent2 5 4 4" xfId="5458"/>
    <cellStyle name="20% - Accent2 5 4 5" xfId="2567"/>
    <cellStyle name="20% - Accent2 5 5" xfId="3118"/>
    <cellStyle name="20% - Accent2 5 5 2" xfId="4563"/>
    <cellStyle name="20% - Accent2 5 5 2 2" xfId="10373"/>
    <cellStyle name="20% - Accent2 5 5 2 3" xfId="7451"/>
    <cellStyle name="20% - Accent2 5 5 3" xfId="8929"/>
    <cellStyle name="20% - Accent2 5 5 4" xfId="6007"/>
    <cellStyle name="20% - Accent2 5 6" xfId="3420"/>
    <cellStyle name="20% - Accent2 5 6 2" xfId="9230"/>
    <cellStyle name="20% - Accent2 5 6 3" xfId="6308"/>
    <cellStyle name="20% - Accent2 5 7" xfId="7757"/>
    <cellStyle name="20% - Accent2 5 8" xfId="4864"/>
    <cellStyle name="20% - Accent2 5 9" xfId="1973"/>
    <cellStyle name="20% - Accent2 6" xfId="447"/>
    <cellStyle name="20% - Accent2 6 2" xfId="713"/>
    <cellStyle name="20% - Accent2 6 2 2" xfId="1613"/>
    <cellStyle name="20% - Accent2 6 2 2 2" xfId="4283"/>
    <cellStyle name="20% - Accent2 6 2 2 2 2" xfId="10093"/>
    <cellStyle name="20% - Accent2 6 2 2 2 3" xfId="7171"/>
    <cellStyle name="20% - Accent2 6 2 2 3" xfId="8628"/>
    <cellStyle name="20% - Accent2 6 2 2 4" xfId="5727"/>
    <cellStyle name="20% - Accent2 6 2 2 5" xfId="2836"/>
    <cellStyle name="20% - Accent2 6 2 3" xfId="3689"/>
    <cellStyle name="20% - Accent2 6 2 3 2" xfId="9499"/>
    <cellStyle name="20% - Accent2 6 2 3 3" xfId="6577"/>
    <cellStyle name="20% - Accent2 6 2 4" xfId="8026"/>
    <cellStyle name="20% - Accent2 6 2 5" xfId="5133"/>
    <cellStyle name="20% - Accent2 6 2 6" xfId="2242"/>
    <cellStyle name="20% - Accent2 6 3" xfId="629"/>
    <cellStyle name="20% - Accent2 6 3 2" xfId="1533"/>
    <cellStyle name="20% - Accent2 6 3 2 2" xfId="4203"/>
    <cellStyle name="20% - Accent2 6 3 2 2 2" xfId="10013"/>
    <cellStyle name="20% - Accent2 6 3 2 2 3" xfId="7091"/>
    <cellStyle name="20% - Accent2 6 3 2 3" xfId="8548"/>
    <cellStyle name="20% - Accent2 6 3 2 4" xfId="5647"/>
    <cellStyle name="20% - Accent2 6 3 2 5" xfId="2756"/>
    <cellStyle name="20% - Accent2 6 3 3" xfId="3609"/>
    <cellStyle name="20% - Accent2 6 3 3 2" xfId="9419"/>
    <cellStyle name="20% - Accent2 6 3 3 3" xfId="6497"/>
    <cellStyle name="20% - Accent2 6 3 4" xfId="7946"/>
    <cellStyle name="20% - Accent2 6 3 5" xfId="5053"/>
    <cellStyle name="20% - Accent2 6 3 6" xfId="2162"/>
    <cellStyle name="20% - Accent2 6 4" xfId="1358"/>
    <cellStyle name="20% - Accent2 6 4 2" xfId="4028"/>
    <cellStyle name="20% - Accent2 6 4 2 2" xfId="9838"/>
    <cellStyle name="20% - Accent2 6 4 2 3" xfId="6916"/>
    <cellStyle name="20% - Accent2 6 4 3" xfId="8373"/>
    <cellStyle name="20% - Accent2 6 4 4" xfId="5472"/>
    <cellStyle name="20% - Accent2 6 4 5" xfId="2581"/>
    <cellStyle name="20% - Accent2 6 5" xfId="3119"/>
    <cellStyle name="20% - Accent2 6 5 2" xfId="4564"/>
    <cellStyle name="20% - Accent2 6 5 2 2" xfId="10374"/>
    <cellStyle name="20% - Accent2 6 5 2 3" xfId="7452"/>
    <cellStyle name="20% - Accent2 6 5 3" xfId="8930"/>
    <cellStyle name="20% - Accent2 6 5 4" xfId="6008"/>
    <cellStyle name="20% - Accent2 6 6" xfId="3434"/>
    <cellStyle name="20% - Accent2 6 6 2" xfId="9244"/>
    <cellStyle name="20% - Accent2 6 6 3" xfId="6322"/>
    <cellStyle name="20% - Accent2 6 7" xfId="7771"/>
    <cellStyle name="20% - Accent2 6 8" xfId="4878"/>
    <cellStyle name="20% - Accent2 6 9" xfId="1987"/>
    <cellStyle name="20% - Accent2 7" xfId="466"/>
    <cellStyle name="20% - Accent2 7 2" xfId="714"/>
    <cellStyle name="20% - Accent2 7 2 2" xfId="1614"/>
    <cellStyle name="20% - Accent2 7 2 2 2" xfId="4284"/>
    <cellStyle name="20% - Accent2 7 2 2 2 2" xfId="10094"/>
    <cellStyle name="20% - Accent2 7 2 2 2 3" xfId="7172"/>
    <cellStyle name="20% - Accent2 7 2 2 3" xfId="8629"/>
    <cellStyle name="20% - Accent2 7 2 2 4" xfId="5728"/>
    <cellStyle name="20% - Accent2 7 2 2 5" xfId="2837"/>
    <cellStyle name="20% - Accent2 7 2 3" xfId="3690"/>
    <cellStyle name="20% - Accent2 7 2 3 2" xfId="9500"/>
    <cellStyle name="20% - Accent2 7 2 3 3" xfId="6578"/>
    <cellStyle name="20% - Accent2 7 2 4" xfId="8027"/>
    <cellStyle name="20% - Accent2 7 2 5" xfId="5134"/>
    <cellStyle name="20% - Accent2 7 2 6" xfId="2243"/>
    <cellStyle name="20% - Accent2 7 3" xfId="648"/>
    <cellStyle name="20% - Accent2 7 3 2" xfId="1552"/>
    <cellStyle name="20% - Accent2 7 3 2 2" xfId="4222"/>
    <cellStyle name="20% - Accent2 7 3 2 2 2" xfId="10032"/>
    <cellStyle name="20% - Accent2 7 3 2 2 3" xfId="7110"/>
    <cellStyle name="20% - Accent2 7 3 2 3" xfId="8567"/>
    <cellStyle name="20% - Accent2 7 3 2 4" xfId="5666"/>
    <cellStyle name="20% - Accent2 7 3 2 5" xfId="2775"/>
    <cellStyle name="20% - Accent2 7 3 3" xfId="3628"/>
    <cellStyle name="20% - Accent2 7 3 3 2" xfId="9438"/>
    <cellStyle name="20% - Accent2 7 3 3 3" xfId="6516"/>
    <cellStyle name="20% - Accent2 7 3 4" xfId="7965"/>
    <cellStyle name="20% - Accent2 7 3 5" xfId="5072"/>
    <cellStyle name="20% - Accent2 7 3 6" xfId="2181"/>
    <cellStyle name="20% - Accent2 7 4" xfId="1377"/>
    <cellStyle name="20% - Accent2 7 4 2" xfId="4047"/>
    <cellStyle name="20% - Accent2 7 4 2 2" xfId="9857"/>
    <cellStyle name="20% - Accent2 7 4 2 3" xfId="6935"/>
    <cellStyle name="20% - Accent2 7 4 3" xfId="8392"/>
    <cellStyle name="20% - Accent2 7 4 4" xfId="5491"/>
    <cellStyle name="20% - Accent2 7 4 5" xfId="2600"/>
    <cellStyle name="20% - Accent2 7 5" xfId="3120"/>
    <cellStyle name="20% - Accent2 7 5 2" xfId="4565"/>
    <cellStyle name="20% - Accent2 7 5 2 2" xfId="10375"/>
    <cellStyle name="20% - Accent2 7 5 2 3" xfId="7453"/>
    <cellStyle name="20% - Accent2 7 5 3" xfId="8931"/>
    <cellStyle name="20% - Accent2 7 5 4" xfId="6009"/>
    <cellStyle name="20% - Accent2 7 6" xfId="3453"/>
    <cellStyle name="20% - Accent2 7 6 2" xfId="9263"/>
    <cellStyle name="20% - Accent2 7 6 3" xfId="6341"/>
    <cellStyle name="20% - Accent2 7 7" xfId="7790"/>
    <cellStyle name="20% - Accent2 7 8" xfId="4897"/>
    <cellStyle name="20% - Accent2 7 9" xfId="2006"/>
    <cellStyle name="20% - Accent2 8" xfId="504"/>
    <cellStyle name="20% - Accent2 8 2" xfId="682"/>
    <cellStyle name="20% - Accent2 8 2 2" xfId="1586"/>
    <cellStyle name="20% - Accent2 8 2 2 2" xfId="4256"/>
    <cellStyle name="20% - Accent2 8 2 2 2 2" xfId="10066"/>
    <cellStyle name="20% - Accent2 8 2 2 2 3" xfId="7144"/>
    <cellStyle name="20% - Accent2 8 2 2 3" xfId="8601"/>
    <cellStyle name="20% - Accent2 8 2 2 4" xfId="5700"/>
    <cellStyle name="20% - Accent2 8 2 2 5" xfId="2809"/>
    <cellStyle name="20% - Accent2 8 2 3" xfId="3662"/>
    <cellStyle name="20% - Accent2 8 2 3 2" xfId="9472"/>
    <cellStyle name="20% - Accent2 8 2 3 3" xfId="6550"/>
    <cellStyle name="20% - Accent2 8 2 4" xfId="7999"/>
    <cellStyle name="20% - Accent2 8 2 5" xfId="5106"/>
    <cellStyle name="20% - Accent2 8 2 6" xfId="2215"/>
    <cellStyle name="20% - Accent2 8 3" xfId="1411"/>
    <cellStyle name="20% - Accent2 8 3 2" xfId="4081"/>
    <cellStyle name="20% - Accent2 8 3 2 2" xfId="9891"/>
    <cellStyle name="20% - Accent2 8 3 2 3" xfId="6969"/>
    <cellStyle name="20% - Accent2 8 3 3" xfId="8426"/>
    <cellStyle name="20% - Accent2 8 3 4" xfId="5525"/>
    <cellStyle name="20% - Accent2 8 3 5" xfId="2634"/>
    <cellStyle name="20% - Accent2 8 4" xfId="3487"/>
    <cellStyle name="20% - Accent2 8 4 2" xfId="9297"/>
    <cellStyle name="20% - Accent2 8 4 3" xfId="6375"/>
    <cellStyle name="20% - Accent2 8 5" xfId="7824"/>
    <cellStyle name="20% - Accent2 8 6" xfId="4931"/>
    <cellStyle name="20% - Accent2 8 7" xfId="2040"/>
    <cellStyle name="20% - Accent2 9" xfId="707"/>
    <cellStyle name="20% - Accent2 9 2" xfId="1609"/>
    <cellStyle name="20% - Accent2 9 2 2" xfId="4279"/>
    <cellStyle name="20% - Accent2 9 2 2 2" xfId="10089"/>
    <cellStyle name="20% - Accent2 9 2 2 3" xfId="7167"/>
    <cellStyle name="20% - Accent2 9 2 3" xfId="8624"/>
    <cellStyle name="20% - Accent2 9 2 4" xfId="5723"/>
    <cellStyle name="20% - Accent2 9 2 5" xfId="2832"/>
    <cellStyle name="20% - Accent2 9 3" xfId="3685"/>
    <cellStyle name="20% - Accent2 9 3 2" xfId="9495"/>
    <cellStyle name="20% - Accent2 9 3 3" xfId="6573"/>
    <cellStyle name="20% - Accent2 9 4" xfId="8022"/>
    <cellStyle name="20% - Accent2 9 5" xfId="5129"/>
    <cellStyle name="20% - Accent2 9 6" xfId="2238"/>
    <cellStyle name="20% - Accent3" xfId="373" builtinId="38" customBuiltin="1"/>
    <cellStyle name="20% - Accent3 10" xfId="562"/>
    <cellStyle name="20% - Accent3 10 2" xfId="1466"/>
    <cellStyle name="20% - Accent3 10 2 2" xfId="4136"/>
    <cellStyle name="20% - Accent3 10 2 2 2" xfId="9946"/>
    <cellStyle name="20% - Accent3 10 2 2 3" xfId="7024"/>
    <cellStyle name="20% - Accent3 10 2 3" xfId="8481"/>
    <cellStyle name="20% - Accent3 10 2 4" xfId="5580"/>
    <cellStyle name="20% - Accent3 10 2 5" xfId="2689"/>
    <cellStyle name="20% - Accent3 10 3" xfId="3542"/>
    <cellStyle name="20% - Accent3 10 3 2" xfId="9352"/>
    <cellStyle name="20% - Accent3 10 3 3" xfId="6430"/>
    <cellStyle name="20% - Accent3 10 4" xfId="7879"/>
    <cellStyle name="20% - Accent3 10 5" xfId="4986"/>
    <cellStyle name="20% - Accent3 10 6" xfId="2095"/>
    <cellStyle name="20% - Accent3 11" xfId="1241"/>
    <cellStyle name="20% - Accent3 11 2" xfId="1859"/>
    <cellStyle name="20% - Accent3 11 2 2" xfId="4509"/>
    <cellStyle name="20% - Accent3 11 2 2 2" xfId="10319"/>
    <cellStyle name="20% - Accent3 11 2 2 3" xfId="7397"/>
    <cellStyle name="20% - Accent3 11 2 3" xfId="8874"/>
    <cellStyle name="20% - Accent3 11 2 4" xfId="5953"/>
    <cellStyle name="20% - Accent3 11 2 5" xfId="3062"/>
    <cellStyle name="20% - Accent3 11 3" xfId="3915"/>
    <cellStyle name="20% - Accent3 11 3 2" xfId="9725"/>
    <cellStyle name="20% - Accent3 11 3 3" xfId="6803"/>
    <cellStyle name="20% - Accent3 11 4" xfId="8256"/>
    <cellStyle name="20% - Accent3 11 5" xfId="5359"/>
    <cellStyle name="20% - Accent3 11 6" xfId="2468"/>
    <cellStyle name="20% - Accent3 12" xfId="1291"/>
    <cellStyle name="20% - Accent3 12 2" xfId="3961"/>
    <cellStyle name="20% - Accent3 12 2 2" xfId="9771"/>
    <cellStyle name="20% - Accent3 12 2 3" xfId="6849"/>
    <cellStyle name="20% - Accent3 12 3" xfId="8306"/>
    <cellStyle name="20% - Accent3 12 4" xfId="5405"/>
    <cellStyle name="20% - Accent3 12 5" xfId="2514"/>
    <cellStyle name="20% - Accent3 13" xfId="1873"/>
    <cellStyle name="20% - Accent3 13 2" xfId="4527"/>
    <cellStyle name="20% - Accent3 13 2 2" xfId="10337"/>
    <cellStyle name="20% - Accent3 13 2 3" xfId="7415"/>
    <cellStyle name="20% - Accent3 13 3" xfId="8892"/>
    <cellStyle name="20% - Accent3 13 4" xfId="5971"/>
    <cellStyle name="20% - Accent3 13 5" xfId="3079"/>
    <cellStyle name="20% - Accent3 14" xfId="3121"/>
    <cellStyle name="20% - Accent3 14 2" xfId="4566"/>
    <cellStyle name="20% - Accent3 14 2 2" xfId="10376"/>
    <cellStyle name="20% - Accent3 14 2 3" xfId="7454"/>
    <cellStyle name="20% - Accent3 14 3" xfId="8932"/>
    <cellStyle name="20% - Accent3 14 4" xfId="6010"/>
    <cellStyle name="20% - Accent3 15" xfId="3367"/>
    <cellStyle name="20% - Accent3 15 2" xfId="9177"/>
    <cellStyle name="20% - Accent3 15 3" xfId="6255"/>
    <cellStyle name="20% - Accent3 16" xfId="7704"/>
    <cellStyle name="20% - Accent3 17" xfId="4811"/>
    <cellStyle name="20% - Accent3 18" xfId="1920"/>
    <cellStyle name="20% - Accent3 19" xfId="10614"/>
    <cellStyle name="20% - Accent3 2" xfId="3"/>
    <cellStyle name="20% - Accent3 2 2" xfId="716"/>
    <cellStyle name="20% - Accent3 20" xfId="10631"/>
    <cellStyle name="20% - Accent3 21" xfId="10645"/>
    <cellStyle name="20% - Accent3 3" xfId="399"/>
    <cellStyle name="20% - Accent3 3 2" xfId="718"/>
    <cellStyle name="20% - Accent3 3 2 2" xfId="1616"/>
    <cellStyle name="20% - Accent3 3 2 2 2" xfId="4286"/>
    <cellStyle name="20% - Accent3 3 2 2 2 2" xfId="10096"/>
    <cellStyle name="20% - Accent3 3 2 2 2 3" xfId="7174"/>
    <cellStyle name="20% - Accent3 3 2 2 3" xfId="8631"/>
    <cellStyle name="20% - Accent3 3 2 2 4" xfId="5730"/>
    <cellStyle name="20% - Accent3 3 2 2 5" xfId="2839"/>
    <cellStyle name="20% - Accent3 3 2 3" xfId="3122"/>
    <cellStyle name="20% - Accent3 3 2 3 2" xfId="4567"/>
    <cellStyle name="20% - Accent3 3 2 3 2 2" xfId="10377"/>
    <cellStyle name="20% - Accent3 3 2 3 2 3" xfId="7455"/>
    <cellStyle name="20% - Accent3 3 2 3 3" xfId="8933"/>
    <cellStyle name="20% - Accent3 3 2 3 4" xfId="6011"/>
    <cellStyle name="20% - Accent3 3 2 4" xfId="3692"/>
    <cellStyle name="20% - Accent3 3 2 4 2" xfId="9502"/>
    <cellStyle name="20% - Accent3 3 2 4 3" xfId="6580"/>
    <cellStyle name="20% - Accent3 3 2 5" xfId="8029"/>
    <cellStyle name="20% - Accent3 3 2 6" xfId="5136"/>
    <cellStyle name="20% - Accent3 3 2 7" xfId="2245"/>
    <cellStyle name="20% - Accent3 3 3" xfId="717"/>
    <cellStyle name="20% - Accent3 3 4" xfId="581"/>
    <cellStyle name="20% - Accent3 3 4 2" xfId="1485"/>
    <cellStyle name="20% - Accent3 3 4 2 2" xfId="4155"/>
    <cellStyle name="20% - Accent3 3 4 2 2 2" xfId="9965"/>
    <cellStyle name="20% - Accent3 3 4 2 2 3" xfId="7043"/>
    <cellStyle name="20% - Accent3 3 4 2 3" xfId="8500"/>
    <cellStyle name="20% - Accent3 3 4 2 4" xfId="5599"/>
    <cellStyle name="20% - Accent3 3 4 2 5" xfId="2708"/>
    <cellStyle name="20% - Accent3 3 4 3" xfId="3561"/>
    <cellStyle name="20% - Accent3 3 4 3 2" xfId="9371"/>
    <cellStyle name="20% - Accent3 3 4 3 3" xfId="6449"/>
    <cellStyle name="20% - Accent3 3 4 4" xfId="7898"/>
    <cellStyle name="20% - Accent3 3 4 5" xfId="5005"/>
    <cellStyle name="20% - Accent3 3 4 6" xfId="2114"/>
    <cellStyle name="20% - Accent3 3 5" xfId="1310"/>
    <cellStyle name="20% - Accent3 3 5 2" xfId="3980"/>
    <cellStyle name="20% - Accent3 3 5 2 2" xfId="9790"/>
    <cellStyle name="20% - Accent3 3 5 2 3" xfId="6868"/>
    <cellStyle name="20% - Accent3 3 5 3" xfId="8325"/>
    <cellStyle name="20% - Accent3 3 5 4" xfId="5424"/>
    <cellStyle name="20% - Accent3 3 5 5" xfId="2533"/>
    <cellStyle name="20% - Accent3 3 6" xfId="3386"/>
    <cellStyle name="20% - Accent3 3 6 2" xfId="9196"/>
    <cellStyle name="20% - Accent3 3 6 3" xfId="6274"/>
    <cellStyle name="20% - Accent3 3 7" xfId="7723"/>
    <cellStyle name="20% - Accent3 3 8" xfId="4830"/>
    <cellStyle name="20% - Accent3 3 9" xfId="1939"/>
    <cellStyle name="20% - Accent3 4" xfId="420"/>
    <cellStyle name="20% - Accent3 4 2" xfId="719"/>
    <cellStyle name="20% - Accent3 4 2 2" xfId="1617"/>
    <cellStyle name="20% - Accent3 4 2 2 2" xfId="4287"/>
    <cellStyle name="20% - Accent3 4 2 2 2 2" xfId="10097"/>
    <cellStyle name="20% - Accent3 4 2 2 2 3" xfId="7175"/>
    <cellStyle name="20% - Accent3 4 2 2 3" xfId="8632"/>
    <cellStyle name="20% - Accent3 4 2 2 4" xfId="5731"/>
    <cellStyle name="20% - Accent3 4 2 2 5" xfId="2840"/>
    <cellStyle name="20% - Accent3 4 2 3" xfId="3693"/>
    <cellStyle name="20% - Accent3 4 2 3 2" xfId="9503"/>
    <cellStyle name="20% - Accent3 4 2 3 3" xfId="6581"/>
    <cellStyle name="20% - Accent3 4 2 4" xfId="8030"/>
    <cellStyle name="20% - Accent3 4 2 5" xfId="5137"/>
    <cellStyle name="20% - Accent3 4 2 6" xfId="2246"/>
    <cellStyle name="20% - Accent3 4 3" xfId="602"/>
    <cellStyle name="20% - Accent3 4 3 2" xfId="1506"/>
    <cellStyle name="20% - Accent3 4 3 2 2" xfId="4176"/>
    <cellStyle name="20% - Accent3 4 3 2 2 2" xfId="9986"/>
    <cellStyle name="20% - Accent3 4 3 2 2 3" xfId="7064"/>
    <cellStyle name="20% - Accent3 4 3 2 3" xfId="8521"/>
    <cellStyle name="20% - Accent3 4 3 2 4" xfId="5620"/>
    <cellStyle name="20% - Accent3 4 3 2 5" xfId="2729"/>
    <cellStyle name="20% - Accent3 4 3 3" xfId="3582"/>
    <cellStyle name="20% - Accent3 4 3 3 2" xfId="9392"/>
    <cellStyle name="20% - Accent3 4 3 3 3" xfId="6470"/>
    <cellStyle name="20% - Accent3 4 3 4" xfId="7919"/>
    <cellStyle name="20% - Accent3 4 3 5" xfId="5026"/>
    <cellStyle name="20% - Accent3 4 3 6" xfId="2135"/>
    <cellStyle name="20% - Accent3 4 4" xfId="1331"/>
    <cellStyle name="20% - Accent3 4 4 2" xfId="4001"/>
    <cellStyle name="20% - Accent3 4 4 2 2" xfId="9811"/>
    <cellStyle name="20% - Accent3 4 4 2 3" xfId="6889"/>
    <cellStyle name="20% - Accent3 4 4 3" xfId="8346"/>
    <cellStyle name="20% - Accent3 4 4 4" xfId="5445"/>
    <cellStyle name="20% - Accent3 4 4 5" xfId="2554"/>
    <cellStyle name="20% - Accent3 4 5" xfId="3123"/>
    <cellStyle name="20% - Accent3 4 5 2" xfId="4568"/>
    <cellStyle name="20% - Accent3 4 5 2 2" xfId="10378"/>
    <cellStyle name="20% - Accent3 4 5 2 3" xfId="7456"/>
    <cellStyle name="20% - Accent3 4 5 3" xfId="8934"/>
    <cellStyle name="20% - Accent3 4 5 4" xfId="6012"/>
    <cellStyle name="20% - Accent3 4 6" xfId="3407"/>
    <cellStyle name="20% - Accent3 4 6 2" xfId="9217"/>
    <cellStyle name="20% - Accent3 4 6 3" xfId="6295"/>
    <cellStyle name="20% - Accent3 4 7" xfId="7744"/>
    <cellStyle name="20% - Accent3 4 8" xfId="4851"/>
    <cellStyle name="20% - Accent3 4 9" xfId="1960"/>
    <cellStyle name="20% - Accent3 5" xfId="435"/>
    <cellStyle name="20% - Accent3 5 2" xfId="720"/>
    <cellStyle name="20% - Accent3 5 2 2" xfId="1618"/>
    <cellStyle name="20% - Accent3 5 2 2 2" xfId="4288"/>
    <cellStyle name="20% - Accent3 5 2 2 2 2" xfId="10098"/>
    <cellStyle name="20% - Accent3 5 2 2 2 3" xfId="7176"/>
    <cellStyle name="20% - Accent3 5 2 2 3" xfId="8633"/>
    <cellStyle name="20% - Accent3 5 2 2 4" xfId="5732"/>
    <cellStyle name="20% - Accent3 5 2 2 5" xfId="2841"/>
    <cellStyle name="20% - Accent3 5 2 3" xfId="3694"/>
    <cellStyle name="20% - Accent3 5 2 3 2" xfId="9504"/>
    <cellStyle name="20% - Accent3 5 2 3 3" xfId="6582"/>
    <cellStyle name="20% - Accent3 5 2 4" xfId="8031"/>
    <cellStyle name="20% - Accent3 5 2 5" xfId="5138"/>
    <cellStyle name="20% - Accent3 5 2 6" xfId="2247"/>
    <cellStyle name="20% - Accent3 5 3" xfId="617"/>
    <cellStyle name="20% - Accent3 5 3 2" xfId="1521"/>
    <cellStyle name="20% - Accent3 5 3 2 2" xfId="4191"/>
    <cellStyle name="20% - Accent3 5 3 2 2 2" xfId="10001"/>
    <cellStyle name="20% - Accent3 5 3 2 2 3" xfId="7079"/>
    <cellStyle name="20% - Accent3 5 3 2 3" xfId="8536"/>
    <cellStyle name="20% - Accent3 5 3 2 4" xfId="5635"/>
    <cellStyle name="20% - Accent3 5 3 2 5" xfId="2744"/>
    <cellStyle name="20% - Accent3 5 3 3" xfId="3597"/>
    <cellStyle name="20% - Accent3 5 3 3 2" xfId="9407"/>
    <cellStyle name="20% - Accent3 5 3 3 3" xfId="6485"/>
    <cellStyle name="20% - Accent3 5 3 4" xfId="7934"/>
    <cellStyle name="20% - Accent3 5 3 5" xfId="5041"/>
    <cellStyle name="20% - Accent3 5 3 6" xfId="2150"/>
    <cellStyle name="20% - Accent3 5 4" xfId="1346"/>
    <cellStyle name="20% - Accent3 5 4 2" xfId="4016"/>
    <cellStyle name="20% - Accent3 5 4 2 2" xfId="9826"/>
    <cellStyle name="20% - Accent3 5 4 2 3" xfId="6904"/>
    <cellStyle name="20% - Accent3 5 4 3" xfId="8361"/>
    <cellStyle name="20% - Accent3 5 4 4" xfId="5460"/>
    <cellStyle name="20% - Accent3 5 4 5" xfId="2569"/>
    <cellStyle name="20% - Accent3 5 5" xfId="3124"/>
    <cellStyle name="20% - Accent3 5 5 2" xfId="4569"/>
    <cellStyle name="20% - Accent3 5 5 2 2" xfId="10379"/>
    <cellStyle name="20% - Accent3 5 5 2 3" xfId="7457"/>
    <cellStyle name="20% - Accent3 5 5 3" xfId="8935"/>
    <cellStyle name="20% - Accent3 5 5 4" xfId="6013"/>
    <cellStyle name="20% - Accent3 5 6" xfId="3422"/>
    <cellStyle name="20% - Accent3 5 6 2" xfId="9232"/>
    <cellStyle name="20% - Accent3 5 6 3" xfId="6310"/>
    <cellStyle name="20% - Accent3 5 7" xfId="7759"/>
    <cellStyle name="20% - Accent3 5 8" xfId="4866"/>
    <cellStyle name="20% - Accent3 5 9" xfId="1975"/>
    <cellStyle name="20% - Accent3 6" xfId="449"/>
    <cellStyle name="20% - Accent3 6 2" xfId="721"/>
    <cellStyle name="20% - Accent3 6 2 2" xfId="1619"/>
    <cellStyle name="20% - Accent3 6 2 2 2" xfId="4289"/>
    <cellStyle name="20% - Accent3 6 2 2 2 2" xfId="10099"/>
    <cellStyle name="20% - Accent3 6 2 2 2 3" xfId="7177"/>
    <cellStyle name="20% - Accent3 6 2 2 3" xfId="8634"/>
    <cellStyle name="20% - Accent3 6 2 2 4" xfId="5733"/>
    <cellStyle name="20% - Accent3 6 2 2 5" xfId="2842"/>
    <cellStyle name="20% - Accent3 6 2 3" xfId="3695"/>
    <cellStyle name="20% - Accent3 6 2 3 2" xfId="9505"/>
    <cellStyle name="20% - Accent3 6 2 3 3" xfId="6583"/>
    <cellStyle name="20% - Accent3 6 2 4" xfId="8032"/>
    <cellStyle name="20% - Accent3 6 2 5" xfId="5139"/>
    <cellStyle name="20% - Accent3 6 2 6" xfId="2248"/>
    <cellStyle name="20% - Accent3 6 3" xfId="631"/>
    <cellStyle name="20% - Accent3 6 3 2" xfId="1535"/>
    <cellStyle name="20% - Accent3 6 3 2 2" xfId="4205"/>
    <cellStyle name="20% - Accent3 6 3 2 2 2" xfId="10015"/>
    <cellStyle name="20% - Accent3 6 3 2 2 3" xfId="7093"/>
    <cellStyle name="20% - Accent3 6 3 2 3" xfId="8550"/>
    <cellStyle name="20% - Accent3 6 3 2 4" xfId="5649"/>
    <cellStyle name="20% - Accent3 6 3 2 5" xfId="2758"/>
    <cellStyle name="20% - Accent3 6 3 3" xfId="3611"/>
    <cellStyle name="20% - Accent3 6 3 3 2" xfId="9421"/>
    <cellStyle name="20% - Accent3 6 3 3 3" xfId="6499"/>
    <cellStyle name="20% - Accent3 6 3 4" xfId="7948"/>
    <cellStyle name="20% - Accent3 6 3 5" xfId="5055"/>
    <cellStyle name="20% - Accent3 6 3 6" xfId="2164"/>
    <cellStyle name="20% - Accent3 6 4" xfId="1360"/>
    <cellStyle name="20% - Accent3 6 4 2" xfId="4030"/>
    <cellStyle name="20% - Accent3 6 4 2 2" xfId="9840"/>
    <cellStyle name="20% - Accent3 6 4 2 3" xfId="6918"/>
    <cellStyle name="20% - Accent3 6 4 3" xfId="8375"/>
    <cellStyle name="20% - Accent3 6 4 4" xfId="5474"/>
    <cellStyle name="20% - Accent3 6 4 5" xfId="2583"/>
    <cellStyle name="20% - Accent3 6 5" xfId="3125"/>
    <cellStyle name="20% - Accent3 6 5 2" xfId="4570"/>
    <cellStyle name="20% - Accent3 6 5 2 2" xfId="10380"/>
    <cellStyle name="20% - Accent3 6 5 2 3" xfId="7458"/>
    <cellStyle name="20% - Accent3 6 5 3" xfId="8936"/>
    <cellStyle name="20% - Accent3 6 5 4" xfId="6014"/>
    <cellStyle name="20% - Accent3 6 6" xfId="3436"/>
    <cellStyle name="20% - Accent3 6 6 2" xfId="9246"/>
    <cellStyle name="20% - Accent3 6 6 3" xfId="6324"/>
    <cellStyle name="20% - Accent3 6 7" xfId="7773"/>
    <cellStyle name="20% - Accent3 6 8" xfId="4880"/>
    <cellStyle name="20% - Accent3 6 9" xfId="1989"/>
    <cellStyle name="20% - Accent3 7" xfId="468"/>
    <cellStyle name="20% - Accent3 7 2" xfId="722"/>
    <cellStyle name="20% - Accent3 7 2 2" xfId="1620"/>
    <cellStyle name="20% - Accent3 7 2 2 2" xfId="4290"/>
    <cellStyle name="20% - Accent3 7 2 2 2 2" xfId="10100"/>
    <cellStyle name="20% - Accent3 7 2 2 2 3" xfId="7178"/>
    <cellStyle name="20% - Accent3 7 2 2 3" xfId="8635"/>
    <cellStyle name="20% - Accent3 7 2 2 4" xfId="5734"/>
    <cellStyle name="20% - Accent3 7 2 2 5" xfId="2843"/>
    <cellStyle name="20% - Accent3 7 2 3" xfId="3696"/>
    <cellStyle name="20% - Accent3 7 2 3 2" xfId="9506"/>
    <cellStyle name="20% - Accent3 7 2 3 3" xfId="6584"/>
    <cellStyle name="20% - Accent3 7 2 4" xfId="8033"/>
    <cellStyle name="20% - Accent3 7 2 5" xfId="5140"/>
    <cellStyle name="20% - Accent3 7 2 6" xfId="2249"/>
    <cellStyle name="20% - Accent3 7 3" xfId="650"/>
    <cellStyle name="20% - Accent3 7 3 2" xfId="1554"/>
    <cellStyle name="20% - Accent3 7 3 2 2" xfId="4224"/>
    <cellStyle name="20% - Accent3 7 3 2 2 2" xfId="10034"/>
    <cellStyle name="20% - Accent3 7 3 2 2 3" xfId="7112"/>
    <cellStyle name="20% - Accent3 7 3 2 3" xfId="8569"/>
    <cellStyle name="20% - Accent3 7 3 2 4" xfId="5668"/>
    <cellStyle name="20% - Accent3 7 3 2 5" xfId="2777"/>
    <cellStyle name="20% - Accent3 7 3 3" xfId="3630"/>
    <cellStyle name="20% - Accent3 7 3 3 2" xfId="9440"/>
    <cellStyle name="20% - Accent3 7 3 3 3" xfId="6518"/>
    <cellStyle name="20% - Accent3 7 3 4" xfId="7967"/>
    <cellStyle name="20% - Accent3 7 3 5" xfId="5074"/>
    <cellStyle name="20% - Accent3 7 3 6" xfId="2183"/>
    <cellStyle name="20% - Accent3 7 4" xfId="1379"/>
    <cellStyle name="20% - Accent3 7 4 2" xfId="4049"/>
    <cellStyle name="20% - Accent3 7 4 2 2" xfId="9859"/>
    <cellStyle name="20% - Accent3 7 4 2 3" xfId="6937"/>
    <cellStyle name="20% - Accent3 7 4 3" xfId="8394"/>
    <cellStyle name="20% - Accent3 7 4 4" xfId="5493"/>
    <cellStyle name="20% - Accent3 7 4 5" xfId="2602"/>
    <cellStyle name="20% - Accent3 7 5" xfId="3126"/>
    <cellStyle name="20% - Accent3 7 5 2" xfId="4571"/>
    <cellStyle name="20% - Accent3 7 5 2 2" xfId="10381"/>
    <cellStyle name="20% - Accent3 7 5 2 3" xfId="7459"/>
    <cellStyle name="20% - Accent3 7 5 3" xfId="8937"/>
    <cellStyle name="20% - Accent3 7 5 4" xfId="6015"/>
    <cellStyle name="20% - Accent3 7 6" xfId="3455"/>
    <cellStyle name="20% - Accent3 7 6 2" xfId="9265"/>
    <cellStyle name="20% - Accent3 7 6 3" xfId="6343"/>
    <cellStyle name="20% - Accent3 7 7" xfId="7792"/>
    <cellStyle name="20% - Accent3 7 8" xfId="4899"/>
    <cellStyle name="20% - Accent3 7 9" xfId="2008"/>
    <cellStyle name="20% - Accent3 8" xfId="506"/>
    <cellStyle name="20% - Accent3 8 2" xfId="684"/>
    <cellStyle name="20% - Accent3 8 2 2" xfId="1588"/>
    <cellStyle name="20% - Accent3 8 2 2 2" xfId="4258"/>
    <cellStyle name="20% - Accent3 8 2 2 2 2" xfId="10068"/>
    <cellStyle name="20% - Accent3 8 2 2 2 3" xfId="7146"/>
    <cellStyle name="20% - Accent3 8 2 2 3" xfId="8603"/>
    <cellStyle name="20% - Accent3 8 2 2 4" xfId="5702"/>
    <cellStyle name="20% - Accent3 8 2 2 5" xfId="2811"/>
    <cellStyle name="20% - Accent3 8 2 3" xfId="3664"/>
    <cellStyle name="20% - Accent3 8 2 3 2" xfId="9474"/>
    <cellStyle name="20% - Accent3 8 2 3 3" xfId="6552"/>
    <cellStyle name="20% - Accent3 8 2 4" xfId="8001"/>
    <cellStyle name="20% - Accent3 8 2 5" xfId="5108"/>
    <cellStyle name="20% - Accent3 8 2 6" xfId="2217"/>
    <cellStyle name="20% - Accent3 8 3" xfId="1413"/>
    <cellStyle name="20% - Accent3 8 3 2" xfId="4083"/>
    <cellStyle name="20% - Accent3 8 3 2 2" xfId="9893"/>
    <cellStyle name="20% - Accent3 8 3 2 3" xfId="6971"/>
    <cellStyle name="20% - Accent3 8 3 3" xfId="8428"/>
    <cellStyle name="20% - Accent3 8 3 4" xfId="5527"/>
    <cellStyle name="20% - Accent3 8 3 5" xfId="2636"/>
    <cellStyle name="20% - Accent3 8 4" xfId="3489"/>
    <cellStyle name="20% - Accent3 8 4 2" xfId="9299"/>
    <cellStyle name="20% - Accent3 8 4 3" xfId="6377"/>
    <cellStyle name="20% - Accent3 8 5" xfId="7826"/>
    <cellStyle name="20% - Accent3 8 6" xfId="4933"/>
    <cellStyle name="20% - Accent3 8 7" xfId="2042"/>
    <cellStyle name="20% - Accent3 9" xfId="715"/>
    <cellStyle name="20% - Accent3 9 2" xfId="1615"/>
    <cellStyle name="20% - Accent3 9 2 2" xfId="4285"/>
    <cellStyle name="20% - Accent3 9 2 2 2" xfId="10095"/>
    <cellStyle name="20% - Accent3 9 2 2 3" xfId="7173"/>
    <cellStyle name="20% - Accent3 9 2 3" xfId="8630"/>
    <cellStyle name="20% - Accent3 9 2 4" xfId="5729"/>
    <cellStyle name="20% - Accent3 9 2 5" xfId="2838"/>
    <cellStyle name="20% - Accent3 9 3" xfId="3691"/>
    <cellStyle name="20% - Accent3 9 3 2" xfId="9501"/>
    <cellStyle name="20% - Accent3 9 3 3" xfId="6579"/>
    <cellStyle name="20% - Accent3 9 4" xfId="8028"/>
    <cellStyle name="20% - Accent3 9 5" xfId="5135"/>
    <cellStyle name="20% - Accent3 9 6" xfId="2244"/>
    <cellStyle name="20% - Accent4" xfId="377" builtinId="42" customBuiltin="1"/>
    <cellStyle name="20% - Accent4 10" xfId="564"/>
    <cellStyle name="20% - Accent4 10 2" xfId="1468"/>
    <cellStyle name="20% - Accent4 10 2 2" xfId="4138"/>
    <cellStyle name="20% - Accent4 10 2 2 2" xfId="9948"/>
    <cellStyle name="20% - Accent4 10 2 2 3" xfId="7026"/>
    <cellStyle name="20% - Accent4 10 2 3" xfId="8483"/>
    <cellStyle name="20% - Accent4 10 2 4" xfId="5582"/>
    <cellStyle name="20% - Accent4 10 2 5" xfId="2691"/>
    <cellStyle name="20% - Accent4 10 3" xfId="3544"/>
    <cellStyle name="20% - Accent4 10 3 2" xfId="9354"/>
    <cellStyle name="20% - Accent4 10 3 3" xfId="6432"/>
    <cellStyle name="20% - Accent4 10 4" xfId="7881"/>
    <cellStyle name="20% - Accent4 10 5" xfId="4988"/>
    <cellStyle name="20% - Accent4 10 6" xfId="2097"/>
    <cellStyle name="20% - Accent4 11" xfId="1243"/>
    <cellStyle name="20% - Accent4 11 2" xfId="1861"/>
    <cellStyle name="20% - Accent4 11 2 2" xfId="4511"/>
    <cellStyle name="20% - Accent4 11 2 2 2" xfId="10321"/>
    <cellStyle name="20% - Accent4 11 2 2 3" xfId="7399"/>
    <cellStyle name="20% - Accent4 11 2 3" xfId="8876"/>
    <cellStyle name="20% - Accent4 11 2 4" xfId="5955"/>
    <cellStyle name="20% - Accent4 11 2 5" xfId="3064"/>
    <cellStyle name="20% - Accent4 11 3" xfId="3917"/>
    <cellStyle name="20% - Accent4 11 3 2" xfId="9727"/>
    <cellStyle name="20% - Accent4 11 3 3" xfId="6805"/>
    <cellStyle name="20% - Accent4 11 4" xfId="8258"/>
    <cellStyle name="20% - Accent4 11 5" xfId="5361"/>
    <cellStyle name="20% - Accent4 11 6" xfId="2470"/>
    <cellStyle name="20% - Accent4 12" xfId="1293"/>
    <cellStyle name="20% - Accent4 12 2" xfId="3963"/>
    <cellStyle name="20% - Accent4 12 2 2" xfId="9773"/>
    <cellStyle name="20% - Accent4 12 2 3" xfId="6851"/>
    <cellStyle name="20% - Accent4 12 3" xfId="8308"/>
    <cellStyle name="20% - Accent4 12 4" xfId="5407"/>
    <cellStyle name="20% - Accent4 12 5" xfId="2516"/>
    <cellStyle name="20% - Accent4 13" xfId="1875"/>
    <cellStyle name="20% - Accent4 13 2" xfId="4529"/>
    <cellStyle name="20% - Accent4 13 2 2" xfId="10339"/>
    <cellStyle name="20% - Accent4 13 2 3" xfId="7417"/>
    <cellStyle name="20% - Accent4 13 3" xfId="8894"/>
    <cellStyle name="20% - Accent4 13 4" xfId="5973"/>
    <cellStyle name="20% - Accent4 13 5" xfId="3081"/>
    <cellStyle name="20% - Accent4 14" xfId="3127"/>
    <cellStyle name="20% - Accent4 14 2" xfId="4572"/>
    <cellStyle name="20% - Accent4 14 2 2" xfId="10382"/>
    <cellStyle name="20% - Accent4 14 2 3" xfId="7460"/>
    <cellStyle name="20% - Accent4 14 3" xfId="8938"/>
    <cellStyle name="20% - Accent4 14 4" xfId="6016"/>
    <cellStyle name="20% - Accent4 15" xfId="3369"/>
    <cellStyle name="20% - Accent4 15 2" xfId="9179"/>
    <cellStyle name="20% - Accent4 15 3" xfId="6257"/>
    <cellStyle name="20% - Accent4 16" xfId="7706"/>
    <cellStyle name="20% - Accent4 17" xfId="4813"/>
    <cellStyle name="20% - Accent4 18" xfId="1922"/>
    <cellStyle name="20% - Accent4 19" xfId="10616"/>
    <cellStyle name="20% - Accent4 2" xfId="4"/>
    <cellStyle name="20% - Accent4 2 2" xfId="724"/>
    <cellStyle name="20% - Accent4 20" xfId="10633"/>
    <cellStyle name="20% - Accent4 21" xfId="10647"/>
    <cellStyle name="20% - Accent4 3" xfId="401"/>
    <cellStyle name="20% - Accent4 3 2" xfId="726"/>
    <cellStyle name="20% - Accent4 3 2 2" xfId="1622"/>
    <cellStyle name="20% - Accent4 3 2 2 2" xfId="4292"/>
    <cellStyle name="20% - Accent4 3 2 2 2 2" xfId="10102"/>
    <cellStyle name="20% - Accent4 3 2 2 2 3" xfId="7180"/>
    <cellStyle name="20% - Accent4 3 2 2 3" xfId="8637"/>
    <cellStyle name="20% - Accent4 3 2 2 4" xfId="5736"/>
    <cellStyle name="20% - Accent4 3 2 2 5" xfId="2845"/>
    <cellStyle name="20% - Accent4 3 2 3" xfId="3128"/>
    <cellStyle name="20% - Accent4 3 2 3 2" xfId="4573"/>
    <cellStyle name="20% - Accent4 3 2 3 2 2" xfId="10383"/>
    <cellStyle name="20% - Accent4 3 2 3 2 3" xfId="7461"/>
    <cellStyle name="20% - Accent4 3 2 3 3" xfId="8939"/>
    <cellStyle name="20% - Accent4 3 2 3 4" xfId="6017"/>
    <cellStyle name="20% - Accent4 3 2 4" xfId="3698"/>
    <cellStyle name="20% - Accent4 3 2 4 2" xfId="9508"/>
    <cellStyle name="20% - Accent4 3 2 4 3" xfId="6586"/>
    <cellStyle name="20% - Accent4 3 2 5" xfId="8035"/>
    <cellStyle name="20% - Accent4 3 2 6" xfId="5142"/>
    <cellStyle name="20% - Accent4 3 2 7" xfId="2251"/>
    <cellStyle name="20% - Accent4 3 3" xfId="725"/>
    <cellStyle name="20% - Accent4 3 4" xfId="583"/>
    <cellStyle name="20% - Accent4 3 4 2" xfId="1487"/>
    <cellStyle name="20% - Accent4 3 4 2 2" xfId="4157"/>
    <cellStyle name="20% - Accent4 3 4 2 2 2" xfId="9967"/>
    <cellStyle name="20% - Accent4 3 4 2 2 3" xfId="7045"/>
    <cellStyle name="20% - Accent4 3 4 2 3" xfId="8502"/>
    <cellStyle name="20% - Accent4 3 4 2 4" xfId="5601"/>
    <cellStyle name="20% - Accent4 3 4 2 5" xfId="2710"/>
    <cellStyle name="20% - Accent4 3 4 3" xfId="3563"/>
    <cellStyle name="20% - Accent4 3 4 3 2" xfId="9373"/>
    <cellStyle name="20% - Accent4 3 4 3 3" xfId="6451"/>
    <cellStyle name="20% - Accent4 3 4 4" xfId="7900"/>
    <cellStyle name="20% - Accent4 3 4 5" xfId="5007"/>
    <cellStyle name="20% - Accent4 3 4 6" xfId="2116"/>
    <cellStyle name="20% - Accent4 3 5" xfId="1312"/>
    <cellStyle name="20% - Accent4 3 5 2" xfId="3982"/>
    <cellStyle name="20% - Accent4 3 5 2 2" xfId="9792"/>
    <cellStyle name="20% - Accent4 3 5 2 3" xfId="6870"/>
    <cellStyle name="20% - Accent4 3 5 3" xfId="8327"/>
    <cellStyle name="20% - Accent4 3 5 4" xfId="5426"/>
    <cellStyle name="20% - Accent4 3 5 5" xfId="2535"/>
    <cellStyle name="20% - Accent4 3 6" xfId="3388"/>
    <cellStyle name="20% - Accent4 3 6 2" xfId="9198"/>
    <cellStyle name="20% - Accent4 3 6 3" xfId="6276"/>
    <cellStyle name="20% - Accent4 3 7" xfId="7725"/>
    <cellStyle name="20% - Accent4 3 8" xfId="4832"/>
    <cellStyle name="20% - Accent4 3 9" xfId="1941"/>
    <cellStyle name="20% - Accent4 4" xfId="422"/>
    <cellStyle name="20% - Accent4 4 2" xfId="727"/>
    <cellStyle name="20% - Accent4 4 2 2" xfId="1623"/>
    <cellStyle name="20% - Accent4 4 2 2 2" xfId="4293"/>
    <cellStyle name="20% - Accent4 4 2 2 2 2" xfId="10103"/>
    <cellStyle name="20% - Accent4 4 2 2 2 3" xfId="7181"/>
    <cellStyle name="20% - Accent4 4 2 2 3" xfId="8638"/>
    <cellStyle name="20% - Accent4 4 2 2 4" xfId="5737"/>
    <cellStyle name="20% - Accent4 4 2 2 5" xfId="2846"/>
    <cellStyle name="20% - Accent4 4 2 3" xfId="3699"/>
    <cellStyle name="20% - Accent4 4 2 3 2" xfId="9509"/>
    <cellStyle name="20% - Accent4 4 2 3 3" xfId="6587"/>
    <cellStyle name="20% - Accent4 4 2 4" xfId="8036"/>
    <cellStyle name="20% - Accent4 4 2 5" xfId="5143"/>
    <cellStyle name="20% - Accent4 4 2 6" xfId="2252"/>
    <cellStyle name="20% - Accent4 4 3" xfId="604"/>
    <cellStyle name="20% - Accent4 4 3 2" xfId="1508"/>
    <cellStyle name="20% - Accent4 4 3 2 2" xfId="4178"/>
    <cellStyle name="20% - Accent4 4 3 2 2 2" xfId="9988"/>
    <cellStyle name="20% - Accent4 4 3 2 2 3" xfId="7066"/>
    <cellStyle name="20% - Accent4 4 3 2 3" xfId="8523"/>
    <cellStyle name="20% - Accent4 4 3 2 4" xfId="5622"/>
    <cellStyle name="20% - Accent4 4 3 2 5" xfId="2731"/>
    <cellStyle name="20% - Accent4 4 3 3" xfId="3584"/>
    <cellStyle name="20% - Accent4 4 3 3 2" xfId="9394"/>
    <cellStyle name="20% - Accent4 4 3 3 3" xfId="6472"/>
    <cellStyle name="20% - Accent4 4 3 4" xfId="7921"/>
    <cellStyle name="20% - Accent4 4 3 5" xfId="5028"/>
    <cellStyle name="20% - Accent4 4 3 6" xfId="2137"/>
    <cellStyle name="20% - Accent4 4 4" xfId="1333"/>
    <cellStyle name="20% - Accent4 4 4 2" xfId="4003"/>
    <cellStyle name="20% - Accent4 4 4 2 2" xfId="9813"/>
    <cellStyle name="20% - Accent4 4 4 2 3" xfId="6891"/>
    <cellStyle name="20% - Accent4 4 4 3" xfId="8348"/>
    <cellStyle name="20% - Accent4 4 4 4" xfId="5447"/>
    <cellStyle name="20% - Accent4 4 4 5" xfId="2556"/>
    <cellStyle name="20% - Accent4 4 5" xfId="3129"/>
    <cellStyle name="20% - Accent4 4 5 2" xfId="4574"/>
    <cellStyle name="20% - Accent4 4 5 2 2" xfId="10384"/>
    <cellStyle name="20% - Accent4 4 5 2 3" xfId="7462"/>
    <cellStyle name="20% - Accent4 4 5 3" xfId="8940"/>
    <cellStyle name="20% - Accent4 4 5 4" xfId="6018"/>
    <cellStyle name="20% - Accent4 4 6" xfId="3409"/>
    <cellStyle name="20% - Accent4 4 6 2" xfId="9219"/>
    <cellStyle name="20% - Accent4 4 6 3" xfId="6297"/>
    <cellStyle name="20% - Accent4 4 7" xfId="7746"/>
    <cellStyle name="20% - Accent4 4 8" xfId="4853"/>
    <cellStyle name="20% - Accent4 4 9" xfId="1962"/>
    <cellStyle name="20% - Accent4 5" xfId="437"/>
    <cellStyle name="20% - Accent4 5 2" xfId="728"/>
    <cellStyle name="20% - Accent4 5 2 2" xfId="1624"/>
    <cellStyle name="20% - Accent4 5 2 2 2" xfId="4294"/>
    <cellStyle name="20% - Accent4 5 2 2 2 2" xfId="10104"/>
    <cellStyle name="20% - Accent4 5 2 2 2 3" xfId="7182"/>
    <cellStyle name="20% - Accent4 5 2 2 3" xfId="8639"/>
    <cellStyle name="20% - Accent4 5 2 2 4" xfId="5738"/>
    <cellStyle name="20% - Accent4 5 2 2 5" xfId="2847"/>
    <cellStyle name="20% - Accent4 5 2 3" xfId="3700"/>
    <cellStyle name="20% - Accent4 5 2 3 2" xfId="9510"/>
    <cellStyle name="20% - Accent4 5 2 3 3" xfId="6588"/>
    <cellStyle name="20% - Accent4 5 2 4" xfId="8037"/>
    <cellStyle name="20% - Accent4 5 2 5" xfId="5144"/>
    <cellStyle name="20% - Accent4 5 2 6" xfId="2253"/>
    <cellStyle name="20% - Accent4 5 3" xfId="619"/>
    <cellStyle name="20% - Accent4 5 3 2" xfId="1523"/>
    <cellStyle name="20% - Accent4 5 3 2 2" xfId="4193"/>
    <cellStyle name="20% - Accent4 5 3 2 2 2" xfId="10003"/>
    <cellStyle name="20% - Accent4 5 3 2 2 3" xfId="7081"/>
    <cellStyle name="20% - Accent4 5 3 2 3" xfId="8538"/>
    <cellStyle name="20% - Accent4 5 3 2 4" xfId="5637"/>
    <cellStyle name="20% - Accent4 5 3 2 5" xfId="2746"/>
    <cellStyle name="20% - Accent4 5 3 3" xfId="3599"/>
    <cellStyle name="20% - Accent4 5 3 3 2" xfId="9409"/>
    <cellStyle name="20% - Accent4 5 3 3 3" xfId="6487"/>
    <cellStyle name="20% - Accent4 5 3 4" xfId="7936"/>
    <cellStyle name="20% - Accent4 5 3 5" xfId="5043"/>
    <cellStyle name="20% - Accent4 5 3 6" xfId="2152"/>
    <cellStyle name="20% - Accent4 5 4" xfId="1348"/>
    <cellStyle name="20% - Accent4 5 4 2" xfId="4018"/>
    <cellStyle name="20% - Accent4 5 4 2 2" xfId="9828"/>
    <cellStyle name="20% - Accent4 5 4 2 3" xfId="6906"/>
    <cellStyle name="20% - Accent4 5 4 3" xfId="8363"/>
    <cellStyle name="20% - Accent4 5 4 4" xfId="5462"/>
    <cellStyle name="20% - Accent4 5 4 5" xfId="2571"/>
    <cellStyle name="20% - Accent4 5 5" xfId="3130"/>
    <cellStyle name="20% - Accent4 5 5 2" xfId="4575"/>
    <cellStyle name="20% - Accent4 5 5 2 2" xfId="10385"/>
    <cellStyle name="20% - Accent4 5 5 2 3" xfId="7463"/>
    <cellStyle name="20% - Accent4 5 5 3" xfId="8941"/>
    <cellStyle name="20% - Accent4 5 5 4" xfId="6019"/>
    <cellStyle name="20% - Accent4 5 6" xfId="3424"/>
    <cellStyle name="20% - Accent4 5 6 2" xfId="9234"/>
    <cellStyle name="20% - Accent4 5 6 3" xfId="6312"/>
    <cellStyle name="20% - Accent4 5 7" xfId="7761"/>
    <cellStyle name="20% - Accent4 5 8" xfId="4868"/>
    <cellStyle name="20% - Accent4 5 9" xfId="1977"/>
    <cellStyle name="20% - Accent4 6" xfId="451"/>
    <cellStyle name="20% - Accent4 6 2" xfId="729"/>
    <cellStyle name="20% - Accent4 6 2 2" xfId="1625"/>
    <cellStyle name="20% - Accent4 6 2 2 2" xfId="4295"/>
    <cellStyle name="20% - Accent4 6 2 2 2 2" xfId="10105"/>
    <cellStyle name="20% - Accent4 6 2 2 2 3" xfId="7183"/>
    <cellStyle name="20% - Accent4 6 2 2 3" xfId="8640"/>
    <cellStyle name="20% - Accent4 6 2 2 4" xfId="5739"/>
    <cellStyle name="20% - Accent4 6 2 2 5" xfId="2848"/>
    <cellStyle name="20% - Accent4 6 2 3" xfId="3701"/>
    <cellStyle name="20% - Accent4 6 2 3 2" xfId="9511"/>
    <cellStyle name="20% - Accent4 6 2 3 3" xfId="6589"/>
    <cellStyle name="20% - Accent4 6 2 4" xfId="8038"/>
    <cellStyle name="20% - Accent4 6 2 5" xfId="5145"/>
    <cellStyle name="20% - Accent4 6 2 6" xfId="2254"/>
    <cellStyle name="20% - Accent4 6 3" xfId="633"/>
    <cellStyle name="20% - Accent4 6 3 2" xfId="1537"/>
    <cellStyle name="20% - Accent4 6 3 2 2" xfId="4207"/>
    <cellStyle name="20% - Accent4 6 3 2 2 2" xfId="10017"/>
    <cellStyle name="20% - Accent4 6 3 2 2 3" xfId="7095"/>
    <cellStyle name="20% - Accent4 6 3 2 3" xfId="8552"/>
    <cellStyle name="20% - Accent4 6 3 2 4" xfId="5651"/>
    <cellStyle name="20% - Accent4 6 3 2 5" xfId="2760"/>
    <cellStyle name="20% - Accent4 6 3 3" xfId="3613"/>
    <cellStyle name="20% - Accent4 6 3 3 2" xfId="9423"/>
    <cellStyle name="20% - Accent4 6 3 3 3" xfId="6501"/>
    <cellStyle name="20% - Accent4 6 3 4" xfId="7950"/>
    <cellStyle name="20% - Accent4 6 3 5" xfId="5057"/>
    <cellStyle name="20% - Accent4 6 3 6" xfId="2166"/>
    <cellStyle name="20% - Accent4 6 4" xfId="1362"/>
    <cellStyle name="20% - Accent4 6 4 2" xfId="4032"/>
    <cellStyle name="20% - Accent4 6 4 2 2" xfId="9842"/>
    <cellStyle name="20% - Accent4 6 4 2 3" xfId="6920"/>
    <cellStyle name="20% - Accent4 6 4 3" xfId="8377"/>
    <cellStyle name="20% - Accent4 6 4 4" xfId="5476"/>
    <cellStyle name="20% - Accent4 6 4 5" xfId="2585"/>
    <cellStyle name="20% - Accent4 6 5" xfId="3131"/>
    <cellStyle name="20% - Accent4 6 5 2" xfId="4576"/>
    <cellStyle name="20% - Accent4 6 5 2 2" xfId="10386"/>
    <cellStyle name="20% - Accent4 6 5 2 3" xfId="7464"/>
    <cellStyle name="20% - Accent4 6 5 3" xfId="8942"/>
    <cellStyle name="20% - Accent4 6 5 4" xfId="6020"/>
    <cellStyle name="20% - Accent4 6 6" xfId="3438"/>
    <cellStyle name="20% - Accent4 6 6 2" xfId="9248"/>
    <cellStyle name="20% - Accent4 6 6 3" xfId="6326"/>
    <cellStyle name="20% - Accent4 6 7" xfId="7775"/>
    <cellStyle name="20% - Accent4 6 8" xfId="4882"/>
    <cellStyle name="20% - Accent4 6 9" xfId="1991"/>
    <cellStyle name="20% - Accent4 7" xfId="471"/>
    <cellStyle name="20% - Accent4 7 2" xfId="730"/>
    <cellStyle name="20% - Accent4 7 2 2" xfId="1626"/>
    <cellStyle name="20% - Accent4 7 2 2 2" xfId="4296"/>
    <cellStyle name="20% - Accent4 7 2 2 2 2" xfId="10106"/>
    <cellStyle name="20% - Accent4 7 2 2 2 3" xfId="7184"/>
    <cellStyle name="20% - Accent4 7 2 2 3" xfId="8641"/>
    <cellStyle name="20% - Accent4 7 2 2 4" xfId="5740"/>
    <cellStyle name="20% - Accent4 7 2 2 5" xfId="2849"/>
    <cellStyle name="20% - Accent4 7 2 3" xfId="3702"/>
    <cellStyle name="20% - Accent4 7 2 3 2" xfId="9512"/>
    <cellStyle name="20% - Accent4 7 2 3 3" xfId="6590"/>
    <cellStyle name="20% - Accent4 7 2 4" xfId="8039"/>
    <cellStyle name="20% - Accent4 7 2 5" xfId="5146"/>
    <cellStyle name="20% - Accent4 7 2 6" xfId="2255"/>
    <cellStyle name="20% - Accent4 7 3" xfId="653"/>
    <cellStyle name="20% - Accent4 7 3 2" xfId="1557"/>
    <cellStyle name="20% - Accent4 7 3 2 2" xfId="4227"/>
    <cellStyle name="20% - Accent4 7 3 2 2 2" xfId="10037"/>
    <cellStyle name="20% - Accent4 7 3 2 2 3" xfId="7115"/>
    <cellStyle name="20% - Accent4 7 3 2 3" xfId="8572"/>
    <cellStyle name="20% - Accent4 7 3 2 4" xfId="5671"/>
    <cellStyle name="20% - Accent4 7 3 2 5" xfId="2780"/>
    <cellStyle name="20% - Accent4 7 3 3" xfId="3633"/>
    <cellStyle name="20% - Accent4 7 3 3 2" xfId="9443"/>
    <cellStyle name="20% - Accent4 7 3 3 3" xfId="6521"/>
    <cellStyle name="20% - Accent4 7 3 4" xfId="7970"/>
    <cellStyle name="20% - Accent4 7 3 5" xfId="5077"/>
    <cellStyle name="20% - Accent4 7 3 6" xfId="2186"/>
    <cellStyle name="20% - Accent4 7 4" xfId="1382"/>
    <cellStyle name="20% - Accent4 7 4 2" xfId="4052"/>
    <cellStyle name="20% - Accent4 7 4 2 2" xfId="9862"/>
    <cellStyle name="20% - Accent4 7 4 2 3" xfId="6940"/>
    <cellStyle name="20% - Accent4 7 4 3" xfId="8397"/>
    <cellStyle name="20% - Accent4 7 4 4" xfId="5496"/>
    <cellStyle name="20% - Accent4 7 4 5" xfId="2605"/>
    <cellStyle name="20% - Accent4 7 5" xfId="3132"/>
    <cellStyle name="20% - Accent4 7 5 2" xfId="4577"/>
    <cellStyle name="20% - Accent4 7 5 2 2" xfId="10387"/>
    <cellStyle name="20% - Accent4 7 5 2 3" xfId="7465"/>
    <cellStyle name="20% - Accent4 7 5 3" xfId="8943"/>
    <cellStyle name="20% - Accent4 7 5 4" xfId="6021"/>
    <cellStyle name="20% - Accent4 7 6" xfId="3458"/>
    <cellStyle name="20% - Accent4 7 6 2" xfId="9268"/>
    <cellStyle name="20% - Accent4 7 6 3" xfId="6346"/>
    <cellStyle name="20% - Accent4 7 7" xfId="7795"/>
    <cellStyle name="20% - Accent4 7 8" xfId="4902"/>
    <cellStyle name="20% - Accent4 7 9" xfId="2011"/>
    <cellStyle name="20% - Accent4 8" xfId="509"/>
    <cellStyle name="20% - Accent4 8 2" xfId="687"/>
    <cellStyle name="20% - Accent4 8 2 2" xfId="1591"/>
    <cellStyle name="20% - Accent4 8 2 2 2" xfId="4261"/>
    <cellStyle name="20% - Accent4 8 2 2 2 2" xfId="10071"/>
    <cellStyle name="20% - Accent4 8 2 2 2 3" xfId="7149"/>
    <cellStyle name="20% - Accent4 8 2 2 3" xfId="8606"/>
    <cellStyle name="20% - Accent4 8 2 2 4" xfId="5705"/>
    <cellStyle name="20% - Accent4 8 2 2 5" xfId="2814"/>
    <cellStyle name="20% - Accent4 8 2 3" xfId="3667"/>
    <cellStyle name="20% - Accent4 8 2 3 2" xfId="9477"/>
    <cellStyle name="20% - Accent4 8 2 3 3" xfId="6555"/>
    <cellStyle name="20% - Accent4 8 2 4" xfId="8004"/>
    <cellStyle name="20% - Accent4 8 2 5" xfId="5111"/>
    <cellStyle name="20% - Accent4 8 2 6" xfId="2220"/>
    <cellStyle name="20% - Accent4 8 3" xfId="1416"/>
    <cellStyle name="20% - Accent4 8 3 2" xfId="4086"/>
    <cellStyle name="20% - Accent4 8 3 2 2" xfId="9896"/>
    <cellStyle name="20% - Accent4 8 3 2 3" xfId="6974"/>
    <cellStyle name="20% - Accent4 8 3 3" xfId="8431"/>
    <cellStyle name="20% - Accent4 8 3 4" xfId="5530"/>
    <cellStyle name="20% - Accent4 8 3 5" xfId="2639"/>
    <cellStyle name="20% - Accent4 8 4" xfId="3492"/>
    <cellStyle name="20% - Accent4 8 4 2" xfId="9302"/>
    <cellStyle name="20% - Accent4 8 4 3" xfId="6380"/>
    <cellStyle name="20% - Accent4 8 5" xfId="7829"/>
    <cellStyle name="20% - Accent4 8 6" xfId="4936"/>
    <cellStyle name="20% - Accent4 8 7" xfId="2045"/>
    <cellStyle name="20% - Accent4 9" xfId="723"/>
    <cellStyle name="20% - Accent4 9 2" xfId="1621"/>
    <cellStyle name="20% - Accent4 9 2 2" xfId="4291"/>
    <cellStyle name="20% - Accent4 9 2 2 2" xfId="10101"/>
    <cellStyle name="20% - Accent4 9 2 2 3" xfId="7179"/>
    <cellStyle name="20% - Accent4 9 2 3" xfId="8636"/>
    <cellStyle name="20% - Accent4 9 2 4" xfId="5735"/>
    <cellStyle name="20% - Accent4 9 2 5" xfId="2844"/>
    <cellStyle name="20% - Accent4 9 3" xfId="3697"/>
    <cellStyle name="20% - Accent4 9 3 2" xfId="9507"/>
    <cellStyle name="20% - Accent4 9 3 3" xfId="6585"/>
    <cellStyle name="20% - Accent4 9 4" xfId="8034"/>
    <cellStyle name="20% - Accent4 9 5" xfId="5141"/>
    <cellStyle name="20% - Accent4 9 6" xfId="2250"/>
    <cellStyle name="20% - Accent5" xfId="381" builtinId="46" customBuiltin="1"/>
    <cellStyle name="20% - Accent5 10" xfId="566"/>
    <cellStyle name="20% - Accent5 10 2" xfId="1470"/>
    <cellStyle name="20% - Accent5 10 2 2" xfId="4140"/>
    <cellStyle name="20% - Accent5 10 2 2 2" xfId="9950"/>
    <cellStyle name="20% - Accent5 10 2 2 3" xfId="7028"/>
    <cellStyle name="20% - Accent5 10 2 3" xfId="8485"/>
    <cellStyle name="20% - Accent5 10 2 4" xfId="5584"/>
    <cellStyle name="20% - Accent5 10 2 5" xfId="2693"/>
    <cellStyle name="20% - Accent5 10 3" xfId="3546"/>
    <cellStyle name="20% - Accent5 10 3 2" xfId="9356"/>
    <cellStyle name="20% - Accent5 10 3 3" xfId="6434"/>
    <cellStyle name="20% - Accent5 10 4" xfId="7883"/>
    <cellStyle name="20% - Accent5 10 5" xfId="4990"/>
    <cellStyle name="20% - Accent5 10 6" xfId="2099"/>
    <cellStyle name="20% - Accent5 11" xfId="1245"/>
    <cellStyle name="20% - Accent5 11 2" xfId="1863"/>
    <cellStyle name="20% - Accent5 11 2 2" xfId="4513"/>
    <cellStyle name="20% - Accent5 11 2 2 2" xfId="10323"/>
    <cellStyle name="20% - Accent5 11 2 2 3" xfId="7401"/>
    <cellStyle name="20% - Accent5 11 2 3" xfId="8878"/>
    <cellStyle name="20% - Accent5 11 2 4" xfId="5957"/>
    <cellStyle name="20% - Accent5 11 2 5" xfId="3066"/>
    <cellStyle name="20% - Accent5 11 3" xfId="3919"/>
    <cellStyle name="20% - Accent5 11 3 2" xfId="9729"/>
    <cellStyle name="20% - Accent5 11 3 3" xfId="6807"/>
    <cellStyle name="20% - Accent5 11 4" xfId="8260"/>
    <cellStyle name="20% - Accent5 11 5" xfId="5363"/>
    <cellStyle name="20% - Accent5 11 6" xfId="2472"/>
    <cellStyle name="20% - Accent5 12" xfId="1295"/>
    <cellStyle name="20% - Accent5 12 2" xfId="3965"/>
    <cellStyle name="20% - Accent5 12 2 2" xfId="9775"/>
    <cellStyle name="20% - Accent5 12 2 3" xfId="6853"/>
    <cellStyle name="20% - Accent5 12 3" xfId="8310"/>
    <cellStyle name="20% - Accent5 12 4" xfId="5409"/>
    <cellStyle name="20% - Accent5 12 5" xfId="2518"/>
    <cellStyle name="20% - Accent5 13" xfId="1877"/>
    <cellStyle name="20% - Accent5 13 2" xfId="4531"/>
    <cellStyle name="20% - Accent5 13 2 2" xfId="10341"/>
    <cellStyle name="20% - Accent5 13 2 3" xfId="7419"/>
    <cellStyle name="20% - Accent5 13 3" xfId="8896"/>
    <cellStyle name="20% - Accent5 13 4" xfId="5975"/>
    <cellStyle name="20% - Accent5 13 5" xfId="3083"/>
    <cellStyle name="20% - Accent5 14" xfId="3133"/>
    <cellStyle name="20% - Accent5 14 2" xfId="4578"/>
    <cellStyle name="20% - Accent5 14 2 2" xfId="10388"/>
    <cellStyle name="20% - Accent5 14 2 3" xfId="7466"/>
    <cellStyle name="20% - Accent5 14 3" xfId="8944"/>
    <cellStyle name="20% - Accent5 14 4" xfId="6022"/>
    <cellStyle name="20% - Accent5 15" xfId="3371"/>
    <cellStyle name="20% - Accent5 15 2" xfId="9181"/>
    <cellStyle name="20% - Accent5 15 3" xfId="6259"/>
    <cellStyle name="20% - Accent5 16" xfId="7708"/>
    <cellStyle name="20% - Accent5 17" xfId="4815"/>
    <cellStyle name="20% - Accent5 18" xfId="1924"/>
    <cellStyle name="20% - Accent5 19" xfId="10618"/>
    <cellStyle name="20% - Accent5 2" xfId="5"/>
    <cellStyle name="20% - Accent5 20" xfId="10635"/>
    <cellStyle name="20% - Accent5 21" xfId="10649"/>
    <cellStyle name="20% - Accent5 3" xfId="403"/>
    <cellStyle name="20% - Accent5 3 2" xfId="732"/>
    <cellStyle name="20% - Accent5 3 2 2" xfId="1628"/>
    <cellStyle name="20% - Accent5 3 2 2 2" xfId="4298"/>
    <cellStyle name="20% - Accent5 3 2 2 2 2" xfId="10108"/>
    <cellStyle name="20% - Accent5 3 2 2 2 3" xfId="7186"/>
    <cellStyle name="20% - Accent5 3 2 2 3" xfId="8643"/>
    <cellStyle name="20% - Accent5 3 2 2 4" xfId="5742"/>
    <cellStyle name="20% - Accent5 3 2 2 5" xfId="2851"/>
    <cellStyle name="20% - Accent5 3 2 3" xfId="3704"/>
    <cellStyle name="20% - Accent5 3 2 3 2" xfId="9514"/>
    <cellStyle name="20% - Accent5 3 2 3 3" xfId="6592"/>
    <cellStyle name="20% - Accent5 3 2 4" xfId="8041"/>
    <cellStyle name="20% - Accent5 3 2 5" xfId="5148"/>
    <cellStyle name="20% - Accent5 3 2 6" xfId="2257"/>
    <cellStyle name="20% - Accent5 3 3" xfId="585"/>
    <cellStyle name="20% - Accent5 3 3 2" xfId="1489"/>
    <cellStyle name="20% - Accent5 3 3 2 2" xfId="4159"/>
    <cellStyle name="20% - Accent5 3 3 2 2 2" xfId="9969"/>
    <cellStyle name="20% - Accent5 3 3 2 2 3" xfId="7047"/>
    <cellStyle name="20% - Accent5 3 3 2 3" xfId="8504"/>
    <cellStyle name="20% - Accent5 3 3 2 4" xfId="5603"/>
    <cellStyle name="20% - Accent5 3 3 2 5" xfId="2712"/>
    <cellStyle name="20% - Accent5 3 3 3" xfId="3565"/>
    <cellStyle name="20% - Accent5 3 3 3 2" xfId="9375"/>
    <cellStyle name="20% - Accent5 3 3 3 3" xfId="6453"/>
    <cellStyle name="20% - Accent5 3 3 4" xfId="7902"/>
    <cellStyle name="20% - Accent5 3 3 5" xfId="5009"/>
    <cellStyle name="20% - Accent5 3 3 6" xfId="2118"/>
    <cellStyle name="20% - Accent5 3 4" xfId="1314"/>
    <cellStyle name="20% - Accent5 3 4 2" xfId="3984"/>
    <cellStyle name="20% - Accent5 3 4 2 2" xfId="9794"/>
    <cellStyle name="20% - Accent5 3 4 2 3" xfId="6872"/>
    <cellStyle name="20% - Accent5 3 4 3" xfId="8329"/>
    <cellStyle name="20% - Accent5 3 4 4" xfId="5428"/>
    <cellStyle name="20% - Accent5 3 4 5" xfId="2537"/>
    <cellStyle name="20% - Accent5 3 5" xfId="3134"/>
    <cellStyle name="20% - Accent5 3 5 2" xfId="4579"/>
    <cellStyle name="20% - Accent5 3 5 2 2" xfId="10389"/>
    <cellStyle name="20% - Accent5 3 5 2 3" xfId="7467"/>
    <cellStyle name="20% - Accent5 3 5 3" xfId="8945"/>
    <cellStyle name="20% - Accent5 3 5 4" xfId="6023"/>
    <cellStyle name="20% - Accent5 3 6" xfId="3390"/>
    <cellStyle name="20% - Accent5 3 6 2" xfId="9200"/>
    <cellStyle name="20% - Accent5 3 6 3" xfId="6278"/>
    <cellStyle name="20% - Accent5 3 7" xfId="7727"/>
    <cellStyle name="20% - Accent5 3 8" xfId="4834"/>
    <cellStyle name="20% - Accent5 3 9" xfId="1943"/>
    <cellStyle name="20% - Accent5 4" xfId="424"/>
    <cellStyle name="20% - Accent5 4 2" xfId="733"/>
    <cellStyle name="20% - Accent5 4 2 2" xfId="1629"/>
    <cellStyle name="20% - Accent5 4 2 2 2" xfId="4299"/>
    <cellStyle name="20% - Accent5 4 2 2 2 2" xfId="10109"/>
    <cellStyle name="20% - Accent5 4 2 2 2 3" xfId="7187"/>
    <cellStyle name="20% - Accent5 4 2 2 3" xfId="8644"/>
    <cellStyle name="20% - Accent5 4 2 2 4" xfId="5743"/>
    <cellStyle name="20% - Accent5 4 2 2 5" xfId="2852"/>
    <cellStyle name="20% - Accent5 4 2 3" xfId="3705"/>
    <cellStyle name="20% - Accent5 4 2 3 2" xfId="9515"/>
    <cellStyle name="20% - Accent5 4 2 3 3" xfId="6593"/>
    <cellStyle name="20% - Accent5 4 2 4" xfId="8042"/>
    <cellStyle name="20% - Accent5 4 2 5" xfId="5149"/>
    <cellStyle name="20% - Accent5 4 2 6" xfId="2258"/>
    <cellStyle name="20% - Accent5 4 3" xfId="606"/>
    <cellStyle name="20% - Accent5 4 3 2" xfId="1510"/>
    <cellStyle name="20% - Accent5 4 3 2 2" xfId="4180"/>
    <cellStyle name="20% - Accent5 4 3 2 2 2" xfId="9990"/>
    <cellStyle name="20% - Accent5 4 3 2 2 3" xfId="7068"/>
    <cellStyle name="20% - Accent5 4 3 2 3" xfId="8525"/>
    <cellStyle name="20% - Accent5 4 3 2 4" xfId="5624"/>
    <cellStyle name="20% - Accent5 4 3 2 5" xfId="2733"/>
    <cellStyle name="20% - Accent5 4 3 3" xfId="3586"/>
    <cellStyle name="20% - Accent5 4 3 3 2" xfId="9396"/>
    <cellStyle name="20% - Accent5 4 3 3 3" xfId="6474"/>
    <cellStyle name="20% - Accent5 4 3 4" xfId="7923"/>
    <cellStyle name="20% - Accent5 4 3 5" xfId="5030"/>
    <cellStyle name="20% - Accent5 4 3 6" xfId="2139"/>
    <cellStyle name="20% - Accent5 4 4" xfId="1335"/>
    <cellStyle name="20% - Accent5 4 4 2" xfId="4005"/>
    <cellStyle name="20% - Accent5 4 4 2 2" xfId="9815"/>
    <cellStyle name="20% - Accent5 4 4 2 3" xfId="6893"/>
    <cellStyle name="20% - Accent5 4 4 3" xfId="8350"/>
    <cellStyle name="20% - Accent5 4 4 4" xfId="5449"/>
    <cellStyle name="20% - Accent5 4 4 5" xfId="2558"/>
    <cellStyle name="20% - Accent5 4 5" xfId="3135"/>
    <cellStyle name="20% - Accent5 4 5 2" xfId="4580"/>
    <cellStyle name="20% - Accent5 4 5 2 2" xfId="10390"/>
    <cellStyle name="20% - Accent5 4 5 2 3" xfId="7468"/>
    <cellStyle name="20% - Accent5 4 5 3" xfId="8946"/>
    <cellStyle name="20% - Accent5 4 5 4" xfId="6024"/>
    <cellStyle name="20% - Accent5 4 6" xfId="3411"/>
    <cellStyle name="20% - Accent5 4 6 2" xfId="9221"/>
    <cellStyle name="20% - Accent5 4 6 3" xfId="6299"/>
    <cellStyle name="20% - Accent5 4 7" xfId="7748"/>
    <cellStyle name="20% - Accent5 4 8" xfId="4855"/>
    <cellStyle name="20% - Accent5 4 9" xfId="1964"/>
    <cellStyle name="20% - Accent5 5" xfId="439"/>
    <cellStyle name="20% - Accent5 5 2" xfId="734"/>
    <cellStyle name="20% - Accent5 5 2 2" xfId="1630"/>
    <cellStyle name="20% - Accent5 5 2 2 2" xfId="4300"/>
    <cellStyle name="20% - Accent5 5 2 2 2 2" xfId="10110"/>
    <cellStyle name="20% - Accent5 5 2 2 2 3" xfId="7188"/>
    <cellStyle name="20% - Accent5 5 2 2 3" xfId="8645"/>
    <cellStyle name="20% - Accent5 5 2 2 4" xfId="5744"/>
    <cellStyle name="20% - Accent5 5 2 2 5" xfId="2853"/>
    <cellStyle name="20% - Accent5 5 2 3" xfId="3706"/>
    <cellStyle name="20% - Accent5 5 2 3 2" xfId="9516"/>
    <cellStyle name="20% - Accent5 5 2 3 3" xfId="6594"/>
    <cellStyle name="20% - Accent5 5 2 4" xfId="8043"/>
    <cellStyle name="20% - Accent5 5 2 5" xfId="5150"/>
    <cellStyle name="20% - Accent5 5 2 6" xfId="2259"/>
    <cellStyle name="20% - Accent5 5 3" xfId="621"/>
    <cellStyle name="20% - Accent5 5 3 2" xfId="1525"/>
    <cellStyle name="20% - Accent5 5 3 2 2" xfId="4195"/>
    <cellStyle name="20% - Accent5 5 3 2 2 2" xfId="10005"/>
    <cellStyle name="20% - Accent5 5 3 2 2 3" xfId="7083"/>
    <cellStyle name="20% - Accent5 5 3 2 3" xfId="8540"/>
    <cellStyle name="20% - Accent5 5 3 2 4" xfId="5639"/>
    <cellStyle name="20% - Accent5 5 3 2 5" xfId="2748"/>
    <cellStyle name="20% - Accent5 5 3 3" xfId="3601"/>
    <cellStyle name="20% - Accent5 5 3 3 2" xfId="9411"/>
    <cellStyle name="20% - Accent5 5 3 3 3" xfId="6489"/>
    <cellStyle name="20% - Accent5 5 3 4" xfId="7938"/>
    <cellStyle name="20% - Accent5 5 3 5" xfId="5045"/>
    <cellStyle name="20% - Accent5 5 3 6" xfId="2154"/>
    <cellStyle name="20% - Accent5 5 4" xfId="1350"/>
    <cellStyle name="20% - Accent5 5 4 2" xfId="4020"/>
    <cellStyle name="20% - Accent5 5 4 2 2" xfId="9830"/>
    <cellStyle name="20% - Accent5 5 4 2 3" xfId="6908"/>
    <cellStyle name="20% - Accent5 5 4 3" xfId="8365"/>
    <cellStyle name="20% - Accent5 5 4 4" xfId="5464"/>
    <cellStyle name="20% - Accent5 5 4 5" xfId="2573"/>
    <cellStyle name="20% - Accent5 5 5" xfId="3136"/>
    <cellStyle name="20% - Accent5 5 5 2" xfId="4581"/>
    <cellStyle name="20% - Accent5 5 5 2 2" xfId="10391"/>
    <cellStyle name="20% - Accent5 5 5 2 3" xfId="7469"/>
    <cellStyle name="20% - Accent5 5 5 3" xfId="8947"/>
    <cellStyle name="20% - Accent5 5 5 4" xfId="6025"/>
    <cellStyle name="20% - Accent5 5 6" xfId="3426"/>
    <cellStyle name="20% - Accent5 5 6 2" xfId="9236"/>
    <cellStyle name="20% - Accent5 5 6 3" xfId="6314"/>
    <cellStyle name="20% - Accent5 5 7" xfId="7763"/>
    <cellStyle name="20% - Accent5 5 8" xfId="4870"/>
    <cellStyle name="20% - Accent5 5 9" xfId="1979"/>
    <cellStyle name="20% - Accent5 6" xfId="453"/>
    <cellStyle name="20% - Accent5 6 2" xfId="735"/>
    <cellStyle name="20% - Accent5 6 2 2" xfId="1631"/>
    <cellStyle name="20% - Accent5 6 2 2 2" xfId="4301"/>
    <cellStyle name="20% - Accent5 6 2 2 2 2" xfId="10111"/>
    <cellStyle name="20% - Accent5 6 2 2 2 3" xfId="7189"/>
    <cellStyle name="20% - Accent5 6 2 2 3" xfId="8646"/>
    <cellStyle name="20% - Accent5 6 2 2 4" xfId="5745"/>
    <cellStyle name="20% - Accent5 6 2 2 5" xfId="2854"/>
    <cellStyle name="20% - Accent5 6 2 3" xfId="3707"/>
    <cellStyle name="20% - Accent5 6 2 3 2" xfId="9517"/>
    <cellStyle name="20% - Accent5 6 2 3 3" xfId="6595"/>
    <cellStyle name="20% - Accent5 6 2 4" xfId="8044"/>
    <cellStyle name="20% - Accent5 6 2 5" xfId="5151"/>
    <cellStyle name="20% - Accent5 6 2 6" xfId="2260"/>
    <cellStyle name="20% - Accent5 6 3" xfId="635"/>
    <cellStyle name="20% - Accent5 6 3 2" xfId="1539"/>
    <cellStyle name="20% - Accent5 6 3 2 2" xfId="4209"/>
    <cellStyle name="20% - Accent5 6 3 2 2 2" xfId="10019"/>
    <cellStyle name="20% - Accent5 6 3 2 2 3" xfId="7097"/>
    <cellStyle name="20% - Accent5 6 3 2 3" xfId="8554"/>
    <cellStyle name="20% - Accent5 6 3 2 4" xfId="5653"/>
    <cellStyle name="20% - Accent5 6 3 2 5" xfId="2762"/>
    <cellStyle name="20% - Accent5 6 3 3" xfId="3615"/>
    <cellStyle name="20% - Accent5 6 3 3 2" xfId="9425"/>
    <cellStyle name="20% - Accent5 6 3 3 3" xfId="6503"/>
    <cellStyle name="20% - Accent5 6 3 4" xfId="7952"/>
    <cellStyle name="20% - Accent5 6 3 5" xfId="5059"/>
    <cellStyle name="20% - Accent5 6 3 6" xfId="2168"/>
    <cellStyle name="20% - Accent5 6 4" xfId="1364"/>
    <cellStyle name="20% - Accent5 6 4 2" xfId="4034"/>
    <cellStyle name="20% - Accent5 6 4 2 2" xfId="9844"/>
    <cellStyle name="20% - Accent5 6 4 2 3" xfId="6922"/>
    <cellStyle name="20% - Accent5 6 4 3" xfId="8379"/>
    <cellStyle name="20% - Accent5 6 4 4" xfId="5478"/>
    <cellStyle name="20% - Accent5 6 4 5" xfId="2587"/>
    <cellStyle name="20% - Accent5 6 5" xfId="3137"/>
    <cellStyle name="20% - Accent5 6 5 2" xfId="4582"/>
    <cellStyle name="20% - Accent5 6 5 2 2" xfId="10392"/>
    <cellStyle name="20% - Accent5 6 5 2 3" xfId="7470"/>
    <cellStyle name="20% - Accent5 6 5 3" xfId="8948"/>
    <cellStyle name="20% - Accent5 6 5 4" xfId="6026"/>
    <cellStyle name="20% - Accent5 6 6" xfId="3440"/>
    <cellStyle name="20% - Accent5 6 6 2" xfId="9250"/>
    <cellStyle name="20% - Accent5 6 6 3" xfId="6328"/>
    <cellStyle name="20% - Accent5 6 7" xfId="7777"/>
    <cellStyle name="20% - Accent5 6 8" xfId="4884"/>
    <cellStyle name="20% - Accent5 6 9" xfId="1993"/>
    <cellStyle name="20% - Accent5 7" xfId="473"/>
    <cellStyle name="20% - Accent5 7 2" xfId="736"/>
    <cellStyle name="20% - Accent5 7 2 2" xfId="1632"/>
    <cellStyle name="20% - Accent5 7 2 2 2" xfId="4302"/>
    <cellStyle name="20% - Accent5 7 2 2 2 2" xfId="10112"/>
    <cellStyle name="20% - Accent5 7 2 2 2 3" xfId="7190"/>
    <cellStyle name="20% - Accent5 7 2 2 3" xfId="8647"/>
    <cellStyle name="20% - Accent5 7 2 2 4" xfId="5746"/>
    <cellStyle name="20% - Accent5 7 2 2 5" xfId="2855"/>
    <cellStyle name="20% - Accent5 7 2 3" xfId="3708"/>
    <cellStyle name="20% - Accent5 7 2 3 2" xfId="9518"/>
    <cellStyle name="20% - Accent5 7 2 3 3" xfId="6596"/>
    <cellStyle name="20% - Accent5 7 2 4" xfId="8045"/>
    <cellStyle name="20% - Accent5 7 2 5" xfId="5152"/>
    <cellStyle name="20% - Accent5 7 2 6" xfId="2261"/>
    <cellStyle name="20% - Accent5 7 3" xfId="655"/>
    <cellStyle name="20% - Accent5 7 3 2" xfId="1559"/>
    <cellStyle name="20% - Accent5 7 3 2 2" xfId="4229"/>
    <cellStyle name="20% - Accent5 7 3 2 2 2" xfId="10039"/>
    <cellStyle name="20% - Accent5 7 3 2 2 3" xfId="7117"/>
    <cellStyle name="20% - Accent5 7 3 2 3" xfId="8574"/>
    <cellStyle name="20% - Accent5 7 3 2 4" xfId="5673"/>
    <cellStyle name="20% - Accent5 7 3 2 5" xfId="2782"/>
    <cellStyle name="20% - Accent5 7 3 3" xfId="3635"/>
    <cellStyle name="20% - Accent5 7 3 3 2" xfId="9445"/>
    <cellStyle name="20% - Accent5 7 3 3 3" xfId="6523"/>
    <cellStyle name="20% - Accent5 7 3 4" xfId="7972"/>
    <cellStyle name="20% - Accent5 7 3 5" xfId="5079"/>
    <cellStyle name="20% - Accent5 7 3 6" xfId="2188"/>
    <cellStyle name="20% - Accent5 7 4" xfId="1384"/>
    <cellStyle name="20% - Accent5 7 4 2" xfId="4054"/>
    <cellStyle name="20% - Accent5 7 4 2 2" xfId="9864"/>
    <cellStyle name="20% - Accent5 7 4 2 3" xfId="6942"/>
    <cellStyle name="20% - Accent5 7 4 3" xfId="8399"/>
    <cellStyle name="20% - Accent5 7 4 4" xfId="5498"/>
    <cellStyle name="20% - Accent5 7 4 5" xfId="2607"/>
    <cellStyle name="20% - Accent5 7 5" xfId="3138"/>
    <cellStyle name="20% - Accent5 7 5 2" xfId="4583"/>
    <cellStyle name="20% - Accent5 7 5 2 2" xfId="10393"/>
    <cellStyle name="20% - Accent5 7 5 2 3" xfId="7471"/>
    <cellStyle name="20% - Accent5 7 5 3" xfId="8949"/>
    <cellStyle name="20% - Accent5 7 5 4" xfId="6027"/>
    <cellStyle name="20% - Accent5 7 6" xfId="3460"/>
    <cellStyle name="20% - Accent5 7 6 2" xfId="9270"/>
    <cellStyle name="20% - Accent5 7 6 3" xfId="6348"/>
    <cellStyle name="20% - Accent5 7 7" xfId="7797"/>
    <cellStyle name="20% - Accent5 7 8" xfId="4904"/>
    <cellStyle name="20% - Accent5 7 9" xfId="2013"/>
    <cellStyle name="20% - Accent5 8" xfId="512"/>
    <cellStyle name="20% - Accent5 8 2" xfId="690"/>
    <cellStyle name="20% - Accent5 8 2 2" xfId="1594"/>
    <cellStyle name="20% - Accent5 8 2 2 2" xfId="4264"/>
    <cellStyle name="20% - Accent5 8 2 2 2 2" xfId="10074"/>
    <cellStyle name="20% - Accent5 8 2 2 2 3" xfId="7152"/>
    <cellStyle name="20% - Accent5 8 2 2 3" xfId="8609"/>
    <cellStyle name="20% - Accent5 8 2 2 4" xfId="5708"/>
    <cellStyle name="20% - Accent5 8 2 2 5" xfId="2817"/>
    <cellStyle name="20% - Accent5 8 2 3" xfId="3670"/>
    <cellStyle name="20% - Accent5 8 2 3 2" xfId="9480"/>
    <cellStyle name="20% - Accent5 8 2 3 3" xfId="6558"/>
    <cellStyle name="20% - Accent5 8 2 4" xfId="8007"/>
    <cellStyle name="20% - Accent5 8 2 5" xfId="5114"/>
    <cellStyle name="20% - Accent5 8 2 6" xfId="2223"/>
    <cellStyle name="20% - Accent5 8 3" xfId="1419"/>
    <cellStyle name="20% - Accent5 8 3 2" xfId="4089"/>
    <cellStyle name="20% - Accent5 8 3 2 2" xfId="9899"/>
    <cellStyle name="20% - Accent5 8 3 2 3" xfId="6977"/>
    <cellStyle name="20% - Accent5 8 3 3" xfId="8434"/>
    <cellStyle name="20% - Accent5 8 3 4" xfId="5533"/>
    <cellStyle name="20% - Accent5 8 3 5" xfId="2642"/>
    <cellStyle name="20% - Accent5 8 4" xfId="3495"/>
    <cellStyle name="20% - Accent5 8 4 2" xfId="9305"/>
    <cellStyle name="20% - Accent5 8 4 3" xfId="6383"/>
    <cellStyle name="20% - Accent5 8 5" xfId="7832"/>
    <cellStyle name="20% - Accent5 8 6" xfId="4939"/>
    <cellStyle name="20% - Accent5 8 7" xfId="2048"/>
    <cellStyle name="20% - Accent5 9" xfId="731"/>
    <cellStyle name="20% - Accent5 9 2" xfId="1627"/>
    <cellStyle name="20% - Accent5 9 2 2" xfId="4297"/>
    <cellStyle name="20% - Accent5 9 2 2 2" xfId="10107"/>
    <cellStyle name="20% - Accent5 9 2 2 3" xfId="7185"/>
    <cellStyle name="20% - Accent5 9 2 3" xfId="8642"/>
    <cellStyle name="20% - Accent5 9 2 4" xfId="5741"/>
    <cellStyle name="20% - Accent5 9 2 5" xfId="2850"/>
    <cellStyle name="20% - Accent5 9 3" xfId="3703"/>
    <cellStyle name="20% - Accent5 9 3 2" xfId="9513"/>
    <cellStyle name="20% - Accent5 9 3 3" xfId="6591"/>
    <cellStyle name="20% - Accent5 9 4" xfId="8040"/>
    <cellStyle name="20% - Accent5 9 5" xfId="5147"/>
    <cellStyle name="20% - Accent5 9 6" xfId="2256"/>
    <cellStyle name="20% - Accent6" xfId="385" builtinId="50" customBuiltin="1"/>
    <cellStyle name="20% - Accent6 10" xfId="568"/>
    <cellStyle name="20% - Accent6 10 2" xfId="1472"/>
    <cellStyle name="20% - Accent6 10 2 2" xfId="4142"/>
    <cellStyle name="20% - Accent6 10 2 2 2" xfId="9952"/>
    <cellStyle name="20% - Accent6 10 2 2 3" xfId="7030"/>
    <cellStyle name="20% - Accent6 10 2 3" xfId="8487"/>
    <cellStyle name="20% - Accent6 10 2 4" xfId="5586"/>
    <cellStyle name="20% - Accent6 10 2 5" xfId="2695"/>
    <cellStyle name="20% - Accent6 10 3" xfId="3548"/>
    <cellStyle name="20% - Accent6 10 3 2" xfId="9358"/>
    <cellStyle name="20% - Accent6 10 3 3" xfId="6436"/>
    <cellStyle name="20% - Accent6 10 4" xfId="7885"/>
    <cellStyle name="20% - Accent6 10 5" xfId="4992"/>
    <cellStyle name="20% - Accent6 10 6" xfId="2101"/>
    <cellStyle name="20% - Accent6 11" xfId="1247"/>
    <cellStyle name="20% - Accent6 11 2" xfId="1865"/>
    <cellStyle name="20% - Accent6 11 2 2" xfId="4515"/>
    <cellStyle name="20% - Accent6 11 2 2 2" xfId="10325"/>
    <cellStyle name="20% - Accent6 11 2 2 3" xfId="7403"/>
    <cellStyle name="20% - Accent6 11 2 3" xfId="8880"/>
    <cellStyle name="20% - Accent6 11 2 4" xfId="5959"/>
    <cellStyle name="20% - Accent6 11 2 5" xfId="3068"/>
    <cellStyle name="20% - Accent6 11 3" xfId="3921"/>
    <cellStyle name="20% - Accent6 11 3 2" xfId="9731"/>
    <cellStyle name="20% - Accent6 11 3 3" xfId="6809"/>
    <cellStyle name="20% - Accent6 11 4" xfId="8262"/>
    <cellStyle name="20% - Accent6 11 5" xfId="5365"/>
    <cellStyle name="20% - Accent6 11 6" xfId="2474"/>
    <cellStyle name="20% - Accent6 12" xfId="1297"/>
    <cellStyle name="20% - Accent6 12 2" xfId="3967"/>
    <cellStyle name="20% - Accent6 12 2 2" xfId="9777"/>
    <cellStyle name="20% - Accent6 12 2 3" xfId="6855"/>
    <cellStyle name="20% - Accent6 12 3" xfId="8312"/>
    <cellStyle name="20% - Accent6 12 4" xfId="5411"/>
    <cellStyle name="20% - Accent6 12 5" xfId="2520"/>
    <cellStyle name="20% - Accent6 13" xfId="1879"/>
    <cellStyle name="20% - Accent6 13 2" xfId="4534"/>
    <cellStyle name="20% - Accent6 13 2 2" xfId="10344"/>
    <cellStyle name="20% - Accent6 13 2 3" xfId="7422"/>
    <cellStyle name="20% - Accent6 13 3" xfId="8899"/>
    <cellStyle name="20% - Accent6 13 4" xfId="5978"/>
    <cellStyle name="20% - Accent6 13 5" xfId="3086"/>
    <cellStyle name="20% - Accent6 14" xfId="3139"/>
    <cellStyle name="20% - Accent6 14 2" xfId="4584"/>
    <cellStyle name="20% - Accent6 14 2 2" xfId="10394"/>
    <cellStyle name="20% - Accent6 14 2 3" xfId="7472"/>
    <cellStyle name="20% - Accent6 14 3" xfId="8950"/>
    <cellStyle name="20% - Accent6 14 4" xfId="6028"/>
    <cellStyle name="20% - Accent6 15" xfId="3373"/>
    <cellStyle name="20% - Accent6 15 2" xfId="9183"/>
    <cellStyle name="20% - Accent6 15 3" xfId="6261"/>
    <cellStyle name="20% - Accent6 16" xfId="7710"/>
    <cellStyle name="20% - Accent6 17" xfId="4817"/>
    <cellStyle name="20% - Accent6 18" xfId="1926"/>
    <cellStyle name="20% - Accent6 19" xfId="10620"/>
    <cellStyle name="20% - Accent6 2" xfId="6"/>
    <cellStyle name="20% - Accent6 2 2" xfId="738"/>
    <cellStyle name="20% - Accent6 20" xfId="10637"/>
    <cellStyle name="20% - Accent6 21" xfId="10651"/>
    <cellStyle name="20% - Accent6 3" xfId="405"/>
    <cellStyle name="20% - Accent6 3 2" xfId="740"/>
    <cellStyle name="20% - Accent6 3 2 2" xfId="1634"/>
    <cellStyle name="20% - Accent6 3 2 2 2" xfId="4304"/>
    <cellStyle name="20% - Accent6 3 2 2 2 2" xfId="10114"/>
    <cellStyle name="20% - Accent6 3 2 2 2 3" xfId="7192"/>
    <cellStyle name="20% - Accent6 3 2 2 3" xfId="8649"/>
    <cellStyle name="20% - Accent6 3 2 2 4" xfId="5748"/>
    <cellStyle name="20% - Accent6 3 2 2 5" xfId="2857"/>
    <cellStyle name="20% - Accent6 3 2 3" xfId="3140"/>
    <cellStyle name="20% - Accent6 3 2 3 2" xfId="4585"/>
    <cellStyle name="20% - Accent6 3 2 3 2 2" xfId="10395"/>
    <cellStyle name="20% - Accent6 3 2 3 2 3" xfId="7473"/>
    <cellStyle name="20% - Accent6 3 2 3 3" xfId="8951"/>
    <cellStyle name="20% - Accent6 3 2 3 4" xfId="6029"/>
    <cellStyle name="20% - Accent6 3 2 4" xfId="3710"/>
    <cellStyle name="20% - Accent6 3 2 4 2" xfId="9520"/>
    <cellStyle name="20% - Accent6 3 2 4 3" xfId="6598"/>
    <cellStyle name="20% - Accent6 3 2 5" xfId="8047"/>
    <cellStyle name="20% - Accent6 3 2 6" xfId="5154"/>
    <cellStyle name="20% - Accent6 3 2 7" xfId="2263"/>
    <cellStyle name="20% - Accent6 3 3" xfId="739"/>
    <cellStyle name="20% - Accent6 3 4" xfId="587"/>
    <cellStyle name="20% - Accent6 3 4 2" xfId="1491"/>
    <cellStyle name="20% - Accent6 3 4 2 2" xfId="4161"/>
    <cellStyle name="20% - Accent6 3 4 2 2 2" xfId="9971"/>
    <cellStyle name="20% - Accent6 3 4 2 2 3" xfId="7049"/>
    <cellStyle name="20% - Accent6 3 4 2 3" xfId="8506"/>
    <cellStyle name="20% - Accent6 3 4 2 4" xfId="5605"/>
    <cellStyle name="20% - Accent6 3 4 2 5" xfId="2714"/>
    <cellStyle name="20% - Accent6 3 4 3" xfId="3567"/>
    <cellStyle name="20% - Accent6 3 4 3 2" xfId="9377"/>
    <cellStyle name="20% - Accent6 3 4 3 3" xfId="6455"/>
    <cellStyle name="20% - Accent6 3 4 4" xfId="7904"/>
    <cellStyle name="20% - Accent6 3 4 5" xfId="5011"/>
    <cellStyle name="20% - Accent6 3 4 6" xfId="2120"/>
    <cellStyle name="20% - Accent6 3 5" xfId="1316"/>
    <cellStyle name="20% - Accent6 3 5 2" xfId="3986"/>
    <cellStyle name="20% - Accent6 3 5 2 2" xfId="9796"/>
    <cellStyle name="20% - Accent6 3 5 2 3" xfId="6874"/>
    <cellStyle name="20% - Accent6 3 5 3" xfId="8331"/>
    <cellStyle name="20% - Accent6 3 5 4" xfId="5430"/>
    <cellStyle name="20% - Accent6 3 5 5" xfId="2539"/>
    <cellStyle name="20% - Accent6 3 6" xfId="3392"/>
    <cellStyle name="20% - Accent6 3 6 2" xfId="9202"/>
    <cellStyle name="20% - Accent6 3 6 3" xfId="6280"/>
    <cellStyle name="20% - Accent6 3 7" xfId="7729"/>
    <cellStyle name="20% - Accent6 3 8" xfId="4836"/>
    <cellStyle name="20% - Accent6 3 9" xfId="1945"/>
    <cellStyle name="20% - Accent6 4" xfId="426"/>
    <cellStyle name="20% - Accent6 4 2" xfId="741"/>
    <cellStyle name="20% - Accent6 4 2 2" xfId="1635"/>
    <cellStyle name="20% - Accent6 4 2 2 2" xfId="4305"/>
    <cellStyle name="20% - Accent6 4 2 2 2 2" xfId="10115"/>
    <cellStyle name="20% - Accent6 4 2 2 2 3" xfId="7193"/>
    <cellStyle name="20% - Accent6 4 2 2 3" xfId="8650"/>
    <cellStyle name="20% - Accent6 4 2 2 4" xfId="5749"/>
    <cellStyle name="20% - Accent6 4 2 2 5" xfId="2858"/>
    <cellStyle name="20% - Accent6 4 2 3" xfId="3711"/>
    <cellStyle name="20% - Accent6 4 2 3 2" xfId="9521"/>
    <cellStyle name="20% - Accent6 4 2 3 3" xfId="6599"/>
    <cellStyle name="20% - Accent6 4 2 4" xfId="8048"/>
    <cellStyle name="20% - Accent6 4 2 5" xfId="5155"/>
    <cellStyle name="20% - Accent6 4 2 6" xfId="2264"/>
    <cellStyle name="20% - Accent6 4 3" xfId="608"/>
    <cellStyle name="20% - Accent6 4 3 2" xfId="1512"/>
    <cellStyle name="20% - Accent6 4 3 2 2" xfId="4182"/>
    <cellStyle name="20% - Accent6 4 3 2 2 2" xfId="9992"/>
    <cellStyle name="20% - Accent6 4 3 2 2 3" xfId="7070"/>
    <cellStyle name="20% - Accent6 4 3 2 3" xfId="8527"/>
    <cellStyle name="20% - Accent6 4 3 2 4" xfId="5626"/>
    <cellStyle name="20% - Accent6 4 3 2 5" xfId="2735"/>
    <cellStyle name="20% - Accent6 4 3 3" xfId="3588"/>
    <cellStyle name="20% - Accent6 4 3 3 2" xfId="9398"/>
    <cellStyle name="20% - Accent6 4 3 3 3" xfId="6476"/>
    <cellStyle name="20% - Accent6 4 3 4" xfId="7925"/>
    <cellStyle name="20% - Accent6 4 3 5" xfId="5032"/>
    <cellStyle name="20% - Accent6 4 3 6" xfId="2141"/>
    <cellStyle name="20% - Accent6 4 4" xfId="1337"/>
    <cellStyle name="20% - Accent6 4 4 2" xfId="4007"/>
    <cellStyle name="20% - Accent6 4 4 2 2" xfId="9817"/>
    <cellStyle name="20% - Accent6 4 4 2 3" xfId="6895"/>
    <cellStyle name="20% - Accent6 4 4 3" xfId="8352"/>
    <cellStyle name="20% - Accent6 4 4 4" xfId="5451"/>
    <cellStyle name="20% - Accent6 4 4 5" xfId="2560"/>
    <cellStyle name="20% - Accent6 4 5" xfId="3141"/>
    <cellStyle name="20% - Accent6 4 5 2" xfId="4586"/>
    <cellStyle name="20% - Accent6 4 5 2 2" xfId="10396"/>
    <cellStyle name="20% - Accent6 4 5 2 3" xfId="7474"/>
    <cellStyle name="20% - Accent6 4 5 3" xfId="8952"/>
    <cellStyle name="20% - Accent6 4 5 4" xfId="6030"/>
    <cellStyle name="20% - Accent6 4 6" xfId="3413"/>
    <cellStyle name="20% - Accent6 4 6 2" xfId="9223"/>
    <cellStyle name="20% - Accent6 4 6 3" xfId="6301"/>
    <cellStyle name="20% - Accent6 4 7" xfId="7750"/>
    <cellStyle name="20% - Accent6 4 8" xfId="4857"/>
    <cellStyle name="20% - Accent6 4 9" xfId="1966"/>
    <cellStyle name="20% - Accent6 5" xfId="441"/>
    <cellStyle name="20% - Accent6 5 2" xfId="742"/>
    <cellStyle name="20% - Accent6 5 2 2" xfId="1636"/>
    <cellStyle name="20% - Accent6 5 2 2 2" xfId="4306"/>
    <cellStyle name="20% - Accent6 5 2 2 2 2" xfId="10116"/>
    <cellStyle name="20% - Accent6 5 2 2 2 3" xfId="7194"/>
    <cellStyle name="20% - Accent6 5 2 2 3" xfId="8651"/>
    <cellStyle name="20% - Accent6 5 2 2 4" xfId="5750"/>
    <cellStyle name="20% - Accent6 5 2 2 5" xfId="2859"/>
    <cellStyle name="20% - Accent6 5 2 3" xfId="3712"/>
    <cellStyle name="20% - Accent6 5 2 3 2" xfId="9522"/>
    <cellStyle name="20% - Accent6 5 2 3 3" xfId="6600"/>
    <cellStyle name="20% - Accent6 5 2 4" xfId="8049"/>
    <cellStyle name="20% - Accent6 5 2 5" xfId="5156"/>
    <cellStyle name="20% - Accent6 5 2 6" xfId="2265"/>
    <cellStyle name="20% - Accent6 5 3" xfId="623"/>
    <cellStyle name="20% - Accent6 5 3 2" xfId="1527"/>
    <cellStyle name="20% - Accent6 5 3 2 2" xfId="4197"/>
    <cellStyle name="20% - Accent6 5 3 2 2 2" xfId="10007"/>
    <cellStyle name="20% - Accent6 5 3 2 2 3" xfId="7085"/>
    <cellStyle name="20% - Accent6 5 3 2 3" xfId="8542"/>
    <cellStyle name="20% - Accent6 5 3 2 4" xfId="5641"/>
    <cellStyle name="20% - Accent6 5 3 2 5" xfId="2750"/>
    <cellStyle name="20% - Accent6 5 3 3" xfId="3603"/>
    <cellStyle name="20% - Accent6 5 3 3 2" xfId="9413"/>
    <cellStyle name="20% - Accent6 5 3 3 3" xfId="6491"/>
    <cellStyle name="20% - Accent6 5 3 4" xfId="7940"/>
    <cellStyle name="20% - Accent6 5 3 5" xfId="5047"/>
    <cellStyle name="20% - Accent6 5 3 6" xfId="2156"/>
    <cellStyle name="20% - Accent6 5 4" xfId="1352"/>
    <cellStyle name="20% - Accent6 5 4 2" xfId="4022"/>
    <cellStyle name="20% - Accent6 5 4 2 2" xfId="9832"/>
    <cellStyle name="20% - Accent6 5 4 2 3" xfId="6910"/>
    <cellStyle name="20% - Accent6 5 4 3" xfId="8367"/>
    <cellStyle name="20% - Accent6 5 4 4" xfId="5466"/>
    <cellStyle name="20% - Accent6 5 4 5" xfId="2575"/>
    <cellStyle name="20% - Accent6 5 5" xfId="3142"/>
    <cellStyle name="20% - Accent6 5 5 2" xfId="4587"/>
    <cellStyle name="20% - Accent6 5 5 2 2" xfId="10397"/>
    <cellStyle name="20% - Accent6 5 5 2 3" xfId="7475"/>
    <cellStyle name="20% - Accent6 5 5 3" xfId="8953"/>
    <cellStyle name="20% - Accent6 5 5 4" xfId="6031"/>
    <cellStyle name="20% - Accent6 5 6" xfId="3428"/>
    <cellStyle name="20% - Accent6 5 6 2" xfId="9238"/>
    <cellStyle name="20% - Accent6 5 6 3" xfId="6316"/>
    <cellStyle name="20% - Accent6 5 7" xfId="7765"/>
    <cellStyle name="20% - Accent6 5 8" xfId="4872"/>
    <cellStyle name="20% - Accent6 5 9" xfId="1981"/>
    <cellStyle name="20% - Accent6 6" xfId="455"/>
    <cellStyle name="20% - Accent6 6 2" xfId="743"/>
    <cellStyle name="20% - Accent6 6 2 2" xfId="1637"/>
    <cellStyle name="20% - Accent6 6 2 2 2" xfId="4307"/>
    <cellStyle name="20% - Accent6 6 2 2 2 2" xfId="10117"/>
    <cellStyle name="20% - Accent6 6 2 2 2 3" xfId="7195"/>
    <cellStyle name="20% - Accent6 6 2 2 3" xfId="8652"/>
    <cellStyle name="20% - Accent6 6 2 2 4" xfId="5751"/>
    <cellStyle name="20% - Accent6 6 2 2 5" xfId="2860"/>
    <cellStyle name="20% - Accent6 6 2 3" xfId="3713"/>
    <cellStyle name="20% - Accent6 6 2 3 2" xfId="9523"/>
    <cellStyle name="20% - Accent6 6 2 3 3" xfId="6601"/>
    <cellStyle name="20% - Accent6 6 2 4" xfId="8050"/>
    <cellStyle name="20% - Accent6 6 2 5" xfId="5157"/>
    <cellStyle name="20% - Accent6 6 2 6" xfId="2266"/>
    <cellStyle name="20% - Accent6 6 3" xfId="637"/>
    <cellStyle name="20% - Accent6 6 3 2" xfId="1541"/>
    <cellStyle name="20% - Accent6 6 3 2 2" xfId="4211"/>
    <cellStyle name="20% - Accent6 6 3 2 2 2" xfId="10021"/>
    <cellStyle name="20% - Accent6 6 3 2 2 3" xfId="7099"/>
    <cellStyle name="20% - Accent6 6 3 2 3" xfId="8556"/>
    <cellStyle name="20% - Accent6 6 3 2 4" xfId="5655"/>
    <cellStyle name="20% - Accent6 6 3 2 5" xfId="2764"/>
    <cellStyle name="20% - Accent6 6 3 3" xfId="3617"/>
    <cellStyle name="20% - Accent6 6 3 3 2" xfId="9427"/>
    <cellStyle name="20% - Accent6 6 3 3 3" xfId="6505"/>
    <cellStyle name="20% - Accent6 6 3 4" xfId="7954"/>
    <cellStyle name="20% - Accent6 6 3 5" xfId="5061"/>
    <cellStyle name="20% - Accent6 6 3 6" xfId="2170"/>
    <cellStyle name="20% - Accent6 6 4" xfId="1366"/>
    <cellStyle name="20% - Accent6 6 4 2" xfId="4036"/>
    <cellStyle name="20% - Accent6 6 4 2 2" xfId="9846"/>
    <cellStyle name="20% - Accent6 6 4 2 3" xfId="6924"/>
    <cellStyle name="20% - Accent6 6 4 3" xfId="8381"/>
    <cellStyle name="20% - Accent6 6 4 4" xfId="5480"/>
    <cellStyle name="20% - Accent6 6 4 5" xfId="2589"/>
    <cellStyle name="20% - Accent6 6 5" xfId="3143"/>
    <cellStyle name="20% - Accent6 6 5 2" xfId="4588"/>
    <cellStyle name="20% - Accent6 6 5 2 2" xfId="10398"/>
    <cellStyle name="20% - Accent6 6 5 2 3" xfId="7476"/>
    <cellStyle name="20% - Accent6 6 5 3" xfId="8954"/>
    <cellStyle name="20% - Accent6 6 5 4" xfId="6032"/>
    <cellStyle name="20% - Accent6 6 6" xfId="3442"/>
    <cellStyle name="20% - Accent6 6 6 2" xfId="9252"/>
    <cellStyle name="20% - Accent6 6 6 3" xfId="6330"/>
    <cellStyle name="20% - Accent6 6 7" xfId="7779"/>
    <cellStyle name="20% - Accent6 6 8" xfId="4886"/>
    <cellStyle name="20% - Accent6 6 9" xfId="1995"/>
    <cellStyle name="20% - Accent6 7" xfId="475"/>
    <cellStyle name="20% - Accent6 7 2" xfId="744"/>
    <cellStyle name="20% - Accent6 7 2 2" xfId="1638"/>
    <cellStyle name="20% - Accent6 7 2 2 2" xfId="4308"/>
    <cellStyle name="20% - Accent6 7 2 2 2 2" xfId="10118"/>
    <cellStyle name="20% - Accent6 7 2 2 2 3" xfId="7196"/>
    <cellStyle name="20% - Accent6 7 2 2 3" xfId="8653"/>
    <cellStyle name="20% - Accent6 7 2 2 4" xfId="5752"/>
    <cellStyle name="20% - Accent6 7 2 2 5" xfId="2861"/>
    <cellStyle name="20% - Accent6 7 2 3" xfId="3714"/>
    <cellStyle name="20% - Accent6 7 2 3 2" xfId="9524"/>
    <cellStyle name="20% - Accent6 7 2 3 3" xfId="6602"/>
    <cellStyle name="20% - Accent6 7 2 4" xfId="8051"/>
    <cellStyle name="20% - Accent6 7 2 5" xfId="5158"/>
    <cellStyle name="20% - Accent6 7 2 6" xfId="2267"/>
    <cellStyle name="20% - Accent6 7 3" xfId="657"/>
    <cellStyle name="20% - Accent6 7 3 2" xfId="1561"/>
    <cellStyle name="20% - Accent6 7 3 2 2" xfId="4231"/>
    <cellStyle name="20% - Accent6 7 3 2 2 2" xfId="10041"/>
    <cellStyle name="20% - Accent6 7 3 2 2 3" xfId="7119"/>
    <cellStyle name="20% - Accent6 7 3 2 3" xfId="8576"/>
    <cellStyle name="20% - Accent6 7 3 2 4" xfId="5675"/>
    <cellStyle name="20% - Accent6 7 3 2 5" xfId="2784"/>
    <cellStyle name="20% - Accent6 7 3 3" xfId="3637"/>
    <cellStyle name="20% - Accent6 7 3 3 2" xfId="9447"/>
    <cellStyle name="20% - Accent6 7 3 3 3" xfId="6525"/>
    <cellStyle name="20% - Accent6 7 3 4" xfId="7974"/>
    <cellStyle name="20% - Accent6 7 3 5" xfId="5081"/>
    <cellStyle name="20% - Accent6 7 3 6" xfId="2190"/>
    <cellStyle name="20% - Accent6 7 4" xfId="1386"/>
    <cellStyle name="20% - Accent6 7 4 2" xfId="4056"/>
    <cellStyle name="20% - Accent6 7 4 2 2" xfId="9866"/>
    <cellStyle name="20% - Accent6 7 4 2 3" xfId="6944"/>
    <cellStyle name="20% - Accent6 7 4 3" xfId="8401"/>
    <cellStyle name="20% - Accent6 7 4 4" xfId="5500"/>
    <cellStyle name="20% - Accent6 7 4 5" xfId="2609"/>
    <cellStyle name="20% - Accent6 7 5" xfId="3144"/>
    <cellStyle name="20% - Accent6 7 5 2" xfId="4589"/>
    <cellStyle name="20% - Accent6 7 5 2 2" xfId="10399"/>
    <cellStyle name="20% - Accent6 7 5 2 3" xfId="7477"/>
    <cellStyle name="20% - Accent6 7 5 3" xfId="8955"/>
    <cellStyle name="20% - Accent6 7 5 4" xfId="6033"/>
    <cellStyle name="20% - Accent6 7 6" xfId="3462"/>
    <cellStyle name="20% - Accent6 7 6 2" xfId="9272"/>
    <cellStyle name="20% - Accent6 7 6 3" xfId="6350"/>
    <cellStyle name="20% - Accent6 7 7" xfId="7799"/>
    <cellStyle name="20% - Accent6 7 8" xfId="4906"/>
    <cellStyle name="20% - Accent6 7 9" xfId="2015"/>
    <cellStyle name="20% - Accent6 8" xfId="515"/>
    <cellStyle name="20% - Accent6 8 2" xfId="693"/>
    <cellStyle name="20% - Accent6 8 2 2" xfId="1597"/>
    <cellStyle name="20% - Accent6 8 2 2 2" xfId="4267"/>
    <cellStyle name="20% - Accent6 8 2 2 2 2" xfId="10077"/>
    <cellStyle name="20% - Accent6 8 2 2 2 3" xfId="7155"/>
    <cellStyle name="20% - Accent6 8 2 2 3" xfId="8612"/>
    <cellStyle name="20% - Accent6 8 2 2 4" xfId="5711"/>
    <cellStyle name="20% - Accent6 8 2 2 5" xfId="2820"/>
    <cellStyle name="20% - Accent6 8 2 3" xfId="3673"/>
    <cellStyle name="20% - Accent6 8 2 3 2" xfId="9483"/>
    <cellStyle name="20% - Accent6 8 2 3 3" xfId="6561"/>
    <cellStyle name="20% - Accent6 8 2 4" xfId="8010"/>
    <cellStyle name="20% - Accent6 8 2 5" xfId="5117"/>
    <cellStyle name="20% - Accent6 8 2 6" xfId="2226"/>
    <cellStyle name="20% - Accent6 8 3" xfId="1422"/>
    <cellStyle name="20% - Accent6 8 3 2" xfId="4092"/>
    <cellStyle name="20% - Accent6 8 3 2 2" xfId="9902"/>
    <cellStyle name="20% - Accent6 8 3 2 3" xfId="6980"/>
    <cellStyle name="20% - Accent6 8 3 3" xfId="8437"/>
    <cellStyle name="20% - Accent6 8 3 4" xfId="5536"/>
    <cellStyle name="20% - Accent6 8 3 5" xfId="2645"/>
    <cellStyle name="20% - Accent6 8 4" xfId="3498"/>
    <cellStyle name="20% - Accent6 8 4 2" xfId="9308"/>
    <cellStyle name="20% - Accent6 8 4 3" xfId="6386"/>
    <cellStyle name="20% - Accent6 8 5" xfId="7835"/>
    <cellStyle name="20% - Accent6 8 6" xfId="4942"/>
    <cellStyle name="20% - Accent6 8 7" xfId="2051"/>
    <cellStyle name="20% - Accent6 9" xfId="737"/>
    <cellStyle name="20% - Accent6 9 2" xfId="1633"/>
    <cellStyle name="20% - Accent6 9 2 2" xfId="4303"/>
    <cellStyle name="20% - Accent6 9 2 2 2" xfId="10113"/>
    <cellStyle name="20% - Accent6 9 2 2 3" xfId="7191"/>
    <cellStyle name="20% - Accent6 9 2 3" xfId="8648"/>
    <cellStyle name="20% - Accent6 9 2 4" xfId="5747"/>
    <cellStyle name="20% - Accent6 9 2 5" xfId="2856"/>
    <cellStyle name="20% - Accent6 9 3" xfId="3709"/>
    <cellStyle name="20% - Accent6 9 3 2" xfId="9519"/>
    <cellStyle name="20% - Accent6 9 3 3" xfId="6597"/>
    <cellStyle name="20% - Accent6 9 4" xfId="8046"/>
    <cellStyle name="20% - Accent6 9 5" xfId="5153"/>
    <cellStyle name="20% - Accent6 9 6" xfId="2262"/>
    <cellStyle name="40% - Accent1" xfId="366" builtinId="31" customBuiltin="1"/>
    <cellStyle name="40% - Accent1 10" xfId="559"/>
    <cellStyle name="40% - Accent1 10 2" xfId="1463"/>
    <cellStyle name="40% - Accent1 10 2 2" xfId="4133"/>
    <cellStyle name="40% - Accent1 10 2 2 2" xfId="9943"/>
    <cellStyle name="40% - Accent1 10 2 2 3" xfId="7021"/>
    <cellStyle name="40% - Accent1 10 2 3" xfId="8478"/>
    <cellStyle name="40% - Accent1 10 2 4" xfId="5577"/>
    <cellStyle name="40% - Accent1 10 2 5" xfId="2686"/>
    <cellStyle name="40% - Accent1 10 3" xfId="3539"/>
    <cellStyle name="40% - Accent1 10 3 2" xfId="9349"/>
    <cellStyle name="40% - Accent1 10 3 3" xfId="6427"/>
    <cellStyle name="40% - Accent1 10 4" xfId="7876"/>
    <cellStyle name="40% - Accent1 10 5" xfId="4983"/>
    <cellStyle name="40% - Accent1 10 6" xfId="2092"/>
    <cellStyle name="40% - Accent1 11" xfId="1238"/>
    <cellStyle name="40% - Accent1 11 2" xfId="1856"/>
    <cellStyle name="40% - Accent1 11 2 2" xfId="4506"/>
    <cellStyle name="40% - Accent1 11 2 2 2" xfId="10316"/>
    <cellStyle name="40% - Accent1 11 2 2 3" xfId="7394"/>
    <cellStyle name="40% - Accent1 11 2 3" xfId="8871"/>
    <cellStyle name="40% - Accent1 11 2 4" xfId="5950"/>
    <cellStyle name="40% - Accent1 11 2 5" xfId="3059"/>
    <cellStyle name="40% - Accent1 11 3" xfId="3912"/>
    <cellStyle name="40% - Accent1 11 3 2" xfId="9722"/>
    <cellStyle name="40% - Accent1 11 3 3" xfId="6800"/>
    <cellStyle name="40% - Accent1 11 4" xfId="8253"/>
    <cellStyle name="40% - Accent1 11 5" xfId="5356"/>
    <cellStyle name="40% - Accent1 11 6" xfId="2465"/>
    <cellStyle name="40% - Accent1 12" xfId="1288"/>
    <cellStyle name="40% - Accent1 12 2" xfId="3958"/>
    <cellStyle name="40% - Accent1 12 2 2" xfId="9768"/>
    <cellStyle name="40% - Accent1 12 2 3" xfId="6846"/>
    <cellStyle name="40% - Accent1 12 3" xfId="8303"/>
    <cellStyle name="40% - Accent1 12 4" xfId="5402"/>
    <cellStyle name="40% - Accent1 12 5" xfId="2511"/>
    <cellStyle name="40% - Accent1 13" xfId="1870"/>
    <cellStyle name="40% - Accent1 13 2" xfId="4523"/>
    <cellStyle name="40% - Accent1 13 2 2" xfId="10333"/>
    <cellStyle name="40% - Accent1 13 2 3" xfId="7411"/>
    <cellStyle name="40% - Accent1 13 3" xfId="8888"/>
    <cellStyle name="40% - Accent1 13 4" xfId="5967"/>
    <cellStyle name="40% - Accent1 13 5" xfId="3075"/>
    <cellStyle name="40% - Accent1 14" xfId="3145"/>
    <cellStyle name="40% - Accent1 14 2" xfId="4590"/>
    <cellStyle name="40% - Accent1 14 2 2" xfId="10400"/>
    <cellStyle name="40% - Accent1 14 2 3" xfId="7478"/>
    <cellStyle name="40% - Accent1 14 3" xfId="8956"/>
    <cellStyle name="40% - Accent1 14 4" xfId="6034"/>
    <cellStyle name="40% - Accent1 15" xfId="3364"/>
    <cellStyle name="40% - Accent1 15 2" xfId="9174"/>
    <cellStyle name="40% - Accent1 15 3" xfId="6252"/>
    <cellStyle name="40% - Accent1 16" xfId="7701"/>
    <cellStyle name="40% - Accent1 17" xfId="4808"/>
    <cellStyle name="40% - Accent1 18" xfId="1917"/>
    <cellStyle name="40% - Accent1 19" xfId="10611"/>
    <cellStyle name="40% - Accent1 2" xfId="7"/>
    <cellStyle name="40% - Accent1 2 2" xfId="746"/>
    <cellStyle name="40% - Accent1 20" xfId="10628"/>
    <cellStyle name="40% - Accent1 21" xfId="10642"/>
    <cellStyle name="40% - Accent1 3" xfId="396"/>
    <cellStyle name="40% - Accent1 3 2" xfId="748"/>
    <cellStyle name="40% - Accent1 3 2 2" xfId="1640"/>
    <cellStyle name="40% - Accent1 3 2 2 2" xfId="4310"/>
    <cellStyle name="40% - Accent1 3 2 2 2 2" xfId="10120"/>
    <cellStyle name="40% - Accent1 3 2 2 2 3" xfId="7198"/>
    <cellStyle name="40% - Accent1 3 2 2 3" xfId="8655"/>
    <cellStyle name="40% - Accent1 3 2 2 4" xfId="5754"/>
    <cellStyle name="40% - Accent1 3 2 2 5" xfId="2863"/>
    <cellStyle name="40% - Accent1 3 2 3" xfId="3146"/>
    <cellStyle name="40% - Accent1 3 2 3 2" xfId="4591"/>
    <cellStyle name="40% - Accent1 3 2 3 2 2" xfId="10401"/>
    <cellStyle name="40% - Accent1 3 2 3 2 3" xfId="7479"/>
    <cellStyle name="40% - Accent1 3 2 3 3" xfId="8957"/>
    <cellStyle name="40% - Accent1 3 2 3 4" xfId="6035"/>
    <cellStyle name="40% - Accent1 3 2 4" xfId="3716"/>
    <cellStyle name="40% - Accent1 3 2 4 2" xfId="9526"/>
    <cellStyle name="40% - Accent1 3 2 4 3" xfId="6604"/>
    <cellStyle name="40% - Accent1 3 2 5" xfId="8053"/>
    <cellStyle name="40% - Accent1 3 2 6" xfId="5160"/>
    <cellStyle name="40% - Accent1 3 2 7" xfId="2269"/>
    <cellStyle name="40% - Accent1 3 3" xfId="747"/>
    <cellStyle name="40% - Accent1 3 4" xfId="578"/>
    <cellStyle name="40% - Accent1 3 4 2" xfId="1482"/>
    <cellStyle name="40% - Accent1 3 4 2 2" xfId="4152"/>
    <cellStyle name="40% - Accent1 3 4 2 2 2" xfId="9962"/>
    <cellStyle name="40% - Accent1 3 4 2 2 3" xfId="7040"/>
    <cellStyle name="40% - Accent1 3 4 2 3" xfId="8497"/>
    <cellStyle name="40% - Accent1 3 4 2 4" xfId="5596"/>
    <cellStyle name="40% - Accent1 3 4 2 5" xfId="2705"/>
    <cellStyle name="40% - Accent1 3 4 3" xfId="3558"/>
    <cellStyle name="40% - Accent1 3 4 3 2" xfId="9368"/>
    <cellStyle name="40% - Accent1 3 4 3 3" xfId="6446"/>
    <cellStyle name="40% - Accent1 3 4 4" xfId="7895"/>
    <cellStyle name="40% - Accent1 3 4 5" xfId="5002"/>
    <cellStyle name="40% - Accent1 3 4 6" xfId="2111"/>
    <cellStyle name="40% - Accent1 3 5" xfId="1307"/>
    <cellStyle name="40% - Accent1 3 5 2" xfId="3977"/>
    <cellStyle name="40% - Accent1 3 5 2 2" xfId="9787"/>
    <cellStyle name="40% - Accent1 3 5 2 3" xfId="6865"/>
    <cellStyle name="40% - Accent1 3 5 3" xfId="8322"/>
    <cellStyle name="40% - Accent1 3 5 4" xfId="5421"/>
    <cellStyle name="40% - Accent1 3 5 5" xfId="2530"/>
    <cellStyle name="40% - Accent1 3 6" xfId="3383"/>
    <cellStyle name="40% - Accent1 3 6 2" xfId="9193"/>
    <cellStyle name="40% - Accent1 3 6 3" xfId="6271"/>
    <cellStyle name="40% - Accent1 3 7" xfId="7720"/>
    <cellStyle name="40% - Accent1 3 8" xfId="4827"/>
    <cellStyle name="40% - Accent1 3 9" xfId="1936"/>
    <cellStyle name="40% - Accent1 4" xfId="417"/>
    <cellStyle name="40% - Accent1 4 2" xfId="749"/>
    <cellStyle name="40% - Accent1 4 2 2" xfId="1641"/>
    <cellStyle name="40% - Accent1 4 2 2 2" xfId="4311"/>
    <cellStyle name="40% - Accent1 4 2 2 2 2" xfId="10121"/>
    <cellStyle name="40% - Accent1 4 2 2 2 3" xfId="7199"/>
    <cellStyle name="40% - Accent1 4 2 2 3" xfId="8656"/>
    <cellStyle name="40% - Accent1 4 2 2 4" xfId="5755"/>
    <cellStyle name="40% - Accent1 4 2 2 5" xfId="2864"/>
    <cellStyle name="40% - Accent1 4 2 3" xfId="3717"/>
    <cellStyle name="40% - Accent1 4 2 3 2" xfId="9527"/>
    <cellStyle name="40% - Accent1 4 2 3 3" xfId="6605"/>
    <cellStyle name="40% - Accent1 4 2 4" xfId="8054"/>
    <cellStyle name="40% - Accent1 4 2 5" xfId="5161"/>
    <cellStyle name="40% - Accent1 4 2 6" xfId="2270"/>
    <cellStyle name="40% - Accent1 4 3" xfId="599"/>
    <cellStyle name="40% - Accent1 4 3 2" xfId="1503"/>
    <cellStyle name="40% - Accent1 4 3 2 2" xfId="4173"/>
    <cellStyle name="40% - Accent1 4 3 2 2 2" xfId="9983"/>
    <cellStyle name="40% - Accent1 4 3 2 2 3" xfId="7061"/>
    <cellStyle name="40% - Accent1 4 3 2 3" xfId="8518"/>
    <cellStyle name="40% - Accent1 4 3 2 4" xfId="5617"/>
    <cellStyle name="40% - Accent1 4 3 2 5" xfId="2726"/>
    <cellStyle name="40% - Accent1 4 3 3" xfId="3579"/>
    <cellStyle name="40% - Accent1 4 3 3 2" xfId="9389"/>
    <cellStyle name="40% - Accent1 4 3 3 3" xfId="6467"/>
    <cellStyle name="40% - Accent1 4 3 4" xfId="7916"/>
    <cellStyle name="40% - Accent1 4 3 5" xfId="5023"/>
    <cellStyle name="40% - Accent1 4 3 6" xfId="2132"/>
    <cellStyle name="40% - Accent1 4 4" xfId="1328"/>
    <cellStyle name="40% - Accent1 4 4 2" xfId="3998"/>
    <cellStyle name="40% - Accent1 4 4 2 2" xfId="9808"/>
    <cellStyle name="40% - Accent1 4 4 2 3" xfId="6886"/>
    <cellStyle name="40% - Accent1 4 4 3" xfId="8343"/>
    <cellStyle name="40% - Accent1 4 4 4" xfId="5442"/>
    <cellStyle name="40% - Accent1 4 4 5" xfId="2551"/>
    <cellStyle name="40% - Accent1 4 5" xfId="3147"/>
    <cellStyle name="40% - Accent1 4 5 2" xfId="4592"/>
    <cellStyle name="40% - Accent1 4 5 2 2" xfId="10402"/>
    <cellStyle name="40% - Accent1 4 5 2 3" xfId="7480"/>
    <cellStyle name="40% - Accent1 4 5 3" xfId="8958"/>
    <cellStyle name="40% - Accent1 4 5 4" xfId="6036"/>
    <cellStyle name="40% - Accent1 4 6" xfId="3404"/>
    <cellStyle name="40% - Accent1 4 6 2" xfId="9214"/>
    <cellStyle name="40% - Accent1 4 6 3" xfId="6292"/>
    <cellStyle name="40% - Accent1 4 7" xfId="7741"/>
    <cellStyle name="40% - Accent1 4 8" xfId="4848"/>
    <cellStyle name="40% - Accent1 4 9" xfId="1957"/>
    <cellStyle name="40% - Accent1 5" xfId="432"/>
    <cellStyle name="40% - Accent1 5 2" xfId="750"/>
    <cellStyle name="40% - Accent1 5 2 2" xfId="1642"/>
    <cellStyle name="40% - Accent1 5 2 2 2" xfId="4312"/>
    <cellStyle name="40% - Accent1 5 2 2 2 2" xfId="10122"/>
    <cellStyle name="40% - Accent1 5 2 2 2 3" xfId="7200"/>
    <cellStyle name="40% - Accent1 5 2 2 3" xfId="8657"/>
    <cellStyle name="40% - Accent1 5 2 2 4" xfId="5756"/>
    <cellStyle name="40% - Accent1 5 2 2 5" xfId="2865"/>
    <cellStyle name="40% - Accent1 5 2 3" xfId="3718"/>
    <cellStyle name="40% - Accent1 5 2 3 2" xfId="9528"/>
    <cellStyle name="40% - Accent1 5 2 3 3" xfId="6606"/>
    <cellStyle name="40% - Accent1 5 2 4" xfId="8055"/>
    <cellStyle name="40% - Accent1 5 2 5" xfId="5162"/>
    <cellStyle name="40% - Accent1 5 2 6" xfId="2271"/>
    <cellStyle name="40% - Accent1 5 3" xfId="614"/>
    <cellStyle name="40% - Accent1 5 3 2" xfId="1518"/>
    <cellStyle name="40% - Accent1 5 3 2 2" xfId="4188"/>
    <cellStyle name="40% - Accent1 5 3 2 2 2" xfId="9998"/>
    <cellStyle name="40% - Accent1 5 3 2 2 3" xfId="7076"/>
    <cellStyle name="40% - Accent1 5 3 2 3" xfId="8533"/>
    <cellStyle name="40% - Accent1 5 3 2 4" xfId="5632"/>
    <cellStyle name="40% - Accent1 5 3 2 5" xfId="2741"/>
    <cellStyle name="40% - Accent1 5 3 3" xfId="3594"/>
    <cellStyle name="40% - Accent1 5 3 3 2" xfId="9404"/>
    <cellStyle name="40% - Accent1 5 3 3 3" xfId="6482"/>
    <cellStyle name="40% - Accent1 5 3 4" xfId="7931"/>
    <cellStyle name="40% - Accent1 5 3 5" xfId="5038"/>
    <cellStyle name="40% - Accent1 5 3 6" xfId="2147"/>
    <cellStyle name="40% - Accent1 5 4" xfId="1343"/>
    <cellStyle name="40% - Accent1 5 4 2" xfId="4013"/>
    <cellStyle name="40% - Accent1 5 4 2 2" xfId="9823"/>
    <cellStyle name="40% - Accent1 5 4 2 3" xfId="6901"/>
    <cellStyle name="40% - Accent1 5 4 3" xfId="8358"/>
    <cellStyle name="40% - Accent1 5 4 4" xfId="5457"/>
    <cellStyle name="40% - Accent1 5 4 5" xfId="2566"/>
    <cellStyle name="40% - Accent1 5 5" xfId="3148"/>
    <cellStyle name="40% - Accent1 5 5 2" xfId="4593"/>
    <cellStyle name="40% - Accent1 5 5 2 2" xfId="10403"/>
    <cellStyle name="40% - Accent1 5 5 2 3" xfId="7481"/>
    <cellStyle name="40% - Accent1 5 5 3" xfId="8959"/>
    <cellStyle name="40% - Accent1 5 5 4" xfId="6037"/>
    <cellStyle name="40% - Accent1 5 6" xfId="3419"/>
    <cellStyle name="40% - Accent1 5 6 2" xfId="9229"/>
    <cellStyle name="40% - Accent1 5 6 3" xfId="6307"/>
    <cellStyle name="40% - Accent1 5 7" xfId="7756"/>
    <cellStyle name="40% - Accent1 5 8" xfId="4863"/>
    <cellStyle name="40% - Accent1 5 9" xfId="1972"/>
    <cellStyle name="40% - Accent1 6" xfId="446"/>
    <cellStyle name="40% - Accent1 6 2" xfId="751"/>
    <cellStyle name="40% - Accent1 6 2 2" xfId="1643"/>
    <cellStyle name="40% - Accent1 6 2 2 2" xfId="4313"/>
    <cellStyle name="40% - Accent1 6 2 2 2 2" xfId="10123"/>
    <cellStyle name="40% - Accent1 6 2 2 2 3" xfId="7201"/>
    <cellStyle name="40% - Accent1 6 2 2 3" xfId="8658"/>
    <cellStyle name="40% - Accent1 6 2 2 4" xfId="5757"/>
    <cellStyle name="40% - Accent1 6 2 2 5" xfId="2866"/>
    <cellStyle name="40% - Accent1 6 2 3" xfId="3719"/>
    <cellStyle name="40% - Accent1 6 2 3 2" xfId="9529"/>
    <cellStyle name="40% - Accent1 6 2 3 3" xfId="6607"/>
    <cellStyle name="40% - Accent1 6 2 4" xfId="8056"/>
    <cellStyle name="40% - Accent1 6 2 5" xfId="5163"/>
    <cellStyle name="40% - Accent1 6 2 6" xfId="2272"/>
    <cellStyle name="40% - Accent1 6 3" xfId="628"/>
    <cellStyle name="40% - Accent1 6 3 2" xfId="1532"/>
    <cellStyle name="40% - Accent1 6 3 2 2" xfId="4202"/>
    <cellStyle name="40% - Accent1 6 3 2 2 2" xfId="10012"/>
    <cellStyle name="40% - Accent1 6 3 2 2 3" xfId="7090"/>
    <cellStyle name="40% - Accent1 6 3 2 3" xfId="8547"/>
    <cellStyle name="40% - Accent1 6 3 2 4" xfId="5646"/>
    <cellStyle name="40% - Accent1 6 3 2 5" xfId="2755"/>
    <cellStyle name="40% - Accent1 6 3 3" xfId="3608"/>
    <cellStyle name="40% - Accent1 6 3 3 2" xfId="9418"/>
    <cellStyle name="40% - Accent1 6 3 3 3" xfId="6496"/>
    <cellStyle name="40% - Accent1 6 3 4" xfId="7945"/>
    <cellStyle name="40% - Accent1 6 3 5" xfId="5052"/>
    <cellStyle name="40% - Accent1 6 3 6" xfId="2161"/>
    <cellStyle name="40% - Accent1 6 4" xfId="1357"/>
    <cellStyle name="40% - Accent1 6 4 2" xfId="4027"/>
    <cellStyle name="40% - Accent1 6 4 2 2" xfId="9837"/>
    <cellStyle name="40% - Accent1 6 4 2 3" xfId="6915"/>
    <cellStyle name="40% - Accent1 6 4 3" xfId="8372"/>
    <cellStyle name="40% - Accent1 6 4 4" xfId="5471"/>
    <cellStyle name="40% - Accent1 6 4 5" xfId="2580"/>
    <cellStyle name="40% - Accent1 6 5" xfId="3149"/>
    <cellStyle name="40% - Accent1 6 5 2" xfId="4594"/>
    <cellStyle name="40% - Accent1 6 5 2 2" xfId="10404"/>
    <cellStyle name="40% - Accent1 6 5 2 3" xfId="7482"/>
    <cellStyle name="40% - Accent1 6 5 3" xfId="8960"/>
    <cellStyle name="40% - Accent1 6 5 4" xfId="6038"/>
    <cellStyle name="40% - Accent1 6 6" xfId="3433"/>
    <cellStyle name="40% - Accent1 6 6 2" xfId="9243"/>
    <cellStyle name="40% - Accent1 6 6 3" xfId="6321"/>
    <cellStyle name="40% - Accent1 6 7" xfId="7770"/>
    <cellStyle name="40% - Accent1 6 8" xfId="4877"/>
    <cellStyle name="40% - Accent1 6 9" xfId="1986"/>
    <cellStyle name="40% - Accent1 7" xfId="465"/>
    <cellStyle name="40% - Accent1 7 2" xfId="752"/>
    <cellStyle name="40% - Accent1 7 2 2" xfId="1644"/>
    <cellStyle name="40% - Accent1 7 2 2 2" xfId="4314"/>
    <cellStyle name="40% - Accent1 7 2 2 2 2" xfId="10124"/>
    <cellStyle name="40% - Accent1 7 2 2 2 3" xfId="7202"/>
    <cellStyle name="40% - Accent1 7 2 2 3" xfId="8659"/>
    <cellStyle name="40% - Accent1 7 2 2 4" xfId="5758"/>
    <cellStyle name="40% - Accent1 7 2 2 5" xfId="2867"/>
    <cellStyle name="40% - Accent1 7 2 3" xfId="3720"/>
    <cellStyle name="40% - Accent1 7 2 3 2" xfId="9530"/>
    <cellStyle name="40% - Accent1 7 2 3 3" xfId="6608"/>
    <cellStyle name="40% - Accent1 7 2 4" xfId="8057"/>
    <cellStyle name="40% - Accent1 7 2 5" xfId="5164"/>
    <cellStyle name="40% - Accent1 7 2 6" xfId="2273"/>
    <cellStyle name="40% - Accent1 7 3" xfId="647"/>
    <cellStyle name="40% - Accent1 7 3 2" xfId="1551"/>
    <cellStyle name="40% - Accent1 7 3 2 2" xfId="4221"/>
    <cellStyle name="40% - Accent1 7 3 2 2 2" xfId="10031"/>
    <cellStyle name="40% - Accent1 7 3 2 2 3" xfId="7109"/>
    <cellStyle name="40% - Accent1 7 3 2 3" xfId="8566"/>
    <cellStyle name="40% - Accent1 7 3 2 4" xfId="5665"/>
    <cellStyle name="40% - Accent1 7 3 2 5" xfId="2774"/>
    <cellStyle name="40% - Accent1 7 3 3" xfId="3627"/>
    <cellStyle name="40% - Accent1 7 3 3 2" xfId="9437"/>
    <cellStyle name="40% - Accent1 7 3 3 3" xfId="6515"/>
    <cellStyle name="40% - Accent1 7 3 4" xfId="7964"/>
    <cellStyle name="40% - Accent1 7 3 5" xfId="5071"/>
    <cellStyle name="40% - Accent1 7 3 6" xfId="2180"/>
    <cellStyle name="40% - Accent1 7 4" xfId="1376"/>
    <cellStyle name="40% - Accent1 7 4 2" xfId="4046"/>
    <cellStyle name="40% - Accent1 7 4 2 2" xfId="9856"/>
    <cellStyle name="40% - Accent1 7 4 2 3" xfId="6934"/>
    <cellStyle name="40% - Accent1 7 4 3" xfId="8391"/>
    <cellStyle name="40% - Accent1 7 4 4" xfId="5490"/>
    <cellStyle name="40% - Accent1 7 4 5" xfId="2599"/>
    <cellStyle name="40% - Accent1 7 5" xfId="3150"/>
    <cellStyle name="40% - Accent1 7 5 2" xfId="4595"/>
    <cellStyle name="40% - Accent1 7 5 2 2" xfId="10405"/>
    <cellStyle name="40% - Accent1 7 5 2 3" xfId="7483"/>
    <cellStyle name="40% - Accent1 7 5 3" xfId="8961"/>
    <cellStyle name="40% - Accent1 7 5 4" xfId="6039"/>
    <cellStyle name="40% - Accent1 7 6" xfId="3452"/>
    <cellStyle name="40% - Accent1 7 6 2" xfId="9262"/>
    <cellStyle name="40% - Accent1 7 6 3" xfId="6340"/>
    <cellStyle name="40% - Accent1 7 7" xfId="7789"/>
    <cellStyle name="40% - Accent1 7 8" xfId="4896"/>
    <cellStyle name="40% - Accent1 7 9" xfId="2005"/>
    <cellStyle name="40% - Accent1 8" xfId="503"/>
    <cellStyle name="40% - Accent1 8 2" xfId="681"/>
    <cellStyle name="40% - Accent1 8 2 2" xfId="1585"/>
    <cellStyle name="40% - Accent1 8 2 2 2" xfId="4255"/>
    <cellStyle name="40% - Accent1 8 2 2 2 2" xfId="10065"/>
    <cellStyle name="40% - Accent1 8 2 2 2 3" xfId="7143"/>
    <cellStyle name="40% - Accent1 8 2 2 3" xfId="8600"/>
    <cellStyle name="40% - Accent1 8 2 2 4" xfId="5699"/>
    <cellStyle name="40% - Accent1 8 2 2 5" xfId="2808"/>
    <cellStyle name="40% - Accent1 8 2 3" xfId="3661"/>
    <cellStyle name="40% - Accent1 8 2 3 2" xfId="9471"/>
    <cellStyle name="40% - Accent1 8 2 3 3" xfId="6549"/>
    <cellStyle name="40% - Accent1 8 2 4" xfId="7998"/>
    <cellStyle name="40% - Accent1 8 2 5" xfId="5105"/>
    <cellStyle name="40% - Accent1 8 2 6" xfId="2214"/>
    <cellStyle name="40% - Accent1 8 3" xfId="1410"/>
    <cellStyle name="40% - Accent1 8 3 2" xfId="4080"/>
    <cellStyle name="40% - Accent1 8 3 2 2" xfId="9890"/>
    <cellStyle name="40% - Accent1 8 3 2 3" xfId="6968"/>
    <cellStyle name="40% - Accent1 8 3 3" xfId="8425"/>
    <cellStyle name="40% - Accent1 8 3 4" xfId="5524"/>
    <cellStyle name="40% - Accent1 8 3 5" xfId="2633"/>
    <cellStyle name="40% - Accent1 8 4" xfId="3486"/>
    <cellStyle name="40% - Accent1 8 4 2" xfId="9296"/>
    <cellStyle name="40% - Accent1 8 4 3" xfId="6374"/>
    <cellStyle name="40% - Accent1 8 5" xfId="7823"/>
    <cellStyle name="40% - Accent1 8 6" xfId="4930"/>
    <cellStyle name="40% - Accent1 8 7" xfId="2039"/>
    <cellStyle name="40% - Accent1 9" xfId="745"/>
    <cellStyle name="40% - Accent1 9 2" xfId="1639"/>
    <cellStyle name="40% - Accent1 9 2 2" xfId="4309"/>
    <cellStyle name="40% - Accent1 9 2 2 2" xfId="10119"/>
    <cellStyle name="40% - Accent1 9 2 2 3" xfId="7197"/>
    <cellStyle name="40% - Accent1 9 2 3" xfId="8654"/>
    <cellStyle name="40% - Accent1 9 2 4" xfId="5753"/>
    <cellStyle name="40% - Accent1 9 2 5" xfId="2862"/>
    <cellStyle name="40% - Accent1 9 3" xfId="3715"/>
    <cellStyle name="40% - Accent1 9 3 2" xfId="9525"/>
    <cellStyle name="40% - Accent1 9 3 3" xfId="6603"/>
    <cellStyle name="40% - Accent1 9 4" xfId="8052"/>
    <cellStyle name="40% - Accent1 9 5" xfId="5159"/>
    <cellStyle name="40% - Accent1 9 6" xfId="2268"/>
    <cellStyle name="40% - Accent2" xfId="370" builtinId="35" customBuiltin="1"/>
    <cellStyle name="40% - Accent2 10" xfId="561"/>
    <cellStyle name="40% - Accent2 10 2" xfId="1465"/>
    <cellStyle name="40% - Accent2 10 2 2" xfId="4135"/>
    <cellStyle name="40% - Accent2 10 2 2 2" xfId="9945"/>
    <cellStyle name="40% - Accent2 10 2 2 3" xfId="7023"/>
    <cellStyle name="40% - Accent2 10 2 3" xfId="8480"/>
    <cellStyle name="40% - Accent2 10 2 4" xfId="5579"/>
    <cellStyle name="40% - Accent2 10 2 5" xfId="2688"/>
    <cellStyle name="40% - Accent2 10 3" xfId="3541"/>
    <cellStyle name="40% - Accent2 10 3 2" xfId="9351"/>
    <cellStyle name="40% - Accent2 10 3 3" xfId="6429"/>
    <cellStyle name="40% - Accent2 10 4" xfId="7878"/>
    <cellStyle name="40% - Accent2 10 5" xfId="4985"/>
    <cellStyle name="40% - Accent2 10 6" xfId="2094"/>
    <cellStyle name="40% - Accent2 11" xfId="1240"/>
    <cellStyle name="40% - Accent2 11 2" xfId="1858"/>
    <cellStyle name="40% - Accent2 11 2 2" xfId="4508"/>
    <cellStyle name="40% - Accent2 11 2 2 2" xfId="10318"/>
    <cellStyle name="40% - Accent2 11 2 2 3" xfId="7396"/>
    <cellStyle name="40% - Accent2 11 2 3" xfId="8873"/>
    <cellStyle name="40% - Accent2 11 2 4" xfId="5952"/>
    <cellStyle name="40% - Accent2 11 2 5" xfId="3061"/>
    <cellStyle name="40% - Accent2 11 3" xfId="3914"/>
    <cellStyle name="40% - Accent2 11 3 2" xfId="9724"/>
    <cellStyle name="40% - Accent2 11 3 3" xfId="6802"/>
    <cellStyle name="40% - Accent2 11 4" xfId="8255"/>
    <cellStyle name="40% - Accent2 11 5" xfId="5358"/>
    <cellStyle name="40% - Accent2 11 6" xfId="2467"/>
    <cellStyle name="40% - Accent2 12" xfId="1290"/>
    <cellStyle name="40% - Accent2 12 2" xfId="3960"/>
    <cellStyle name="40% - Accent2 12 2 2" xfId="9770"/>
    <cellStyle name="40% - Accent2 12 2 3" xfId="6848"/>
    <cellStyle name="40% - Accent2 12 3" xfId="8305"/>
    <cellStyle name="40% - Accent2 12 4" xfId="5404"/>
    <cellStyle name="40% - Accent2 12 5" xfId="2513"/>
    <cellStyle name="40% - Accent2 13" xfId="1872"/>
    <cellStyle name="40% - Accent2 13 2" xfId="4526"/>
    <cellStyle name="40% - Accent2 13 2 2" xfId="10336"/>
    <cellStyle name="40% - Accent2 13 2 3" xfId="7414"/>
    <cellStyle name="40% - Accent2 13 3" xfId="8891"/>
    <cellStyle name="40% - Accent2 13 4" xfId="5970"/>
    <cellStyle name="40% - Accent2 13 5" xfId="3078"/>
    <cellStyle name="40% - Accent2 14" xfId="3151"/>
    <cellStyle name="40% - Accent2 14 2" xfId="4596"/>
    <cellStyle name="40% - Accent2 14 2 2" xfId="10406"/>
    <cellStyle name="40% - Accent2 14 2 3" xfId="7484"/>
    <cellStyle name="40% - Accent2 14 3" xfId="8962"/>
    <cellStyle name="40% - Accent2 14 4" xfId="6040"/>
    <cellStyle name="40% - Accent2 15" xfId="3366"/>
    <cellStyle name="40% - Accent2 15 2" xfId="9176"/>
    <cellStyle name="40% - Accent2 15 3" xfId="6254"/>
    <cellStyle name="40% - Accent2 16" xfId="7703"/>
    <cellStyle name="40% - Accent2 17" xfId="4810"/>
    <cellStyle name="40% - Accent2 18" xfId="1919"/>
    <cellStyle name="40% - Accent2 19" xfId="10613"/>
    <cellStyle name="40% - Accent2 2" xfId="8"/>
    <cellStyle name="40% - Accent2 20" xfId="10630"/>
    <cellStyle name="40% - Accent2 21" xfId="10644"/>
    <cellStyle name="40% - Accent2 3" xfId="398"/>
    <cellStyle name="40% - Accent2 3 2" xfId="754"/>
    <cellStyle name="40% - Accent2 3 2 2" xfId="1646"/>
    <cellStyle name="40% - Accent2 3 2 2 2" xfId="4316"/>
    <cellStyle name="40% - Accent2 3 2 2 2 2" xfId="10126"/>
    <cellStyle name="40% - Accent2 3 2 2 2 3" xfId="7204"/>
    <cellStyle name="40% - Accent2 3 2 2 3" xfId="8661"/>
    <cellStyle name="40% - Accent2 3 2 2 4" xfId="5760"/>
    <cellStyle name="40% - Accent2 3 2 2 5" xfId="2869"/>
    <cellStyle name="40% - Accent2 3 2 3" xfId="3722"/>
    <cellStyle name="40% - Accent2 3 2 3 2" xfId="9532"/>
    <cellStyle name="40% - Accent2 3 2 3 3" xfId="6610"/>
    <cellStyle name="40% - Accent2 3 2 4" xfId="8059"/>
    <cellStyle name="40% - Accent2 3 2 5" xfId="5166"/>
    <cellStyle name="40% - Accent2 3 2 6" xfId="2275"/>
    <cellStyle name="40% - Accent2 3 3" xfId="580"/>
    <cellStyle name="40% - Accent2 3 3 2" xfId="1484"/>
    <cellStyle name="40% - Accent2 3 3 2 2" xfId="4154"/>
    <cellStyle name="40% - Accent2 3 3 2 2 2" xfId="9964"/>
    <cellStyle name="40% - Accent2 3 3 2 2 3" xfId="7042"/>
    <cellStyle name="40% - Accent2 3 3 2 3" xfId="8499"/>
    <cellStyle name="40% - Accent2 3 3 2 4" xfId="5598"/>
    <cellStyle name="40% - Accent2 3 3 2 5" xfId="2707"/>
    <cellStyle name="40% - Accent2 3 3 3" xfId="3560"/>
    <cellStyle name="40% - Accent2 3 3 3 2" xfId="9370"/>
    <cellStyle name="40% - Accent2 3 3 3 3" xfId="6448"/>
    <cellStyle name="40% - Accent2 3 3 4" xfId="7897"/>
    <cellStyle name="40% - Accent2 3 3 5" xfId="5004"/>
    <cellStyle name="40% - Accent2 3 3 6" xfId="2113"/>
    <cellStyle name="40% - Accent2 3 4" xfId="1309"/>
    <cellStyle name="40% - Accent2 3 4 2" xfId="3979"/>
    <cellStyle name="40% - Accent2 3 4 2 2" xfId="9789"/>
    <cellStyle name="40% - Accent2 3 4 2 3" xfId="6867"/>
    <cellStyle name="40% - Accent2 3 4 3" xfId="8324"/>
    <cellStyle name="40% - Accent2 3 4 4" xfId="5423"/>
    <cellStyle name="40% - Accent2 3 4 5" xfId="2532"/>
    <cellStyle name="40% - Accent2 3 5" xfId="3152"/>
    <cellStyle name="40% - Accent2 3 5 2" xfId="4597"/>
    <cellStyle name="40% - Accent2 3 5 2 2" xfId="10407"/>
    <cellStyle name="40% - Accent2 3 5 2 3" xfId="7485"/>
    <cellStyle name="40% - Accent2 3 5 3" xfId="8963"/>
    <cellStyle name="40% - Accent2 3 5 4" xfId="6041"/>
    <cellStyle name="40% - Accent2 3 6" xfId="3385"/>
    <cellStyle name="40% - Accent2 3 6 2" xfId="9195"/>
    <cellStyle name="40% - Accent2 3 6 3" xfId="6273"/>
    <cellStyle name="40% - Accent2 3 7" xfId="7722"/>
    <cellStyle name="40% - Accent2 3 8" xfId="4829"/>
    <cellStyle name="40% - Accent2 3 9" xfId="1938"/>
    <cellStyle name="40% - Accent2 4" xfId="419"/>
    <cellStyle name="40% - Accent2 4 2" xfId="755"/>
    <cellStyle name="40% - Accent2 4 2 2" xfId="1647"/>
    <cellStyle name="40% - Accent2 4 2 2 2" xfId="4317"/>
    <cellStyle name="40% - Accent2 4 2 2 2 2" xfId="10127"/>
    <cellStyle name="40% - Accent2 4 2 2 2 3" xfId="7205"/>
    <cellStyle name="40% - Accent2 4 2 2 3" xfId="8662"/>
    <cellStyle name="40% - Accent2 4 2 2 4" xfId="5761"/>
    <cellStyle name="40% - Accent2 4 2 2 5" xfId="2870"/>
    <cellStyle name="40% - Accent2 4 2 3" xfId="3723"/>
    <cellStyle name="40% - Accent2 4 2 3 2" xfId="9533"/>
    <cellStyle name="40% - Accent2 4 2 3 3" xfId="6611"/>
    <cellStyle name="40% - Accent2 4 2 4" xfId="8060"/>
    <cellStyle name="40% - Accent2 4 2 5" xfId="5167"/>
    <cellStyle name="40% - Accent2 4 2 6" xfId="2276"/>
    <cellStyle name="40% - Accent2 4 3" xfId="601"/>
    <cellStyle name="40% - Accent2 4 3 2" xfId="1505"/>
    <cellStyle name="40% - Accent2 4 3 2 2" xfId="4175"/>
    <cellStyle name="40% - Accent2 4 3 2 2 2" xfId="9985"/>
    <cellStyle name="40% - Accent2 4 3 2 2 3" xfId="7063"/>
    <cellStyle name="40% - Accent2 4 3 2 3" xfId="8520"/>
    <cellStyle name="40% - Accent2 4 3 2 4" xfId="5619"/>
    <cellStyle name="40% - Accent2 4 3 2 5" xfId="2728"/>
    <cellStyle name="40% - Accent2 4 3 3" xfId="3581"/>
    <cellStyle name="40% - Accent2 4 3 3 2" xfId="9391"/>
    <cellStyle name="40% - Accent2 4 3 3 3" xfId="6469"/>
    <cellStyle name="40% - Accent2 4 3 4" xfId="7918"/>
    <cellStyle name="40% - Accent2 4 3 5" xfId="5025"/>
    <cellStyle name="40% - Accent2 4 3 6" xfId="2134"/>
    <cellStyle name="40% - Accent2 4 4" xfId="1330"/>
    <cellStyle name="40% - Accent2 4 4 2" xfId="4000"/>
    <cellStyle name="40% - Accent2 4 4 2 2" xfId="9810"/>
    <cellStyle name="40% - Accent2 4 4 2 3" xfId="6888"/>
    <cellStyle name="40% - Accent2 4 4 3" xfId="8345"/>
    <cellStyle name="40% - Accent2 4 4 4" xfId="5444"/>
    <cellStyle name="40% - Accent2 4 4 5" xfId="2553"/>
    <cellStyle name="40% - Accent2 4 5" xfId="3153"/>
    <cellStyle name="40% - Accent2 4 5 2" xfId="4598"/>
    <cellStyle name="40% - Accent2 4 5 2 2" xfId="10408"/>
    <cellStyle name="40% - Accent2 4 5 2 3" xfId="7486"/>
    <cellStyle name="40% - Accent2 4 5 3" xfId="8964"/>
    <cellStyle name="40% - Accent2 4 5 4" xfId="6042"/>
    <cellStyle name="40% - Accent2 4 6" xfId="3406"/>
    <cellStyle name="40% - Accent2 4 6 2" xfId="9216"/>
    <cellStyle name="40% - Accent2 4 6 3" xfId="6294"/>
    <cellStyle name="40% - Accent2 4 7" xfId="7743"/>
    <cellStyle name="40% - Accent2 4 8" xfId="4850"/>
    <cellStyle name="40% - Accent2 4 9" xfId="1959"/>
    <cellStyle name="40% - Accent2 5" xfId="434"/>
    <cellStyle name="40% - Accent2 5 2" xfId="756"/>
    <cellStyle name="40% - Accent2 5 2 2" xfId="1648"/>
    <cellStyle name="40% - Accent2 5 2 2 2" xfId="4318"/>
    <cellStyle name="40% - Accent2 5 2 2 2 2" xfId="10128"/>
    <cellStyle name="40% - Accent2 5 2 2 2 3" xfId="7206"/>
    <cellStyle name="40% - Accent2 5 2 2 3" xfId="8663"/>
    <cellStyle name="40% - Accent2 5 2 2 4" xfId="5762"/>
    <cellStyle name="40% - Accent2 5 2 2 5" xfId="2871"/>
    <cellStyle name="40% - Accent2 5 2 3" xfId="3724"/>
    <cellStyle name="40% - Accent2 5 2 3 2" xfId="9534"/>
    <cellStyle name="40% - Accent2 5 2 3 3" xfId="6612"/>
    <cellStyle name="40% - Accent2 5 2 4" xfId="8061"/>
    <cellStyle name="40% - Accent2 5 2 5" xfId="5168"/>
    <cellStyle name="40% - Accent2 5 2 6" xfId="2277"/>
    <cellStyle name="40% - Accent2 5 3" xfId="616"/>
    <cellStyle name="40% - Accent2 5 3 2" xfId="1520"/>
    <cellStyle name="40% - Accent2 5 3 2 2" xfId="4190"/>
    <cellStyle name="40% - Accent2 5 3 2 2 2" xfId="10000"/>
    <cellStyle name="40% - Accent2 5 3 2 2 3" xfId="7078"/>
    <cellStyle name="40% - Accent2 5 3 2 3" xfId="8535"/>
    <cellStyle name="40% - Accent2 5 3 2 4" xfId="5634"/>
    <cellStyle name="40% - Accent2 5 3 2 5" xfId="2743"/>
    <cellStyle name="40% - Accent2 5 3 3" xfId="3596"/>
    <cellStyle name="40% - Accent2 5 3 3 2" xfId="9406"/>
    <cellStyle name="40% - Accent2 5 3 3 3" xfId="6484"/>
    <cellStyle name="40% - Accent2 5 3 4" xfId="7933"/>
    <cellStyle name="40% - Accent2 5 3 5" xfId="5040"/>
    <cellStyle name="40% - Accent2 5 3 6" xfId="2149"/>
    <cellStyle name="40% - Accent2 5 4" xfId="1345"/>
    <cellStyle name="40% - Accent2 5 4 2" xfId="4015"/>
    <cellStyle name="40% - Accent2 5 4 2 2" xfId="9825"/>
    <cellStyle name="40% - Accent2 5 4 2 3" xfId="6903"/>
    <cellStyle name="40% - Accent2 5 4 3" xfId="8360"/>
    <cellStyle name="40% - Accent2 5 4 4" xfId="5459"/>
    <cellStyle name="40% - Accent2 5 4 5" xfId="2568"/>
    <cellStyle name="40% - Accent2 5 5" xfId="3154"/>
    <cellStyle name="40% - Accent2 5 5 2" xfId="4599"/>
    <cellStyle name="40% - Accent2 5 5 2 2" xfId="10409"/>
    <cellStyle name="40% - Accent2 5 5 2 3" xfId="7487"/>
    <cellStyle name="40% - Accent2 5 5 3" xfId="8965"/>
    <cellStyle name="40% - Accent2 5 5 4" xfId="6043"/>
    <cellStyle name="40% - Accent2 5 6" xfId="3421"/>
    <cellStyle name="40% - Accent2 5 6 2" xfId="9231"/>
    <cellStyle name="40% - Accent2 5 6 3" xfId="6309"/>
    <cellStyle name="40% - Accent2 5 7" xfId="7758"/>
    <cellStyle name="40% - Accent2 5 8" xfId="4865"/>
    <cellStyle name="40% - Accent2 5 9" xfId="1974"/>
    <cellStyle name="40% - Accent2 6" xfId="448"/>
    <cellStyle name="40% - Accent2 6 2" xfId="757"/>
    <cellStyle name="40% - Accent2 6 2 2" xfId="1649"/>
    <cellStyle name="40% - Accent2 6 2 2 2" xfId="4319"/>
    <cellStyle name="40% - Accent2 6 2 2 2 2" xfId="10129"/>
    <cellStyle name="40% - Accent2 6 2 2 2 3" xfId="7207"/>
    <cellStyle name="40% - Accent2 6 2 2 3" xfId="8664"/>
    <cellStyle name="40% - Accent2 6 2 2 4" xfId="5763"/>
    <cellStyle name="40% - Accent2 6 2 2 5" xfId="2872"/>
    <cellStyle name="40% - Accent2 6 2 3" xfId="3725"/>
    <cellStyle name="40% - Accent2 6 2 3 2" xfId="9535"/>
    <cellStyle name="40% - Accent2 6 2 3 3" xfId="6613"/>
    <cellStyle name="40% - Accent2 6 2 4" xfId="8062"/>
    <cellStyle name="40% - Accent2 6 2 5" xfId="5169"/>
    <cellStyle name="40% - Accent2 6 2 6" xfId="2278"/>
    <cellStyle name="40% - Accent2 6 3" xfId="630"/>
    <cellStyle name="40% - Accent2 6 3 2" xfId="1534"/>
    <cellStyle name="40% - Accent2 6 3 2 2" xfId="4204"/>
    <cellStyle name="40% - Accent2 6 3 2 2 2" xfId="10014"/>
    <cellStyle name="40% - Accent2 6 3 2 2 3" xfId="7092"/>
    <cellStyle name="40% - Accent2 6 3 2 3" xfId="8549"/>
    <cellStyle name="40% - Accent2 6 3 2 4" xfId="5648"/>
    <cellStyle name="40% - Accent2 6 3 2 5" xfId="2757"/>
    <cellStyle name="40% - Accent2 6 3 3" xfId="3610"/>
    <cellStyle name="40% - Accent2 6 3 3 2" xfId="9420"/>
    <cellStyle name="40% - Accent2 6 3 3 3" xfId="6498"/>
    <cellStyle name="40% - Accent2 6 3 4" xfId="7947"/>
    <cellStyle name="40% - Accent2 6 3 5" xfId="5054"/>
    <cellStyle name="40% - Accent2 6 3 6" xfId="2163"/>
    <cellStyle name="40% - Accent2 6 4" xfId="1359"/>
    <cellStyle name="40% - Accent2 6 4 2" xfId="4029"/>
    <cellStyle name="40% - Accent2 6 4 2 2" xfId="9839"/>
    <cellStyle name="40% - Accent2 6 4 2 3" xfId="6917"/>
    <cellStyle name="40% - Accent2 6 4 3" xfId="8374"/>
    <cellStyle name="40% - Accent2 6 4 4" xfId="5473"/>
    <cellStyle name="40% - Accent2 6 4 5" xfId="2582"/>
    <cellStyle name="40% - Accent2 6 5" xfId="3155"/>
    <cellStyle name="40% - Accent2 6 5 2" xfId="4600"/>
    <cellStyle name="40% - Accent2 6 5 2 2" xfId="10410"/>
    <cellStyle name="40% - Accent2 6 5 2 3" xfId="7488"/>
    <cellStyle name="40% - Accent2 6 5 3" xfId="8966"/>
    <cellStyle name="40% - Accent2 6 5 4" xfId="6044"/>
    <cellStyle name="40% - Accent2 6 6" xfId="3435"/>
    <cellStyle name="40% - Accent2 6 6 2" xfId="9245"/>
    <cellStyle name="40% - Accent2 6 6 3" xfId="6323"/>
    <cellStyle name="40% - Accent2 6 7" xfId="7772"/>
    <cellStyle name="40% - Accent2 6 8" xfId="4879"/>
    <cellStyle name="40% - Accent2 6 9" xfId="1988"/>
    <cellStyle name="40% - Accent2 7" xfId="467"/>
    <cellStyle name="40% - Accent2 7 2" xfId="758"/>
    <cellStyle name="40% - Accent2 7 2 2" xfId="1650"/>
    <cellStyle name="40% - Accent2 7 2 2 2" xfId="4320"/>
    <cellStyle name="40% - Accent2 7 2 2 2 2" xfId="10130"/>
    <cellStyle name="40% - Accent2 7 2 2 2 3" xfId="7208"/>
    <cellStyle name="40% - Accent2 7 2 2 3" xfId="8665"/>
    <cellStyle name="40% - Accent2 7 2 2 4" xfId="5764"/>
    <cellStyle name="40% - Accent2 7 2 2 5" xfId="2873"/>
    <cellStyle name="40% - Accent2 7 2 3" xfId="3726"/>
    <cellStyle name="40% - Accent2 7 2 3 2" xfId="9536"/>
    <cellStyle name="40% - Accent2 7 2 3 3" xfId="6614"/>
    <cellStyle name="40% - Accent2 7 2 4" xfId="8063"/>
    <cellStyle name="40% - Accent2 7 2 5" xfId="5170"/>
    <cellStyle name="40% - Accent2 7 2 6" xfId="2279"/>
    <cellStyle name="40% - Accent2 7 3" xfId="649"/>
    <cellStyle name="40% - Accent2 7 3 2" xfId="1553"/>
    <cellStyle name="40% - Accent2 7 3 2 2" xfId="4223"/>
    <cellStyle name="40% - Accent2 7 3 2 2 2" xfId="10033"/>
    <cellStyle name="40% - Accent2 7 3 2 2 3" xfId="7111"/>
    <cellStyle name="40% - Accent2 7 3 2 3" xfId="8568"/>
    <cellStyle name="40% - Accent2 7 3 2 4" xfId="5667"/>
    <cellStyle name="40% - Accent2 7 3 2 5" xfId="2776"/>
    <cellStyle name="40% - Accent2 7 3 3" xfId="3629"/>
    <cellStyle name="40% - Accent2 7 3 3 2" xfId="9439"/>
    <cellStyle name="40% - Accent2 7 3 3 3" xfId="6517"/>
    <cellStyle name="40% - Accent2 7 3 4" xfId="7966"/>
    <cellStyle name="40% - Accent2 7 3 5" xfId="5073"/>
    <cellStyle name="40% - Accent2 7 3 6" xfId="2182"/>
    <cellStyle name="40% - Accent2 7 4" xfId="1378"/>
    <cellStyle name="40% - Accent2 7 4 2" xfId="4048"/>
    <cellStyle name="40% - Accent2 7 4 2 2" xfId="9858"/>
    <cellStyle name="40% - Accent2 7 4 2 3" xfId="6936"/>
    <cellStyle name="40% - Accent2 7 4 3" xfId="8393"/>
    <cellStyle name="40% - Accent2 7 4 4" xfId="5492"/>
    <cellStyle name="40% - Accent2 7 4 5" xfId="2601"/>
    <cellStyle name="40% - Accent2 7 5" xfId="3156"/>
    <cellStyle name="40% - Accent2 7 5 2" xfId="4601"/>
    <cellStyle name="40% - Accent2 7 5 2 2" xfId="10411"/>
    <cellStyle name="40% - Accent2 7 5 2 3" xfId="7489"/>
    <cellStyle name="40% - Accent2 7 5 3" xfId="8967"/>
    <cellStyle name="40% - Accent2 7 5 4" xfId="6045"/>
    <cellStyle name="40% - Accent2 7 6" xfId="3454"/>
    <cellStyle name="40% - Accent2 7 6 2" xfId="9264"/>
    <cellStyle name="40% - Accent2 7 6 3" xfId="6342"/>
    <cellStyle name="40% - Accent2 7 7" xfId="7791"/>
    <cellStyle name="40% - Accent2 7 8" xfId="4898"/>
    <cellStyle name="40% - Accent2 7 9" xfId="2007"/>
    <cellStyle name="40% - Accent2 8" xfId="505"/>
    <cellStyle name="40% - Accent2 8 2" xfId="683"/>
    <cellStyle name="40% - Accent2 8 2 2" xfId="1587"/>
    <cellStyle name="40% - Accent2 8 2 2 2" xfId="4257"/>
    <cellStyle name="40% - Accent2 8 2 2 2 2" xfId="10067"/>
    <cellStyle name="40% - Accent2 8 2 2 2 3" xfId="7145"/>
    <cellStyle name="40% - Accent2 8 2 2 3" xfId="8602"/>
    <cellStyle name="40% - Accent2 8 2 2 4" xfId="5701"/>
    <cellStyle name="40% - Accent2 8 2 2 5" xfId="2810"/>
    <cellStyle name="40% - Accent2 8 2 3" xfId="3663"/>
    <cellStyle name="40% - Accent2 8 2 3 2" xfId="9473"/>
    <cellStyle name="40% - Accent2 8 2 3 3" xfId="6551"/>
    <cellStyle name="40% - Accent2 8 2 4" xfId="8000"/>
    <cellStyle name="40% - Accent2 8 2 5" xfId="5107"/>
    <cellStyle name="40% - Accent2 8 2 6" xfId="2216"/>
    <cellStyle name="40% - Accent2 8 3" xfId="1412"/>
    <cellStyle name="40% - Accent2 8 3 2" xfId="4082"/>
    <cellStyle name="40% - Accent2 8 3 2 2" xfId="9892"/>
    <cellStyle name="40% - Accent2 8 3 2 3" xfId="6970"/>
    <cellStyle name="40% - Accent2 8 3 3" xfId="8427"/>
    <cellStyle name="40% - Accent2 8 3 4" xfId="5526"/>
    <cellStyle name="40% - Accent2 8 3 5" xfId="2635"/>
    <cellStyle name="40% - Accent2 8 4" xfId="3488"/>
    <cellStyle name="40% - Accent2 8 4 2" xfId="9298"/>
    <cellStyle name="40% - Accent2 8 4 3" xfId="6376"/>
    <cellStyle name="40% - Accent2 8 5" xfId="7825"/>
    <cellStyle name="40% - Accent2 8 6" xfId="4932"/>
    <cellStyle name="40% - Accent2 8 7" xfId="2041"/>
    <cellStyle name="40% - Accent2 9" xfId="753"/>
    <cellStyle name="40% - Accent2 9 2" xfId="1645"/>
    <cellStyle name="40% - Accent2 9 2 2" xfId="4315"/>
    <cellStyle name="40% - Accent2 9 2 2 2" xfId="10125"/>
    <cellStyle name="40% - Accent2 9 2 2 3" xfId="7203"/>
    <cellStyle name="40% - Accent2 9 2 3" xfId="8660"/>
    <cellStyle name="40% - Accent2 9 2 4" xfId="5759"/>
    <cellStyle name="40% - Accent2 9 2 5" xfId="2868"/>
    <cellStyle name="40% - Accent2 9 3" xfId="3721"/>
    <cellStyle name="40% - Accent2 9 3 2" xfId="9531"/>
    <cellStyle name="40% - Accent2 9 3 3" xfId="6609"/>
    <cellStyle name="40% - Accent2 9 4" xfId="8058"/>
    <cellStyle name="40% - Accent2 9 5" xfId="5165"/>
    <cellStyle name="40% - Accent2 9 6" xfId="2274"/>
    <cellStyle name="40% - Accent3" xfId="374" builtinId="39" customBuiltin="1"/>
    <cellStyle name="40% - Accent3 10" xfId="563"/>
    <cellStyle name="40% - Accent3 10 2" xfId="1467"/>
    <cellStyle name="40% - Accent3 10 2 2" xfId="4137"/>
    <cellStyle name="40% - Accent3 10 2 2 2" xfId="9947"/>
    <cellStyle name="40% - Accent3 10 2 2 3" xfId="7025"/>
    <cellStyle name="40% - Accent3 10 2 3" xfId="8482"/>
    <cellStyle name="40% - Accent3 10 2 4" xfId="5581"/>
    <cellStyle name="40% - Accent3 10 2 5" xfId="2690"/>
    <cellStyle name="40% - Accent3 10 3" xfId="3543"/>
    <cellStyle name="40% - Accent3 10 3 2" xfId="9353"/>
    <cellStyle name="40% - Accent3 10 3 3" xfId="6431"/>
    <cellStyle name="40% - Accent3 10 4" xfId="7880"/>
    <cellStyle name="40% - Accent3 10 5" xfId="4987"/>
    <cellStyle name="40% - Accent3 10 6" xfId="2096"/>
    <cellStyle name="40% - Accent3 11" xfId="1242"/>
    <cellStyle name="40% - Accent3 11 2" xfId="1860"/>
    <cellStyle name="40% - Accent3 11 2 2" xfId="4510"/>
    <cellStyle name="40% - Accent3 11 2 2 2" xfId="10320"/>
    <cellStyle name="40% - Accent3 11 2 2 3" xfId="7398"/>
    <cellStyle name="40% - Accent3 11 2 3" xfId="8875"/>
    <cellStyle name="40% - Accent3 11 2 4" xfId="5954"/>
    <cellStyle name="40% - Accent3 11 2 5" xfId="3063"/>
    <cellStyle name="40% - Accent3 11 3" xfId="3916"/>
    <cellStyle name="40% - Accent3 11 3 2" xfId="9726"/>
    <cellStyle name="40% - Accent3 11 3 3" xfId="6804"/>
    <cellStyle name="40% - Accent3 11 4" xfId="8257"/>
    <cellStyle name="40% - Accent3 11 5" xfId="5360"/>
    <cellStyle name="40% - Accent3 11 6" xfId="2469"/>
    <cellStyle name="40% - Accent3 12" xfId="1292"/>
    <cellStyle name="40% - Accent3 12 2" xfId="3962"/>
    <cellStyle name="40% - Accent3 12 2 2" xfId="9772"/>
    <cellStyle name="40% - Accent3 12 2 3" xfId="6850"/>
    <cellStyle name="40% - Accent3 12 3" xfId="8307"/>
    <cellStyle name="40% - Accent3 12 4" xfId="5406"/>
    <cellStyle name="40% - Accent3 12 5" xfId="2515"/>
    <cellStyle name="40% - Accent3 13" xfId="1874"/>
    <cellStyle name="40% - Accent3 13 2" xfId="4528"/>
    <cellStyle name="40% - Accent3 13 2 2" xfId="10338"/>
    <cellStyle name="40% - Accent3 13 2 3" xfId="7416"/>
    <cellStyle name="40% - Accent3 13 3" xfId="8893"/>
    <cellStyle name="40% - Accent3 13 4" xfId="5972"/>
    <cellStyle name="40% - Accent3 13 5" xfId="3080"/>
    <cellStyle name="40% - Accent3 14" xfId="3157"/>
    <cellStyle name="40% - Accent3 14 2" xfId="4602"/>
    <cellStyle name="40% - Accent3 14 2 2" xfId="10412"/>
    <cellStyle name="40% - Accent3 14 2 3" xfId="7490"/>
    <cellStyle name="40% - Accent3 14 3" xfId="8968"/>
    <cellStyle name="40% - Accent3 14 4" xfId="6046"/>
    <cellStyle name="40% - Accent3 15" xfId="3368"/>
    <cellStyle name="40% - Accent3 15 2" xfId="9178"/>
    <cellStyle name="40% - Accent3 15 3" xfId="6256"/>
    <cellStyle name="40% - Accent3 16" xfId="7705"/>
    <cellStyle name="40% - Accent3 17" xfId="4812"/>
    <cellStyle name="40% - Accent3 18" xfId="1921"/>
    <cellStyle name="40% - Accent3 19" xfId="10615"/>
    <cellStyle name="40% - Accent3 2" xfId="9"/>
    <cellStyle name="40% - Accent3 2 2" xfId="760"/>
    <cellStyle name="40% - Accent3 20" xfId="10632"/>
    <cellStyle name="40% - Accent3 21" xfId="10646"/>
    <cellStyle name="40% - Accent3 3" xfId="400"/>
    <cellStyle name="40% - Accent3 3 2" xfId="762"/>
    <cellStyle name="40% - Accent3 3 2 2" xfId="1652"/>
    <cellStyle name="40% - Accent3 3 2 2 2" xfId="4322"/>
    <cellStyle name="40% - Accent3 3 2 2 2 2" xfId="10132"/>
    <cellStyle name="40% - Accent3 3 2 2 2 3" xfId="7210"/>
    <cellStyle name="40% - Accent3 3 2 2 3" xfId="8667"/>
    <cellStyle name="40% - Accent3 3 2 2 4" xfId="5766"/>
    <cellStyle name="40% - Accent3 3 2 2 5" xfId="2875"/>
    <cellStyle name="40% - Accent3 3 2 3" xfId="3158"/>
    <cellStyle name="40% - Accent3 3 2 3 2" xfId="4603"/>
    <cellStyle name="40% - Accent3 3 2 3 2 2" xfId="10413"/>
    <cellStyle name="40% - Accent3 3 2 3 2 3" xfId="7491"/>
    <cellStyle name="40% - Accent3 3 2 3 3" xfId="8969"/>
    <cellStyle name="40% - Accent3 3 2 3 4" xfId="6047"/>
    <cellStyle name="40% - Accent3 3 2 4" xfId="3728"/>
    <cellStyle name="40% - Accent3 3 2 4 2" xfId="9538"/>
    <cellStyle name="40% - Accent3 3 2 4 3" xfId="6616"/>
    <cellStyle name="40% - Accent3 3 2 5" xfId="8065"/>
    <cellStyle name="40% - Accent3 3 2 6" xfId="5172"/>
    <cellStyle name="40% - Accent3 3 2 7" xfId="2281"/>
    <cellStyle name="40% - Accent3 3 3" xfId="761"/>
    <cellStyle name="40% - Accent3 3 4" xfId="582"/>
    <cellStyle name="40% - Accent3 3 4 2" xfId="1486"/>
    <cellStyle name="40% - Accent3 3 4 2 2" xfId="4156"/>
    <cellStyle name="40% - Accent3 3 4 2 2 2" xfId="9966"/>
    <cellStyle name="40% - Accent3 3 4 2 2 3" xfId="7044"/>
    <cellStyle name="40% - Accent3 3 4 2 3" xfId="8501"/>
    <cellStyle name="40% - Accent3 3 4 2 4" xfId="5600"/>
    <cellStyle name="40% - Accent3 3 4 2 5" xfId="2709"/>
    <cellStyle name="40% - Accent3 3 4 3" xfId="3562"/>
    <cellStyle name="40% - Accent3 3 4 3 2" xfId="9372"/>
    <cellStyle name="40% - Accent3 3 4 3 3" xfId="6450"/>
    <cellStyle name="40% - Accent3 3 4 4" xfId="7899"/>
    <cellStyle name="40% - Accent3 3 4 5" xfId="5006"/>
    <cellStyle name="40% - Accent3 3 4 6" xfId="2115"/>
    <cellStyle name="40% - Accent3 3 5" xfId="1311"/>
    <cellStyle name="40% - Accent3 3 5 2" xfId="3981"/>
    <cellStyle name="40% - Accent3 3 5 2 2" xfId="9791"/>
    <cellStyle name="40% - Accent3 3 5 2 3" xfId="6869"/>
    <cellStyle name="40% - Accent3 3 5 3" xfId="8326"/>
    <cellStyle name="40% - Accent3 3 5 4" xfId="5425"/>
    <cellStyle name="40% - Accent3 3 5 5" xfId="2534"/>
    <cellStyle name="40% - Accent3 3 6" xfId="3387"/>
    <cellStyle name="40% - Accent3 3 6 2" xfId="9197"/>
    <cellStyle name="40% - Accent3 3 6 3" xfId="6275"/>
    <cellStyle name="40% - Accent3 3 7" xfId="7724"/>
    <cellStyle name="40% - Accent3 3 8" xfId="4831"/>
    <cellStyle name="40% - Accent3 3 9" xfId="1940"/>
    <cellStyle name="40% - Accent3 4" xfId="421"/>
    <cellStyle name="40% - Accent3 4 2" xfId="763"/>
    <cellStyle name="40% - Accent3 4 2 2" xfId="1653"/>
    <cellStyle name="40% - Accent3 4 2 2 2" xfId="4323"/>
    <cellStyle name="40% - Accent3 4 2 2 2 2" xfId="10133"/>
    <cellStyle name="40% - Accent3 4 2 2 2 3" xfId="7211"/>
    <cellStyle name="40% - Accent3 4 2 2 3" xfId="8668"/>
    <cellStyle name="40% - Accent3 4 2 2 4" xfId="5767"/>
    <cellStyle name="40% - Accent3 4 2 2 5" xfId="2876"/>
    <cellStyle name="40% - Accent3 4 2 3" xfId="3729"/>
    <cellStyle name="40% - Accent3 4 2 3 2" xfId="9539"/>
    <cellStyle name="40% - Accent3 4 2 3 3" xfId="6617"/>
    <cellStyle name="40% - Accent3 4 2 4" xfId="8066"/>
    <cellStyle name="40% - Accent3 4 2 5" xfId="5173"/>
    <cellStyle name="40% - Accent3 4 2 6" xfId="2282"/>
    <cellStyle name="40% - Accent3 4 3" xfId="603"/>
    <cellStyle name="40% - Accent3 4 3 2" xfId="1507"/>
    <cellStyle name="40% - Accent3 4 3 2 2" xfId="4177"/>
    <cellStyle name="40% - Accent3 4 3 2 2 2" xfId="9987"/>
    <cellStyle name="40% - Accent3 4 3 2 2 3" xfId="7065"/>
    <cellStyle name="40% - Accent3 4 3 2 3" xfId="8522"/>
    <cellStyle name="40% - Accent3 4 3 2 4" xfId="5621"/>
    <cellStyle name="40% - Accent3 4 3 2 5" xfId="2730"/>
    <cellStyle name="40% - Accent3 4 3 3" xfId="3583"/>
    <cellStyle name="40% - Accent3 4 3 3 2" xfId="9393"/>
    <cellStyle name="40% - Accent3 4 3 3 3" xfId="6471"/>
    <cellStyle name="40% - Accent3 4 3 4" xfId="7920"/>
    <cellStyle name="40% - Accent3 4 3 5" xfId="5027"/>
    <cellStyle name="40% - Accent3 4 3 6" xfId="2136"/>
    <cellStyle name="40% - Accent3 4 4" xfId="1332"/>
    <cellStyle name="40% - Accent3 4 4 2" xfId="4002"/>
    <cellStyle name="40% - Accent3 4 4 2 2" xfId="9812"/>
    <cellStyle name="40% - Accent3 4 4 2 3" xfId="6890"/>
    <cellStyle name="40% - Accent3 4 4 3" xfId="8347"/>
    <cellStyle name="40% - Accent3 4 4 4" xfId="5446"/>
    <cellStyle name="40% - Accent3 4 4 5" xfId="2555"/>
    <cellStyle name="40% - Accent3 4 5" xfId="3159"/>
    <cellStyle name="40% - Accent3 4 5 2" xfId="4604"/>
    <cellStyle name="40% - Accent3 4 5 2 2" xfId="10414"/>
    <cellStyle name="40% - Accent3 4 5 2 3" xfId="7492"/>
    <cellStyle name="40% - Accent3 4 5 3" xfId="8970"/>
    <cellStyle name="40% - Accent3 4 5 4" xfId="6048"/>
    <cellStyle name="40% - Accent3 4 6" xfId="3408"/>
    <cellStyle name="40% - Accent3 4 6 2" xfId="9218"/>
    <cellStyle name="40% - Accent3 4 6 3" xfId="6296"/>
    <cellStyle name="40% - Accent3 4 7" xfId="7745"/>
    <cellStyle name="40% - Accent3 4 8" xfId="4852"/>
    <cellStyle name="40% - Accent3 4 9" xfId="1961"/>
    <cellStyle name="40% - Accent3 5" xfId="436"/>
    <cellStyle name="40% - Accent3 5 2" xfId="764"/>
    <cellStyle name="40% - Accent3 5 2 2" xfId="1654"/>
    <cellStyle name="40% - Accent3 5 2 2 2" xfId="4324"/>
    <cellStyle name="40% - Accent3 5 2 2 2 2" xfId="10134"/>
    <cellStyle name="40% - Accent3 5 2 2 2 3" xfId="7212"/>
    <cellStyle name="40% - Accent3 5 2 2 3" xfId="8669"/>
    <cellStyle name="40% - Accent3 5 2 2 4" xfId="5768"/>
    <cellStyle name="40% - Accent3 5 2 2 5" xfId="2877"/>
    <cellStyle name="40% - Accent3 5 2 3" xfId="3730"/>
    <cellStyle name="40% - Accent3 5 2 3 2" xfId="9540"/>
    <cellStyle name="40% - Accent3 5 2 3 3" xfId="6618"/>
    <cellStyle name="40% - Accent3 5 2 4" xfId="8067"/>
    <cellStyle name="40% - Accent3 5 2 5" xfId="5174"/>
    <cellStyle name="40% - Accent3 5 2 6" xfId="2283"/>
    <cellStyle name="40% - Accent3 5 3" xfId="618"/>
    <cellStyle name="40% - Accent3 5 3 2" xfId="1522"/>
    <cellStyle name="40% - Accent3 5 3 2 2" xfId="4192"/>
    <cellStyle name="40% - Accent3 5 3 2 2 2" xfId="10002"/>
    <cellStyle name="40% - Accent3 5 3 2 2 3" xfId="7080"/>
    <cellStyle name="40% - Accent3 5 3 2 3" xfId="8537"/>
    <cellStyle name="40% - Accent3 5 3 2 4" xfId="5636"/>
    <cellStyle name="40% - Accent3 5 3 2 5" xfId="2745"/>
    <cellStyle name="40% - Accent3 5 3 3" xfId="3598"/>
    <cellStyle name="40% - Accent3 5 3 3 2" xfId="9408"/>
    <cellStyle name="40% - Accent3 5 3 3 3" xfId="6486"/>
    <cellStyle name="40% - Accent3 5 3 4" xfId="7935"/>
    <cellStyle name="40% - Accent3 5 3 5" xfId="5042"/>
    <cellStyle name="40% - Accent3 5 3 6" xfId="2151"/>
    <cellStyle name="40% - Accent3 5 4" xfId="1347"/>
    <cellStyle name="40% - Accent3 5 4 2" xfId="4017"/>
    <cellStyle name="40% - Accent3 5 4 2 2" xfId="9827"/>
    <cellStyle name="40% - Accent3 5 4 2 3" xfId="6905"/>
    <cellStyle name="40% - Accent3 5 4 3" xfId="8362"/>
    <cellStyle name="40% - Accent3 5 4 4" xfId="5461"/>
    <cellStyle name="40% - Accent3 5 4 5" xfId="2570"/>
    <cellStyle name="40% - Accent3 5 5" xfId="3160"/>
    <cellStyle name="40% - Accent3 5 5 2" xfId="4605"/>
    <cellStyle name="40% - Accent3 5 5 2 2" xfId="10415"/>
    <cellStyle name="40% - Accent3 5 5 2 3" xfId="7493"/>
    <cellStyle name="40% - Accent3 5 5 3" xfId="8971"/>
    <cellStyle name="40% - Accent3 5 5 4" xfId="6049"/>
    <cellStyle name="40% - Accent3 5 6" xfId="3423"/>
    <cellStyle name="40% - Accent3 5 6 2" xfId="9233"/>
    <cellStyle name="40% - Accent3 5 6 3" xfId="6311"/>
    <cellStyle name="40% - Accent3 5 7" xfId="7760"/>
    <cellStyle name="40% - Accent3 5 8" xfId="4867"/>
    <cellStyle name="40% - Accent3 5 9" xfId="1976"/>
    <cellStyle name="40% - Accent3 6" xfId="450"/>
    <cellStyle name="40% - Accent3 6 2" xfId="765"/>
    <cellStyle name="40% - Accent3 6 2 2" xfId="1655"/>
    <cellStyle name="40% - Accent3 6 2 2 2" xfId="4325"/>
    <cellStyle name="40% - Accent3 6 2 2 2 2" xfId="10135"/>
    <cellStyle name="40% - Accent3 6 2 2 2 3" xfId="7213"/>
    <cellStyle name="40% - Accent3 6 2 2 3" xfId="8670"/>
    <cellStyle name="40% - Accent3 6 2 2 4" xfId="5769"/>
    <cellStyle name="40% - Accent3 6 2 2 5" xfId="2878"/>
    <cellStyle name="40% - Accent3 6 2 3" xfId="3731"/>
    <cellStyle name="40% - Accent3 6 2 3 2" xfId="9541"/>
    <cellStyle name="40% - Accent3 6 2 3 3" xfId="6619"/>
    <cellStyle name="40% - Accent3 6 2 4" xfId="8068"/>
    <cellStyle name="40% - Accent3 6 2 5" xfId="5175"/>
    <cellStyle name="40% - Accent3 6 2 6" xfId="2284"/>
    <cellStyle name="40% - Accent3 6 3" xfId="632"/>
    <cellStyle name="40% - Accent3 6 3 2" xfId="1536"/>
    <cellStyle name="40% - Accent3 6 3 2 2" xfId="4206"/>
    <cellStyle name="40% - Accent3 6 3 2 2 2" xfId="10016"/>
    <cellStyle name="40% - Accent3 6 3 2 2 3" xfId="7094"/>
    <cellStyle name="40% - Accent3 6 3 2 3" xfId="8551"/>
    <cellStyle name="40% - Accent3 6 3 2 4" xfId="5650"/>
    <cellStyle name="40% - Accent3 6 3 2 5" xfId="2759"/>
    <cellStyle name="40% - Accent3 6 3 3" xfId="3612"/>
    <cellStyle name="40% - Accent3 6 3 3 2" xfId="9422"/>
    <cellStyle name="40% - Accent3 6 3 3 3" xfId="6500"/>
    <cellStyle name="40% - Accent3 6 3 4" xfId="7949"/>
    <cellStyle name="40% - Accent3 6 3 5" xfId="5056"/>
    <cellStyle name="40% - Accent3 6 3 6" xfId="2165"/>
    <cellStyle name="40% - Accent3 6 4" xfId="1361"/>
    <cellStyle name="40% - Accent3 6 4 2" xfId="4031"/>
    <cellStyle name="40% - Accent3 6 4 2 2" xfId="9841"/>
    <cellStyle name="40% - Accent3 6 4 2 3" xfId="6919"/>
    <cellStyle name="40% - Accent3 6 4 3" xfId="8376"/>
    <cellStyle name="40% - Accent3 6 4 4" xfId="5475"/>
    <cellStyle name="40% - Accent3 6 4 5" xfId="2584"/>
    <cellStyle name="40% - Accent3 6 5" xfId="3161"/>
    <cellStyle name="40% - Accent3 6 5 2" xfId="4606"/>
    <cellStyle name="40% - Accent3 6 5 2 2" xfId="10416"/>
    <cellStyle name="40% - Accent3 6 5 2 3" xfId="7494"/>
    <cellStyle name="40% - Accent3 6 5 3" xfId="8972"/>
    <cellStyle name="40% - Accent3 6 5 4" xfId="6050"/>
    <cellStyle name="40% - Accent3 6 6" xfId="3437"/>
    <cellStyle name="40% - Accent3 6 6 2" xfId="9247"/>
    <cellStyle name="40% - Accent3 6 6 3" xfId="6325"/>
    <cellStyle name="40% - Accent3 6 7" xfId="7774"/>
    <cellStyle name="40% - Accent3 6 8" xfId="4881"/>
    <cellStyle name="40% - Accent3 6 9" xfId="1990"/>
    <cellStyle name="40% - Accent3 7" xfId="469"/>
    <cellStyle name="40% - Accent3 7 2" xfId="766"/>
    <cellStyle name="40% - Accent3 7 2 2" xfId="1656"/>
    <cellStyle name="40% - Accent3 7 2 2 2" xfId="4326"/>
    <cellStyle name="40% - Accent3 7 2 2 2 2" xfId="10136"/>
    <cellStyle name="40% - Accent3 7 2 2 2 3" xfId="7214"/>
    <cellStyle name="40% - Accent3 7 2 2 3" xfId="8671"/>
    <cellStyle name="40% - Accent3 7 2 2 4" xfId="5770"/>
    <cellStyle name="40% - Accent3 7 2 2 5" xfId="2879"/>
    <cellStyle name="40% - Accent3 7 2 3" xfId="3732"/>
    <cellStyle name="40% - Accent3 7 2 3 2" xfId="9542"/>
    <cellStyle name="40% - Accent3 7 2 3 3" xfId="6620"/>
    <cellStyle name="40% - Accent3 7 2 4" xfId="8069"/>
    <cellStyle name="40% - Accent3 7 2 5" xfId="5176"/>
    <cellStyle name="40% - Accent3 7 2 6" xfId="2285"/>
    <cellStyle name="40% - Accent3 7 3" xfId="651"/>
    <cellStyle name="40% - Accent3 7 3 2" xfId="1555"/>
    <cellStyle name="40% - Accent3 7 3 2 2" xfId="4225"/>
    <cellStyle name="40% - Accent3 7 3 2 2 2" xfId="10035"/>
    <cellStyle name="40% - Accent3 7 3 2 2 3" xfId="7113"/>
    <cellStyle name="40% - Accent3 7 3 2 3" xfId="8570"/>
    <cellStyle name="40% - Accent3 7 3 2 4" xfId="5669"/>
    <cellStyle name="40% - Accent3 7 3 2 5" xfId="2778"/>
    <cellStyle name="40% - Accent3 7 3 3" xfId="3631"/>
    <cellStyle name="40% - Accent3 7 3 3 2" xfId="9441"/>
    <cellStyle name="40% - Accent3 7 3 3 3" xfId="6519"/>
    <cellStyle name="40% - Accent3 7 3 4" xfId="7968"/>
    <cellStyle name="40% - Accent3 7 3 5" xfId="5075"/>
    <cellStyle name="40% - Accent3 7 3 6" xfId="2184"/>
    <cellStyle name="40% - Accent3 7 4" xfId="1380"/>
    <cellStyle name="40% - Accent3 7 4 2" xfId="4050"/>
    <cellStyle name="40% - Accent3 7 4 2 2" xfId="9860"/>
    <cellStyle name="40% - Accent3 7 4 2 3" xfId="6938"/>
    <cellStyle name="40% - Accent3 7 4 3" xfId="8395"/>
    <cellStyle name="40% - Accent3 7 4 4" xfId="5494"/>
    <cellStyle name="40% - Accent3 7 4 5" xfId="2603"/>
    <cellStyle name="40% - Accent3 7 5" xfId="3162"/>
    <cellStyle name="40% - Accent3 7 5 2" xfId="4607"/>
    <cellStyle name="40% - Accent3 7 5 2 2" xfId="10417"/>
    <cellStyle name="40% - Accent3 7 5 2 3" xfId="7495"/>
    <cellStyle name="40% - Accent3 7 5 3" xfId="8973"/>
    <cellStyle name="40% - Accent3 7 5 4" xfId="6051"/>
    <cellStyle name="40% - Accent3 7 6" xfId="3456"/>
    <cellStyle name="40% - Accent3 7 6 2" xfId="9266"/>
    <cellStyle name="40% - Accent3 7 6 3" xfId="6344"/>
    <cellStyle name="40% - Accent3 7 7" xfId="7793"/>
    <cellStyle name="40% - Accent3 7 8" xfId="4900"/>
    <cellStyle name="40% - Accent3 7 9" xfId="2009"/>
    <cellStyle name="40% - Accent3 8" xfId="507"/>
    <cellStyle name="40% - Accent3 8 2" xfId="685"/>
    <cellStyle name="40% - Accent3 8 2 2" xfId="1589"/>
    <cellStyle name="40% - Accent3 8 2 2 2" xfId="4259"/>
    <cellStyle name="40% - Accent3 8 2 2 2 2" xfId="10069"/>
    <cellStyle name="40% - Accent3 8 2 2 2 3" xfId="7147"/>
    <cellStyle name="40% - Accent3 8 2 2 3" xfId="8604"/>
    <cellStyle name="40% - Accent3 8 2 2 4" xfId="5703"/>
    <cellStyle name="40% - Accent3 8 2 2 5" xfId="2812"/>
    <cellStyle name="40% - Accent3 8 2 3" xfId="3665"/>
    <cellStyle name="40% - Accent3 8 2 3 2" xfId="9475"/>
    <cellStyle name="40% - Accent3 8 2 3 3" xfId="6553"/>
    <cellStyle name="40% - Accent3 8 2 4" xfId="8002"/>
    <cellStyle name="40% - Accent3 8 2 5" xfId="5109"/>
    <cellStyle name="40% - Accent3 8 2 6" xfId="2218"/>
    <cellStyle name="40% - Accent3 8 3" xfId="1414"/>
    <cellStyle name="40% - Accent3 8 3 2" xfId="4084"/>
    <cellStyle name="40% - Accent3 8 3 2 2" xfId="9894"/>
    <cellStyle name="40% - Accent3 8 3 2 3" xfId="6972"/>
    <cellStyle name="40% - Accent3 8 3 3" xfId="8429"/>
    <cellStyle name="40% - Accent3 8 3 4" xfId="5528"/>
    <cellStyle name="40% - Accent3 8 3 5" xfId="2637"/>
    <cellStyle name="40% - Accent3 8 4" xfId="3490"/>
    <cellStyle name="40% - Accent3 8 4 2" xfId="9300"/>
    <cellStyle name="40% - Accent3 8 4 3" xfId="6378"/>
    <cellStyle name="40% - Accent3 8 5" xfId="7827"/>
    <cellStyle name="40% - Accent3 8 6" xfId="4934"/>
    <cellStyle name="40% - Accent3 8 7" xfId="2043"/>
    <cellStyle name="40% - Accent3 9" xfId="759"/>
    <cellStyle name="40% - Accent3 9 2" xfId="1651"/>
    <cellStyle name="40% - Accent3 9 2 2" xfId="4321"/>
    <cellStyle name="40% - Accent3 9 2 2 2" xfId="10131"/>
    <cellStyle name="40% - Accent3 9 2 2 3" xfId="7209"/>
    <cellStyle name="40% - Accent3 9 2 3" xfId="8666"/>
    <cellStyle name="40% - Accent3 9 2 4" xfId="5765"/>
    <cellStyle name="40% - Accent3 9 2 5" xfId="2874"/>
    <cellStyle name="40% - Accent3 9 3" xfId="3727"/>
    <cellStyle name="40% - Accent3 9 3 2" xfId="9537"/>
    <cellStyle name="40% - Accent3 9 3 3" xfId="6615"/>
    <cellStyle name="40% - Accent3 9 4" xfId="8064"/>
    <cellStyle name="40% - Accent3 9 5" xfId="5171"/>
    <cellStyle name="40% - Accent3 9 6" xfId="2280"/>
    <cellStyle name="40% - Accent4" xfId="378" builtinId="43" customBuiltin="1"/>
    <cellStyle name="40% - Accent4 10" xfId="565"/>
    <cellStyle name="40% - Accent4 10 2" xfId="1469"/>
    <cellStyle name="40% - Accent4 10 2 2" xfId="4139"/>
    <cellStyle name="40% - Accent4 10 2 2 2" xfId="9949"/>
    <cellStyle name="40% - Accent4 10 2 2 3" xfId="7027"/>
    <cellStyle name="40% - Accent4 10 2 3" xfId="8484"/>
    <cellStyle name="40% - Accent4 10 2 4" xfId="5583"/>
    <cellStyle name="40% - Accent4 10 2 5" xfId="2692"/>
    <cellStyle name="40% - Accent4 10 3" xfId="3545"/>
    <cellStyle name="40% - Accent4 10 3 2" xfId="9355"/>
    <cellStyle name="40% - Accent4 10 3 3" xfId="6433"/>
    <cellStyle name="40% - Accent4 10 4" xfId="7882"/>
    <cellStyle name="40% - Accent4 10 5" xfId="4989"/>
    <cellStyle name="40% - Accent4 10 6" xfId="2098"/>
    <cellStyle name="40% - Accent4 11" xfId="1244"/>
    <cellStyle name="40% - Accent4 11 2" xfId="1862"/>
    <cellStyle name="40% - Accent4 11 2 2" xfId="4512"/>
    <cellStyle name="40% - Accent4 11 2 2 2" xfId="10322"/>
    <cellStyle name="40% - Accent4 11 2 2 3" xfId="7400"/>
    <cellStyle name="40% - Accent4 11 2 3" xfId="8877"/>
    <cellStyle name="40% - Accent4 11 2 4" xfId="5956"/>
    <cellStyle name="40% - Accent4 11 2 5" xfId="3065"/>
    <cellStyle name="40% - Accent4 11 3" xfId="3918"/>
    <cellStyle name="40% - Accent4 11 3 2" xfId="9728"/>
    <cellStyle name="40% - Accent4 11 3 3" xfId="6806"/>
    <cellStyle name="40% - Accent4 11 4" xfId="8259"/>
    <cellStyle name="40% - Accent4 11 5" xfId="5362"/>
    <cellStyle name="40% - Accent4 11 6" xfId="2471"/>
    <cellStyle name="40% - Accent4 12" xfId="1294"/>
    <cellStyle name="40% - Accent4 12 2" xfId="3964"/>
    <cellStyle name="40% - Accent4 12 2 2" xfId="9774"/>
    <cellStyle name="40% - Accent4 12 2 3" xfId="6852"/>
    <cellStyle name="40% - Accent4 12 3" xfId="8309"/>
    <cellStyle name="40% - Accent4 12 4" xfId="5408"/>
    <cellStyle name="40% - Accent4 12 5" xfId="2517"/>
    <cellStyle name="40% - Accent4 13" xfId="1876"/>
    <cellStyle name="40% - Accent4 13 2" xfId="4530"/>
    <cellStyle name="40% - Accent4 13 2 2" xfId="10340"/>
    <cellStyle name="40% - Accent4 13 2 3" xfId="7418"/>
    <cellStyle name="40% - Accent4 13 3" xfId="8895"/>
    <cellStyle name="40% - Accent4 13 4" xfId="5974"/>
    <cellStyle name="40% - Accent4 13 5" xfId="3082"/>
    <cellStyle name="40% - Accent4 14" xfId="3163"/>
    <cellStyle name="40% - Accent4 14 2" xfId="4608"/>
    <cellStyle name="40% - Accent4 14 2 2" xfId="10418"/>
    <cellStyle name="40% - Accent4 14 2 3" xfId="7496"/>
    <cellStyle name="40% - Accent4 14 3" xfId="8974"/>
    <cellStyle name="40% - Accent4 14 4" xfId="6052"/>
    <cellStyle name="40% - Accent4 15" xfId="3370"/>
    <cellStyle name="40% - Accent4 15 2" xfId="9180"/>
    <cellStyle name="40% - Accent4 15 3" xfId="6258"/>
    <cellStyle name="40% - Accent4 16" xfId="7707"/>
    <cellStyle name="40% - Accent4 17" xfId="4814"/>
    <cellStyle name="40% - Accent4 18" xfId="1923"/>
    <cellStyle name="40% - Accent4 19" xfId="10617"/>
    <cellStyle name="40% - Accent4 2" xfId="10"/>
    <cellStyle name="40% - Accent4 2 2" xfId="768"/>
    <cellStyle name="40% - Accent4 20" xfId="10634"/>
    <cellStyle name="40% - Accent4 21" xfId="10648"/>
    <cellStyle name="40% - Accent4 3" xfId="402"/>
    <cellStyle name="40% - Accent4 3 2" xfId="770"/>
    <cellStyle name="40% - Accent4 3 2 2" xfId="1658"/>
    <cellStyle name="40% - Accent4 3 2 2 2" xfId="4328"/>
    <cellStyle name="40% - Accent4 3 2 2 2 2" xfId="10138"/>
    <cellStyle name="40% - Accent4 3 2 2 2 3" xfId="7216"/>
    <cellStyle name="40% - Accent4 3 2 2 3" xfId="8673"/>
    <cellStyle name="40% - Accent4 3 2 2 4" xfId="5772"/>
    <cellStyle name="40% - Accent4 3 2 2 5" xfId="2881"/>
    <cellStyle name="40% - Accent4 3 2 3" xfId="3164"/>
    <cellStyle name="40% - Accent4 3 2 3 2" xfId="4609"/>
    <cellStyle name="40% - Accent4 3 2 3 2 2" xfId="10419"/>
    <cellStyle name="40% - Accent4 3 2 3 2 3" xfId="7497"/>
    <cellStyle name="40% - Accent4 3 2 3 3" xfId="8975"/>
    <cellStyle name="40% - Accent4 3 2 3 4" xfId="6053"/>
    <cellStyle name="40% - Accent4 3 2 4" xfId="3734"/>
    <cellStyle name="40% - Accent4 3 2 4 2" xfId="9544"/>
    <cellStyle name="40% - Accent4 3 2 4 3" xfId="6622"/>
    <cellStyle name="40% - Accent4 3 2 5" xfId="8071"/>
    <cellStyle name="40% - Accent4 3 2 6" xfId="5178"/>
    <cellStyle name="40% - Accent4 3 2 7" xfId="2287"/>
    <cellStyle name="40% - Accent4 3 3" xfId="769"/>
    <cellStyle name="40% - Accent4 3 4" xfId="584"/>
    <cellStyle name="40% - Accent4 3 4 2" xfId="1488"/>
    <cellStyle name="40% - Accent4 3 4 2 2" xfId="4158"/>
    <cellStyle name="40% - Accent4 3 4 2 2 2" xfId="9968"/>
    <cellStyle name="40% - Accent4 3 4 2 2 3" xfId="7046"/>
    <cellStyle name="40% - Accent4 3 4 2 3" xfId="8503"/>
    <cellStyle name="40% - Accent4 3 4 2 4" xfId="5602"/>
    <cellStyle name="40% - Accent4 3 4 2 5" xfId="2711"/>
    <cellStyle name="40% - Accent4 3 4 3" xfId="3564"/>
    <cellStyle name="40% - Accent4 3 4 3 2" xfId="9374"/>
    <cellStyle name="40% - Accent4 3 4 3 3" xfId="6452"/>
    <cellStyle name="40% - Accent4 3 4 4" xfId="7901"/>
    <cellStyle name="40% - Accent4 3 4 5" xfId="5008"/>
    <cellStyle name="40% - Accent4 3 4 6" xfId="2117"/>
    <cellStyle name="40% - Accent4 3 5" xfId="1313"/>
    <cellStyle name="40% - Accent4 3 5 2" xfId="3983"/>
    <cellStyle name="40% - Accent4 3 5 2 2" xfId="9793"/>
    <cellStyle name="40% - Accent4 3 5 2 3" xfId="6871"/>
    <cellStyle name="40% - Accent4 3 5 3" xfId="8328"/>
    <cellStyle name="40% - Accent4 3 5 4" xfId="5427"/>
    <cellStyle name="40% - Accent4 3 5 5" xfId="2536"/>
    <cellStyle name="40% - Accent4 3 6" xfId="3389"/>
    <cellStyle name="40% - Accent4 3 6 2" xfId="9199"/>
    <cellStyle name="40% - Accent4 3 6 3" xfId="6277"/>
    <cellStyle name="40% - Accent4 3 7" xfId="7726"/>
    <cellStyle name="40% - Accent4 3 8" xfId="4833"/>
    <cellStyle name="40% - Accent4 3 9" xfId="1942"/>
    <cellStyle name="40% - Accent4 4" xfId="423"/>
    <cellStyle name="40% - Accent4 4 2" xfId="771"/>
    <cellStyle name="40% - Accent4 4 2 2" xfId="1659"/>
    <cellStyle name="40% - Accent4 4 2 2 2" xfId="4329"/>
    <cellStyle name="40% - Accent4 4 2 2 2 2" xfId="10139"/>
    <cellStyle name="40% - Accent4 4 2 2 2 3" xfId="7217"/>
    <cellStyle name="40% - Accent4 4 2 2 3" xfId="8674"/>
    <cellStyle name="40% - Accent4 4 2 2 4" xfId="5773"/>
    <cellStyle name="40% - Accent4 4 2 2 5" xfId="2882"/>
    <cellStyle name="40% - Accent4 4 2 3" xfId="3735"/>
    <cellStyle name="40% - Accent4 4 2 3 2" xfId="9545"/>
    <cellStyle name="40% - Accent4 4 2 3 3" xfId="6623"/>
    <cellStyle name="40% - Accent4 4 2 4" xfId="8072"/>
    <cellStyle name="40% - Accent4 4 2 5" xfId="5179"/>
    <cellStyle name="40% - Accent4 4 2 6" xfId="2288"/>
    <cellStyle name="40% - Accent4 4 3" xfId="605"/>
    <cellStyle name="40% - Accent4 4 3 2" xfId="1509"/>
    <cellStyle name="40% - Accent4 4 3 2 2" xfId="4179"/>
    <cellStyle name="40% - Accent4 4 3 2 2 2" xfId="9989"/>
    <cellStyle name="40% - Accent4 4 3 2 2 3" xfId="7067"/>
    <cellStyle name="40% - Accent4 4 3 2 3" xfId="8524"/>
    <cellStyle name="40% - Accent4 4 3 2 4" xfId="5623"/>
    <cellStyle name="40% - Accent4 4 3 2 5" xfId="2732"/>
    <cellStyle name="40% - Accent4 4 3 3" xfId="3585"/>
    <cellStyle name="40% - Accent4 4 3 3 2" xfId="9395"/>
    <cellStyle name="40% - Accent4 4 3 3 3" xfId="6473"/>
    <cellStyle name="40% - Accent4 4 3 4" xfId="7922"/>
    <cellStyle name="40% - Accent4 4 3 5" xfId="5029"/>
    <cellStyle name="40% - Accent4 4 3 6" xfId="2138"/>
    <cellStyle name="40% - Accent4 4 4" xfId="1334"/>
    <cellStyle name="40% - Accent4 4 4 2" xfId="4004"/>
    <cellStyle name="40% - Accent4 4 4 2 2" xfId="9814"/>
    <cellStyle name="40% - Accent4 4 4 2 3" xfId="6892"/>
    <cellStyle name="40% - Accent4 4 4 3" xfId="8349"/>
    <cellStyle name="40% - Accent4 4 4 4" xfId="5448"/>
    <cellStyle name="40% - Accent4 4 4 5" xfId="2557"/>
    <cellStyle name="40% - Accent4 4 5" xfId="3165"/>
    <cellStyle name="40% - Accent4 4 5 2" xfId="4610"/>
    <cellStyle name="40% - Accent4 4 5 2 2" xfId="10420"/>
    <cellStyle name="40% - Accent4 4 5 2 3" xfId="7498"/>
    <cellStyle name="40% - Accent4 4 5 3" xfId="8976"/>
    <cellStyle name="40% - Accent4 4 5 4" xfId="6054"/>
    <cellStyle name="40% - Accent4 4 6" xfId="3410"/>
    <cellStyle name="40% - Accent4 4 6 2" xfId="9220"/>
    <cellStyle name="40% - Accent4 4 6 3" xfId="6298"/>
    <cellStyle name="40% - Accent4 4 7" xfId="7747"/>
    <cellStyle name="40% - Accent4 4 8" xfId="4854"/>
    <cellStyle name="40% - Accent4 4 9" xfId="1963"/>
    <cellStyle name="40% - Accent4 5" xfId="438"/>
    <cellStyle name="40% - Accent4 5 2" xfId="772"/>
    <cellStyle name="40% - Accent4 5 2 2" xfId="1660"/>
    <cellStyle name="40% - Accent4 5 2 2 2" xfId="4330"/>
    <cellStyle name="40% - Accent4 5 2 2 2 2" xfId="10140"/>
    <cellStyle name="40% - Accent4 5 2 2 2 3" xfId="7218"/>
    <cellStyle name="40% - Accent4 5 2 2 3" xfId="8675"/>
    <cellStyle name="40% - Accent4 5 2 2 4" xfId="5774"/>
    <cellStyle name="40% - Accent4 5 2 2 5" xfId="2883"/>
    <cellStyle name="40% - Accent4 5 2 3" xfId="3736"/>
    <cellStyle name="40% - Accent4 5 2 3 2" xfId="9546"/>
    <cellStyle name="40% - Accent4 5 2 3 3" xfId="6624"/>
    <cellStyle name="40% - Accent4 5 2 4" xfId="8073"/>
    <cellStyle name="40% - Accent4 5 2 5" xfId="5180"/>
    <cellStyle name="40% - Accent4 5 2 6" xfId="2289"/>
    <cellStyle name="40% - Accent4 5 3" xfId="620"/>
    <cellStyle name="40% - Accent4 5 3 2" xfId="1524"/>
    <cellStyle name="40% - Accent4 5 3 2 2" xfId="4194"/>
    <cellStyle name="40% - Accent4 5 3 2 2 2" xfId="10004"/>
    <cellStyle name="40% - Accent4 5 3 2 2 3" xfId="7082"/>
    <cellStyle name="40% - Accent4 5 3 2 3" xfId="8539"/>
    <cellStyle name="40% - Accent4 5 3 2 4" xfId="5638"/>
    <cellStyle name="40% - Accent4 5 3 2 5" xfId="2747"/>
    <cellStyle name="40% - Accent4 5 3 3" xfId="3600"/>
    <cellStyle name="40% - Accent4 5 3 3 2" xfId="9410"/>
    <cellStyle name="40% - Accent4 5 3 3 3" xfId="6488"/>
    <cellStyle name="40% - Accent4 5 3 4" xfId="7937"/>
    <cellStyle name="40% - Accent4 5 3 5" xfId="5044"/>
    <cellStyle name="40% - Accent4 5 3 6" xfId="2153"/>
    <cellStyle name="40% - Accent4 5 4" xfId="1349"/>
    <cellStyle name="40% - Accent4 5 4 2" xfId="4019"/>
    <cellStyle name="40% - Accent4 5 4 2 2" xfId="9829"/>
    <cellStyle name="40% - Accent4 5 4 2 3" xfId="6907"/>
    <cellStyle name="40% - Accent4 5 4 3" xfId="8364"/>
    <cellStyle name="40% - Accent4 5 4 4" xfId="5463"/>
    <cellStyle name="40% - Accent4 5 4 5" xfId="2572"/>
    <cellStyle name="40% - Accent4 5 5" xfId="3166"/>
    <cellStyle name="40% - Accent4 5 5 2" xfId="4611"/>
    <cellStyle name="40% - Accent4 5 5 2 2" xfId="10421"/>
    <cellStyle name="40% - Accent4 5 5 2 3" xfId="7499"/>
    <cellStyle name="40% - Accent4 5 5 3" xfId="8977"/>
    <cellStyle name="40% - Accent4 5 5 4" xfId="6055"/>
    <cellStyle name="40% - Accent4 5 6" xfId="3425"/>
    <cellStyle name="40% - Accent4 5 6 2" xfId="9235"/>
    <cellStyle name="40% - Accent4 5 6 3" xfId="6313"/>
    <cellStyle name="40% - Accent4 5 7" xfId="7762"/>
    <cellStyle name="40% - Accent4 5 8" xfId="4869"/>
    <cellStyle name="40% - Accent4 5 9" xfId="1978"/>
    <cellStyle name="40% - Accent4 6" xfId="452"/>
    <cellStyle name="40% - Accent4 6 2" xfId="773"/>
    <cellStyle name="40% - Accent4 6 2 2" xfId="1661"/>
    <cellStyle name="40% - Accent4 6 2 2 2" xfId="4331"/>
    <cellStyle name="40% - Accent4 6 2 2 2 2" xfId="10141"/>
    <cellStyle name="40% - Accent4 6 2 2 2 3" xfId="7219"/>
    <cellStyle name="40% - Accent4 6 2 2 3" xfId="8676"/>
    <cellStyle name="40% - Accent4 6 2 2 4" xfId="5775"/>
    <cellStyle name="40% - Accent4 6 2 2 5" xfId="2884"/>
    <cellStyle name="40% - Accent4 6 2 3" xfId="3737"/>
    <cellStyle name="40% - Accent4 6 2 3 2" xfId="9547"/>
    <cellStyle name="40% - Accent4 6 2 3 3" xfId="6625"/>
    <cellStyle name="40% - Accent4 6 2 4" xfId="8074"/>
    <cellStyle name="40% - Accent4 6 2 5" xfId="5181"/>
    <cellStyle name="40% - Accent4 6 2 6" xfId="2290"/>
    <cellStyle name="40% - Accent4 6 3" xfId="634"/>
    <cellStyle name="40% - Accent4 6 3 2" xfId="1538"/>
    <cellStyle name="40% - Accent4 6 3 2 2" xfId="4208"/>
    <cellStyle name="40% - Accent4 6 3 2 2 2" xfId="10018"/>
    <cellStyle name="40% - Accent4 6 3 2 2 3" xfId="7096"/>
    <cellStyle name="40% - Accent4 6 3 2 3" xfId="8553"/>
    <cellStyle name="40% - Accent4 6 3 2 4" xfId="5652"/>
    <cellStyle name="40% - Accent4 6 3 2 5" xfId="2761"/>
    <cellStyle name="40% - Accent4 6 3 3" xfId="3614"/>
    <cellStyle name="40% - Accent4 6 3 3 2" xfId="9424"/>
    <cellStyle name="40% - Accent4 6 3 3 3" xfId="6502"/>
    <cellStyle name="40% - Accent4 6 3 4" xfId="7951"/>
    <cellStyle name="40% - Accent4 6 3 5" xfId="5058"/>
    <cellStyle name="40% - Accent4 6 3 6" xfId="2167"/>
    <cellStyle name="40% - Accent4 6 4" xfId="1363"/>
    <cellStyle name="40% - Accent4 6 4 2" xfId="4033"/>
    <cellStyle name="40% - Accent4 6 4 2 2" xfId="9843"/>
    <cellStyle name="40% - Accent4 6 4 2 3" xfId="6921"/>
    <cellStyle name="40% - Accent4 6 4 3" xfId="8378"/>
    <cellStyle name="40% - Accent4 6 4 4" xfId="5477"/>
    <cellStyle name="40% - Accent4 6 4 5" xfId="2586"/>
    <cellStyle name="40% - Accent4 6 5" xfId="3167"/>
    <cellStyle name="40% - Accent4 6 5 2" xfId="4612"/>
    <cellStyle name="40% - Accent4 6 5 2 2" xfId="10422"/>
    <cellStyle name="40% - Accent4 6 5 2 3" xfId="7500"/>
    <cellStyle name="40% - Accent4 6 5 3" xfId="8978"/>
    <cellStyle name="40% - Accent4 6 5 4" xfId="6056"/>
    <cellStyle name="40% - Accent4 6 6" xfId="3439"/>
    <cellStyle name="40% - Accent4 6 6 2" xfId="9249"/>
    <cellStyle name="40% - Accent4 6 6 3" xfId="6327"/>
    <cellStyle name="40% - Accent4 6 7" xfId="7776"/>
    <cellStyle name="40% - Accent4 6 8" xfId="4883"/>
    <cellStyle name="40% - Accent4 6 9" xfId="1992"/>
    <cellStyle name="40% - Accent4 7" xfId="472"/>
    <cellStyle name="40% - Accent4 7 2" xfId="774"/>
    <cellStyle name="40% - Accent4 7 2 2" xfId="1662"/>
    <cellStyle name="40% - Accent4 7 2 2 2" xfId="4332"/>
    <cellStyle name="40% - Accent4 7 2 2 2 2" xfId="10142"/>
    <cellStyle name="40% - Accent4 7 2 2 2 3" xfId="7220"/>
    <cellStyle name="40% - Accent4 7 2 2 3" xfId="8677"/>
    <cellStyle name="40% - Accent4 7 2 2 4" xfId="5776"/>
    <cellStyle name="40% - Accent4 7 2 2 5" xfId="2885"/>
    <cellStyle name="40% - Accent4 7 2 3" xfId="3738"/>
    <cellStyle name="40% - Accent4 7 2 3 2" xfId="9548"/>
    <cellStyle name="40% - Accent4 7 2 3 3" xfId="6626"/>
    <cellStyle name="40% - Accent4 7 2 4" xfId="8075"/>
    <cellStyle name="40% - Accent4 7 2 5" xfId="5182"/>
    <cellStyle name="40% - Accent4 7 2 6" xfId="2291"/>
    <cellStyle name="40% - Accent4 7 3" xfId="654"/>
    <cellStyle name="40% - Accent4 7 3 2" xfId="1558"/>
    <cellStyle name="40% - Accent4 7 3 2 2" xfId="4228"/>
    <cellStyle name="40% - Accent4 7 3 2 2 2" xfId="10038"/>
    <cellStyle name="40% - Accent4 7 3 2 2 3" xfId="7116"/>
    <cellStyle name="40% - Accent4 7 3 2 3" xfId="8573"/>
    <cellStyle name="40% - Accent4 7 3 2 4" xfId="5672"/>
    <cellStyle name="40% - Accent4 7 3 2 5" xfId="2781"/>
    <cellStyle name="40% - Accent4 7 3 3" xfId="3634"/>
    <cellStyle name="40% - Accent4 7 3 3 2" xfId="9444"/>
    <cellStyle name="40% - Accent4 7 3 3 3" xfId="6522"/>
    <cellStyle name="40% - Accent4 7 3 4" xfId="7971"/>
    <cellStyle name="40% - Accent4 7 3 5" xfId="5078"/>
    <cellStyle name="40% - Accent4 7 3 6" xfId="2187"/>
    <cellStyle name="40% - Accent4 7 4" xfId="1383"/>
    <cellStyle name="40% - Accent4 7 4 2" xfId="4053"/>
    <cellStyle name="40% - Accent4 7 4 2 2" xfId="9863"/>
    <cellStyle name="40% - Accent4 7 4 2 3" xfId="6941"/>
    <cellStyle name="40% - Accent4 7 4 3" xfId="8398"/>
    <cellStyle name="40% - Accent4 7 4 4" xfId="5497"/>
    <cellStyle name="40% - Accent4 7 4 5" xfId="2606"/>
    <cellStyle name="40% - Accent4 7 5" xfId="3168"/>
    <cellStyle name="40% - Accent4 7 5 2" xfId="4613"/>
    <cellStyle name="40% - Accent4 7 5 2 2" xfId="10423"/>
    <cellStyle name="40% - Accent4 7 5 2 3" xfId="7501"/>
    <cellStyle name="40% - Accent4 7 5 3" xfId="8979"/>
    <cellStyle name="40% - Accent4 7 5 4" xfId="6057"/>
    <cellStyle name="40% - Accent4 7 6" xfId="3459"/>
    <cellStyle name="40% - Accent4 7 6 2" xfId="9269"/>
    <cellStyle name="40% - Accent4 7 6 3" xfId="6347"/>
    <cellStyle name="40% - Accent4 7 7" xfId="7796"/>
    <cellStyle name="40% - Accent4 7 8" xfId="4903"/>
    <cellStyle name="40% - Accent4 7 9" xfId="2012"/>
    <cellStyle name="40% - Accent4 8" xfId="510"/>
    <cellStyle name="40% - Accent4 8 2" xfId="688"/>
    <cellStyle name="40% - Accent4 8 2 2" xfId="1592"/>
    <cellStyle name="40% - Accent4 8 2 2 2" xfId="4262"/>
    <cellStyle name="40% - Accent4 8 2 2 2 2" xfId="10072"/>
    <cellStyle name="40% - Accent4 8 2 2 2 3" xfId="7150"/>
    <cellStyle name="40% - Accent4 8 2 2 3" xfId="8607"/>
    <cellStyle name="40% - Accent4 8 2 2 4" xfId="5706"/>
    <cellStyle name="40% - Accent4 8 2 2 5" xfId="2815"/>
    <cellStyle name="40% - Accent4 8 2 3" xfId="3668"/>
    <cellStyle name="40% - Accent4 8 2 3 2" xfId="9478"/>
    <cellStyle name="40% - Accent4 8 2 3 3" xfId="6556"/>
    <cellStyle name="40% - Accent4 8 2 4" xfId="8005"/>
    <cellStyle name="40% - Accent4 8 2 5" xfId="5112"/>
    <cellStyle name="40% - Accent4 8 2 6" xfId="2221"/>
    <cellStyle name="40% - Accent4 8 3" xfId="1417"/>
    <cellStyle name="40% - Accent4 8 3 2" xfId="4087"/>
    <cellStyle name="40% - Accent4 8 3 2 2" xfId="9897"/>
    <cellStyle name="40% - Accent4 8 3 2 3" xfId="6975"/>
    <cellStyle name="40% - Accent4 8 3 3" xfId="8432"/>
    <cellStyle name="40% - Accent4 8 3 4" xfId="5531"/>
    <cellStyle name="40% - Accent4 8 3 5" xfId="2640"/>
    <cellStyle name="40% - Accent4 8 4" xfId="3493"/>
    <cellStyle name="40% - Accent4 8 4 2" xfId="9303"/>
    <cellStyle name="40% - Accent4 8 4 3" xfId="6381"/>
    <cellStyle name="40% - Accent4 8 5" xfId="7830"/>
    <cellStyle name="40% - Accent4 8 6" xfId="4937"/>
    <cellStyle name="40% - Accent4 8 7" xfId="2046"/>
    <cellStyle name="40% - Accent4 9" xfId="767"/>
    <cellStyle name="40% - Accent4 9 2" xfId="1657"/>
    <cellStyle name="40% - Accent4 9 2 2" xfId="4327"/>
    <cellStyle name="40% - Accent4 9 2 2 2" xfId="10137"/>
    <cellStyle name="40% - Accent4 9 2 2 3" xfId="7215"/>
    <cellStyle name="40% - Accent4 9 2 3" xfId="8672"/>
    <cellStyle name="40% - Accent4 9 2 4" xfId="5771"/>
    <cellStyle name="40% - Accent4 9 2 5" xfId="2880"/>
    <cellStyle name="40% - Accent4 9 3" xfId="3733"/>
    <cellStyle name="40% - Accent4 9 3 2" xfId="9543"/>
    <cellStyle name="40% - Accent4 9 3 3" xfId="6621"/>
    <cellStyle name="40% - Accent4 9 4" xfId="8070"/>
    <cellStyle name="40% - Accent4 9 5" xfId="5177"/>
    <cellStyle name="40% - Accent4 9 6" xfId="2286"/>
    <cellStyle name="40% - Accent5" xfId="382" builtinId="47" customBuiltin="1"/>
    <cellStyle name="40% - Accent5 10" xfId="567"/>
    <cellStyle name="40% - Accent5 10 2" xfId="1471"/>
    <cellStyle name="40% - Accent5 10 2 2" xfId="4141"/>
    <cellStyle name="40% - Accent5 10 2 2 2" xfId="9951"/>
    <cellStyle name="40% - Accent5 10 2 2 3" xfId="7029"/>
    <cellStyle name="40% - Accent5 10 2 3" xfId="8486"/>
    <cellStyle name="40% - Accent5 10 2 4" xfId="5585"/>
    <cellStyle name="40% - Accent5 10 2 5" xfId="2694"/>
    <cellStyle name="40% - Accent5 10 3" xfId="3547"/>
    <cellStyle name="40% - Accent5 10 3 2" xfId="9357"/>
    <cellStyle name="40% - Accent5 10 3 3" xfId="6435"/>
    <cellStyle name="40% - Accent5 10 4" xfId="7884"/>
    <cellStyle name="40% - Accent5 10 5" xfId="4991"/>
    <cellStyle name="40% - Accent5 10 6" xfId="2100"/>
    <cellStyle name="40% - Accent5 11" xfId="1246"/>
    <cellStyle name="40% - Accent5 11 2" xfId="1864"/>
    <cellStyle name="40% - Accent5 11 2 2" xfId="4514"/>
    <cellStyle name="40% - Accent5 11 2 2 2" xfId="10324"/>
    <cellStyle name="40% - Accent5 11 2 2 3" xfId="7402"/>
    <cellStyle name="40% - Accent5 11 2 3" xfId="8879"/>
    <cellStyle name="40% - Accent5 11 2 4" xfId="5958"/>
    <cellStyle name="40% - Accent5 11 2 5" xfId="3067"/>
    <cellStyle name="40% - Accent5 11 3" xfId="3920"/>
    <cellStyle name="40% - Accent5 11 3 2" xfId="9730"/>
    <cellStyle name="40% - Accent5 11 3 3" xfId="6808"/>
    <cellStyle name="40% - Accent5 11 4" xfId="8261"/>
    <cellStyle name="40% - Accent5 11 5" xfId="5364"/>
    <cellStyle name="40% - Accent5 11 6" xfId="2473"/>
    <cellStyle name="40% - Accent5 12" xfId="1296"/>
    <cellStyle name="40% - Accent5 12 2" xfId="3966"/>
    <cellStyle name="40% - Accent5 12 2 2" xfId="9776"/>
    <cellStyle name="40% - Accent5 12 2 3" xfId="6854"/>
    <cellStyle name="40% - Accent5 12 3" xfId="8311"/>
    <cellStyle name="40% - Accent5 12 4" xfId="5410"/>
    <cellStyle name="40% - Accent5 12 5" xfId="2519"/>
    <cellStyle name="40% - Accent5 13" xfId="1878"/>
    <cellStyle name="40% - Accent5 13 2" xfId="4532"/>
    <cellStyle name="40% - Accent5 13 2 2" xfId="10342"/>
    <cellStyle name="40% - Accent5 13 2 3" xfId="7420"/>
    <cellStyle name="40% - Accent5 13 3" xfId="8897"/>
    <cellStyle name="40% - Accent5 13 4" xfId="5976"/>
    <cellStyle name="40% - Accent5 13 5" xfId="3084"/>
    <cellStyle name="40% - Accent5 14" xfId="3169"/>
    <cellStyle name="40% - Accent5 14 2" xfId="4614"/>
    <cellStyle name="40% - Accent5 14 2 2" xfId="10424"/>
    <cellStyle name="40% - Accent5 14 2 3" xfId="7502"/>
    <cellStyle name="40% - Accent5 14 3" xfId="8980"/>
    <cellStyle name="40% - Accent5 14 4" xfId="6058"/>
    <cellStyle name="40% - Accent5 15" xfId="3372"/>
    <cellStyle name="40% - Accent5 15 2" xfId="9182"/>
    <cellStyle name="40% - Accent5 15 3" xfId="6260"/>
    <cellStyle name="40% - Accent5 16" xfId="7709"/>
    <cellStyle name="40% - Accent5 17" xfId="4816"/>
    <cellStyle name="40% - Accent5 18" xfId="1925"/>
    <cellStyle name="40% - Accent5 19" xfId="10619"/>
    <cellStyle name="40% - Accent5 2" xfId="11"/>
    <cellStyle name="40% - Accent5 2 2" xfId="776"/>
    <cellStyle name="40% - Accent5 20" xfId="10636"/>
    <cellStyle name="40% - Accent5 21" xfId="10650"/>
    <cellStyle name="40% - Accent5 3" xfId="404"/>
    <cellStyle name="40% - Accent5 3 2" xfId="778"/>
    <cellStyle name="40% - Accent5 3 2 2" xfId="1664"/>
    <cellStyle name="40% - Accent5 3 2 2 2" xfId="4334"/>
    <cellStyle name="40% - Accent5 3 2 2 2 2" xfId="10144"/>
    <cellStyle name="40% - Accent5 3 2 2 2 3" xfId="7222"/>
    <cellStyle name="40% - Accent5 3 2 2 3" xfId="8679"/>
    <cellStyle name="40% - Accent5 3 2 2 4" xfId="5778"/>
    <cellStyle name="40% - Accent5 3 2 2 5" xfId="2887"/>
    <cellStyle name="40% - Accent5 3 2 3" xfId="3170"/>
    <cellStyle name="40% - Accent5 3 2 3 2" xfId="4615"/>
    <cellStyle name="40% - Accent5 3 2 3 2 2" xfId="10425"/>
    <cellStyle name="40% - Accent5 3 2 3 2 3" xfId="7503"/>
    <cellStyle name="40% - Accent5 3 2 3 3" xfId="8981"/>
    <cellStyle name="40% - Accent5 3 2 3 4" xfId="6059"/>
    <cellStyle name="40% - Accent5 3 2 4" xfId="3740"/>
    <cellStyle name="40% - Accent5 3 2 4 2" xfId="9550"/>
    <cellStyle name="40% - Accent5 3 2 4 3" xfId="6628"/>
    <cellStyle name="40% - Accent5 3 2 5" xfId="8077"/>
    <cellStyle name="40% - Accent5 3 2 6" xfId="5184"/>
    <cellStyle name="40% - Accent5 3 2 7" xfId="2293"/>
    <cellStyle name="40% - Accent5 3 3" xfId="777"/>
    <cellStyle name="40% - Accent5 3 4" xfId="586"/>
    <cellStyle name="40% - Accent5 3 4 2" xfId="1490"/>
    <cellStyle name="40% - Accent5 3 4 2 2" xfId="4160"/>
    <cellStyle name="40% - Accent5 3 4 2 2 2" xfId="9970"/>
    <cellStyle name="40% - Accent5 3 4 2 2 3" xfId="7048"/>
    <cellStyle name="40% - Accent5 3 4 2 3" xfId="8505"/>
    <cellStyle name="40% - Accent5 3 4 2 4" xfId="5604"/>
    <cellStyle name="40% - Accent5 3 4 2 5" xfId="2713"/>
    <cellStyle name="40% - Accent5 3 4 3" xfId="3566"/>
    <cellStyle name="40% - Accent5 3 4 3 2" xfId="9376"/>
    <cellStyle name="40% - Accent5 3 4 3 3" xfId="6454"/>
    <cellStyle name="40% - Accent5 3 4 4" xfId="7903"/>
    <cellStyle name="40% - Accent5 3 4 5" xfId="5010"/>
    <cellStyle name="40% - Accent5 3 4 6" xfId="2119"/>
    <cellStyle name="40% - Accent5 3 5" xfId="1315"/>
    <cellStyle name="40% - Accent5 3 5 2" xfId="3985"/>
    <cellStyle name="40% - Accent5 3 5 2 2" xfId="9795"/>
    <cellStyle name="40% - Accent5 3 5 2 3" xfId="6873"/>
    <cellStyle name="40% - Accent5 3 5 3" xfId="8330"/>
    <cellStyle name="40% - Accent5 3 5 4" xfId="5429"/>
    <cellStyle name="40% - Accent5 3 5 5" xfId="2538"/>
    <cellStyle name="40% - Accent5 3 6" xfId="3391"/>
    <cellStyle name="40% - Accent5 3 6 2" xfId="9201"/>
    <cellStyle name="40% - Accent5 3 6 3" xfId="6279"/>
    <cellStyle name="40% - Accent5 3 7" xfId="7728"/>
    <cellStyle name="40% - Accent5 3 8" xfId="4835"/>
    <cellStyle name="40% - Accent5 3 9" xfId="1944"/>
    <cellStyle name="40% - Accent5 4" xfId="425"/>
    <cellStyle name="40% - Accent5 4 2" xfId="779"/>
    <cellStyle name="40% - Accent5 4 2 2" xfId="1665"/>
    <cellStyle name="40% - Accent5 4 2 2 2" xfId="4335"/>
    <cellStyle name="40% - Accent5 4 2 2 2 2" xfId="10145"/>
    <cellStyle name="40% - Accent5 4 2 2 2 3" xfId="7223"/>
    <cellStyle name="40% - Accent5 4 2 2 3" xfId="8680"/>
    <cellStyle name="40% - Accent5 4 2 2 4" xfId="5779"/>
    <cellStyle name="40% - Accent5 4 2 2 5" xfId="2888"/>
    <cellStyle name="40% - Accent5 4 2 3" xfId="3741"/>
    <cellStyle name="40% - Accent5 4 2 3 2" xfId="9551"/>
    <cellStyle name="40% - Accent5 4 2 3 3" xfId="6629"/>
    <cellStyle name="40% - Accent5 4 2 4" xfId="8078"/>
    <cellStyle name="40% - Accent5 4 2 5" xfId="5185"/>
    <cellStyle name="40% - Accent5 4 2 6" xfId="2294"/>
    <cellStyle name="40% - Accent5 4 3" xfId="607"/>
    <cellStyle name="40% - Accent5 4 3 2" xfId="1511"/>
    <cellStyle name="40% - Accent5 4 3 2 2" xfId="4181"/>
    <cellStyle name="40% - Accent5 4 3 2 2 2" xfId="9991"/>
    <cellStyle name="40% - Accent5 4 3 2 2 3" xfId="7069"/>
    <cellStyle name="40% - Accent5 4 3 2 3" xfId="8526"/>
    <cellStyle name="40% - Accent5 4 3 2 4" xfId="5625"/>
    <cellStyle name="40% - Accent5 4 3 2 5" xfId="2734"/>
    <cellStyle name="40% - Accent5 4 3 3" xfId="3587"/>
    <cellStyle name="40% - Accent5 4 3 3 2" xfId="9397"/>
    <cellStyle name="40% - Accent5 4 3 3 3" xfId="6475"/>
    <cellStyle name="40% - Accent5 4 3 4" xfId="7924"/>
    <cellStyle name="40% - Accent5 4 3 5" xfId="5031"/>
    <cellStyle name="40% - Accent5 4 3 6" xfId="2140"/>
    <cellStyle name="40% - Accent5 4 4" xfId="1336"/>
    <cellStyle name="40% - Accent5 4 4 2" xfId="4006"/>
    <cellStyle name="40% - Accent5 4 4 2 2" xfId="9816"/>
    <cellStyle name="40% - Accent5 4 4 2 3" xfId="6894"/>
    <cellStyle name="40% - Accent5 4 4 3" xfId="8351"/>
    <cellStyle name="40% - Accent5 4 4 4" xfId="5450"/>
    <cellStyle name="40% - Accent5 4 4 5" xfId="2559"/>
    <cellStyle name="40% - Accent5 4 5" xfId="3171"/>
    <cellStyle name="40% - Accent5 4 5 2" xfId="4616"/>
    <cellStyle name="40% - Accent5 4 5 2 2" xfId="10426"/>
    <cellStyle name="40% - Accent5 4 5 2 3" xfId="7504"/>
    <cellStyle name="40% - Accent5 4 5 3" xfId="8982"/>
    <cellStyle name="40% - Accent5 4 5 4" xfId="6060"/>
    <cellStyle name="40% - Accent5 4 6" xfId="3412"/>
    <cellStyle name="40% - Accent5 4 6 2" xfId="9222"/>
    <cellStyle name="40% - Accent5 4 6 3" xfId="6300"/>
    <cellStyle name="40% - Accent5 4 7" xfId="7749"/>
    <cellStyle name="40% - Accent5 4 8" xfId="4856"/>
    <cellStyle name="40% - Accent5 4 9" xfId="1965"/>
    <cellStyle name="40% - Accent5 5" xfId="440"/>
    <cellStyle name="40% - Accent5 5 2" xfId="780"/>
    <cellStyle name="40% - Accent5 5 2 2" xfId="1666"/>
    <cellStyle name="40% - Accent5 5 2 2 2" xfId="4336"/>
    <cellStyle name="40% - Accent5 5 2 2 2 2" xfId="10146"/>
    <cellStyle name="40% - Accent5 5 2 2 2 3" xfId="7224"/>
    <cellStyle name="40% - Accent5 5 2 2 3" xfId="8681"/>
    <cellStyle name="40% - Accent5 5 2 2 4" xfId="5780"/>
    <cellStyle name="40% - Accent5 5 2 2 5" xfId="2889"/>
    <cellStyle name="40% - Accent5 5 2 3" xfId="3742"/>
    <cellStyle name="40% - Accent5 5 2 3 2" xfId="9552"/>
    <cellStyle name="40% - Accent5 5 2 3 3" xfId="6630"/>
    <cellStyle name="40% - Accent5 5 2 4" xfId="8079"/>
    <cellStyle name="40% - Accent5 5 2 5" xfId="5186"/>
    <cellStyle name="40% - Accent5 5 2 6" xfId="2295"/>
    <cellStyle name="40% - Accent5 5 3" xfId="622"/>
    <cellStyle name="40% - Accent5 5 3 2" xfId="1526"/>
    <cellStyle name="40% - Accent5 5 3 2 2" xfId="4196"/>
    <cellStyle name="40% - Accent5 5 3 2 2 2" xfId="10006"/>
    <cellStyle name="40% - Accent5 5 3 2 2 3" xfId="7084"/>
    <cellStyle name="40% - Accent5 5 3 2 3" xfId="8541"/>
    <cellStyle name="40% - Accent5 5 3 2 4" xfId="5640"/>
    <cellStyle name="40% - Accent5 5 3 2 5" xfId="2749"/>
    <cellStyle name="40% - Accent5 5 3 3" xfId="3602"/>
    <cellStyle name="40% - Accent5 5 3 3 2" xfId="9412"/>
    <cellStyle name="40% - Accent5 5 3 3 3" xfId="6490"/>
    <cellStyle name="40% - Accent5 5 3 4" xfId="7939"/>
    <cellStyle name="40% - Accent5 5 3 5" xfId="5046"/>
    <cellStyle name="40% - Accent5 5 3 6" xfId="2155"/>
    <cellStyle name="40% - Accent5 5 4" xfId="1351"/>
    <cellStyle name="40% - Accent5 5 4 2" xfId="4021"/>
    <cellStyle name="40% - Accent5 5 4 2 2" xfId="9831"/>
    <cellStyle name="40% - Accent5 5 4 2 3" xfId="6909"/>
    <cellStyle name="40% - Accent5 5 4 3" xfId="8366"/>
    <cellStyle name="40% - Accent5 5 4 4" xfId="5465"/>
    <cellStyle name="40% - Accent5 5 4 5" xfId="2574"/>
    <cellStyle name="40% - Accent5 5 5" xfId="3172"/>
    <cellStyle name="40% - Accent5 5 5 2" xfId="4617"/>
    <cellStyle name="40% - Accent5 5 5 2 2" xfId="10427"/>
    <cellStyle name="40% - Accent5 5 5 2 3" xfId="7505"/>
    <cellStyle name="40% - Accent5 5 5 3" xfId="8983"/>
    <cellStyle name="40% - Accent5 5 5 4" xfId="6061"/>
    <cellStyle name="40% - Accent5 5 6" xfId="3427"/>
    <cellStyle name="40% - Accent5 5 6 2" xfId="9237"/>
    <cellStyle name="40% - Accent5 5 6 3" xfId="6315"/>
    <cellStyle name="40% - Accent5 5 7" xfId="7764"/>
    <cellStyle name="40% - Accent5 5 8" xfId="4871"/>
    <cellStyle name="40% - Accent5 5 9" xfId="1980"/>
    <cellStyle name="40% - Accent5 6" xfId="454"/>
    <cellStyle name="40% - Accent5 6 2" xfId="781"/>
    <cellStyle name="40% - Accent5 6 2 2" xfId="1667"/>
    <cellStyle name="40% - Accent5 6 2 2 2" xfId="4337"/>
    <cellStyle name="40% - Accent5 6 2 2 2 2" xfId="10147"/>
    <cellStyle name="40% - Accent5 6 2 2 2 3" xfId="7225"/>
    <cellStyle name="40% - Accent5 6 2 2 3" xfId="8682"/>
    <cellStyle name="40% - Accent5 6 2 2 4" xfId="5781"/>
    <cellStyle name="40% - Accent5 6 2 2 5" xfId="2890"/>
    <cellStyle name="40% - Accent5 6 2 3" xfId="3743"/>
    <cellStyle name="40% - Accent5 6 2 3 2" xfId="9553"/>
    <cellStyle name="40% - Accent5 6 2 3 3" xfId="6631"/>
    <cellStyle name="40% - Accent5 6 2 4" xfId="8080"/>
    <cellStyle name="40% - Accent5 6 2 5" xfId="5187"/>
    <cellStyle name="40% - Accent5 6 2 6" xfId="2296"/>
    <cellStyle name="40% - Accent5 6 3" xfId="636"/>
    <cellStyle name="40% - Accent5 6 3 2" xfId="1540"/>
    <cellStyle name="40% - Accent5 6 3 2 2" xfId="4210"/>
    <cellStyle name="40% - Accent5 6 3 2 2 2" xfId="10020"/>
    <cellStyle name="40% - Accent5 6 3 2 2 3" xfId="7098"/>
    <cellStyle name="40% - Accent5 6 3 2 3" xfId="8555"/>
    <cellStyle name="40% - Accent5 6 3 2 4" xfId="5654"/>
    <cellStyle name="40% - Accent5 6 3 2 5" xfId="2763"/>
    <cellStyle name="40% - Accent5 6 3 3" xfId="3616"/>
    <cellStyle name="40% - Accent5 6 3 3 2" xfId="9426"/>
    <cellStyle name="40% - Accent5 6 3 3 3" xfId="6504"/>
    <cellStyle name="40% - Accent5 6 3 4" xfId="7953"/>
    <cellStyle name="40% - Accent5 6 3 5" xfId="5060"/>
    <cellStyle name="40% - Accent5 6 3 6" xfId="2169"/>
    <cellStyle name="40% - Accent5 6 4" xfId="1365"/>
    <cellStyle name="40% - Accent5 6 4 2" xfId="4035"/>
    <cellStyle name="40% - Accent5 6 4 2 2" xfId="9845"/>
    <cellStyle name="40% - Accent5 6 4 2 3" xfId="6923"/>
    <cellStyle name="40% - Accent5 6 4 3" xfId="8380"/>
    <cellStyle name="40% - Accent5 6 4 4" xfId="5479"/>
    <cellStyle name="40% - Accent5 6 4 5" xfId="2588"/>
    <cellStyle name="40% - Accent5 6 5" xfId="3173"/>
    <cellStyle name="40% - Accent5 6 5 2" xfId="4618"/>
    <cellStyle name="40% - Accent5 6 5 2 2" xfId="10428"/>
    <cellStyle name="40% - Accent5 6 5 2 3" xfId="7506"/>
    <cellStyle name="40% - Accent5 6 5 3" xfId="8984"/>
    <cellStyle name="40% - Accent5 6 5 4" xfId="6062"/>
    <cellStyle name="40% - Accent5 6 6" xfId="3441"/>
    <cellStyle name="40% - Accent5 6 6 2" xfId="9251"/>
    <cellStyle name="40% - Accent5 6 6 3" xfId="6329"/>
    <cellStyle name="40% - Accent5 6 7" xfId="7778"/>
    <cellStyle name="40% - Accent5 6 8" xfId="4885"/>
    <cellStyle name="40% - Accent5 6 9" xfId="1994"/>
    <cellStyle name="40% - Accent5 7" xfId="474"/>
    <cellStyle name="40% - Accent5 7 2" xfId="782"/>
    <cellStyle name="40% - Accent5 7 2 2" xfId="1668"/>
    <cellStyle name="40% - Accent5 7 2 2 2" xfId="4338"/>
    <cellStyle name="40% - Accent5 7 2 2 2 2" xfId="10148"/>
    <cellStyle name="40% - Accent5 7 2 2 2 3" xfId="7226"/>
    <cellStyle name="40% - Accent5 7 2 2 3" xfId="8683"/>
    <cellStyle name="40% - Accent5 7 2 2 4" xfId="5782"/>
    <cellStyle name="40% - Accent5 7 2 2 5" xfId="2891"/>
    <cellStyle name="40% - Accent5 7 2 3" xfId="3744"/>
    <cellStyle name="40% - Accent5 7 2 3 2" xfId="9554"/>
    <cellStyle name="40% - Accent5 7 2 3 3" xfId="6632"/>
    <cellStyle name="40% - Accent5 7 2 4" xfId="8081"/>
    <cellStyle name="40% - Accent5 7 2 5" xfId="5188"/>
    <cellStyle name="40% - Accent5 7 2 6" xfId="2297"/>
    <cellStyle name="40% - Accent5 7 3" xfId="656"/>
    <cellStyle name="40% - Accent5 7 3 2" xfId="1560"/>
    <cellStyle name="40% - Accent5 7 3 2 2" xfId="4230"/>
    <cellStyle name="40% - Accent5 7 3 2 2 2" xfId="10040"/>
    <cellStyle name="40% - Accent5 7 3 2 2 3" xfId="7118"/>
    <cellStyle name="40% - Accent5 7 3 2 3" xfId="8575"/>
    <cellStyle name="40% - Accent5 7 3 2 4" xfId="5674"/>
    <cellStyle name="40% - Accent5 7 3 2 5" xfId="2783"/>
    <cellStyle name="40% - Accent5 7 3 3" xfId="3636"/>
    <cellStyle name="40% - Accent5 7 3 3 2" xfId="9446"/>
    <cellStyle name="40% - Accent5 7 3 3 3" xfId="6524"/>
    <cellStyle name="40% - Accent5 7 3 4" xfId="7973"/>
    <cellStyle name="40% - Accent5 7 3 5" xfId="5080"/>
    <cellStyle name="40% - Accent5 7 3 6" xfId="2189"/>
    <cellStyle name="40% - Accent5 7 4" xfId="1385"/>
    <cellStyle name="40% - Accent5 7 4 2" xfId="4055"/>
    <cellStyle name="40% - Accent5 7 4 2 2" xfId="9865"/>
    <cellStyle name="40% - Accent5 7 4 2 3" xfId="6943"/>
    <cellStyle name="40% - Accent5 7 4 3" xfId="8400"/>
    <cellStyle name="40% - Accent5 7 4 4" xfId="5499"/>
    <cellStyle name="40% - Accent5 7 4 5" xfId="2608"/>
    <cellStyle name="40% - Accent5 7 5" xfId="3174"/>
    <cellStyle name="40% - Accent5 7 5 2" xfId="4619"/>
    <cellStyle name="40% - Accent5 7 5 2 2" xfId="10429"/>
    <cellStyle name="40% - Accent5 7 5 2 3" xfId="7507"/>
    <cellStyle name="40% - Accent5 7 5 3" xfId="8985"/>
    <cellStyle name="40% - Accent5 7 5 4" xfId="6063"/>
    <cellStyle name="40% - Accent5 7 6" xfId="3461"/>
    <cellStyle name="40% - Accent5 7 6 2" xfId="9271"/>
    <cellStyle name="40% - Accent5 7 6 3" xfId="6349"/>
    <cellStyle name="40% - Accent5 7 7" xfId="7798"/>
    <cellStyle name="40% - Accent5 7 8" xfId="4905"/>
    <cellStyle name="40% - Accent5 7 9" xfId="2014"/>
    <cellStyle name="40% - Accent5 8" xfId="513"/>
    <cellStyle name="40% - Accent5 8 2" xfId="691"/>
    <cellStyle name="40% - Accent5 8 2 2" xfId="1595"/>
    <cellStyle name="40% - Accent5 8 2 2 2" xfId="4265"/>
    <cellStyle name="40% - Accent5 8 2 2 2 2" xfId="10075"/>
    <cellStyle name="40% - Accent5 8 2 2 2 3" xfId="7153"/>
    <cellStyle name="40% - Accent5 8 2 2 3" xfId="8610"/>
    <cellStyle name="40% - Accent5 8 2 2 4" xfId="5709"/>
    <cellStyle name="40% - Accent5 8 2 2 5" xfId="2818"/>
    <cellStyle name="40% - Accent5 8 2 3" xfId="3671"/>
    <cellStyle name="40% - Accent5 8 2 3 2" xfId="9481"/>
    <cellStyle name="40% - Accent5 8 2 3 3" xfId="6559"/>
    <cellStyle name="40% - Accent5 8 2 4" xfId="8008"/>
    <cellStyle name="40% - Accent5 8 2 5" xfId="5115"/>
    <cellStyle name="40% - Accent5 8 2 6" xfId="2224"/>
    <cellStyle name="40% - Accent5 8 3" xfId="1420"/>
    <cellStyle name="40% - Accent5 8 3 2" xfId="4090"/>
    <cellStyle name="40% - Accent5 8 3 2 2" xfId="9900"/>
    <cellStyle name="40% - Accent5 8 3 2 3" xfId="6978"/>
    <cellStyle name="40% - Accent5 8 3 3" xfId="8435"/>
    <cellStyle name="40% - Accent5 8 3 4" xfId="5534"/>
    <cellStyle name="40% - Accent5 8 3 5" xfId="2643"/>
    <cellStyle name="40% - Accent5 8 4" xfId="3496"/>
    <cellStyle name="40% - Accent5 8 4 2" xfId="9306"/>
    <cellStyle name="40% - Accent5 8 4 3" xfId="6384"/>
    <cellStyle name="40% - Accent5 8 5" xfId="7833"/>
    <cellStyle name="40% - Accent5 8 6" xfId="4940"/>
    <cellStyle name="40% - Accent5 8 7" xfId="2049"/>
    <cellStyle name="40% - Accent5 9" xfId="775"/>
    <cellStyle name="40% - Accent5 9 2" xfId="1663"/>
    <cellStyle name="40% - Accent5 9 2 2" xfId="4333"/>
    <cellStyle name="40% - Accent5 9 2 2 2" xfId="10143"/>
    <cellStyle name="40% - Accent5 9 2 2 3" xfId="7221"/>
    <cellStyle name="40% - Accent5 9 2 3" xfId="8678"/>
    <cellStyle name="40% - Accent5 9 2 4" xfId="5777"/>
    <cellStyle name="40% - Accent5 9 2 5" xfId="2886"/>
    <cellStyle name="40% - Accent5 9 3" xfId="3739"/>
    <cellStyle name="40% - Accent5 9 3 2" xfId="9549"/>
    <cellStyle name="40% - Accent5 9 3 3" xfId="6627"/>
    <cellStyle name="40% - Accent5 9 4" xfId="8076"/>
    <cellStyle name="40% - Accent5 9 5" xfId="5183"/>
    <cellStyle name="40% - Accent5 9 6" xfId="2292"/>
    <cellStyle name="40% - Accent6" xfId="386" builtinId="51" customBuiltin="1"/>
    <cellStyle name="40% - Accent6 10" xfId="569"/>
    <cellStyle name="40% - Accent6 10 2" xfId="1473"/>
    <cellStyle name="40% - Accent6 10 2 2" xfId="4143"/>
    <cellStyle name="40% - Accent6 10 2 2 2" xfId="9953"/>
    <cellStyle name="40% - Accent6 10 2 2 3" xfId="7031"/>
    <cellStyle name="40% - Accent6 10 2 3" xfId="8488"/>
    <cellStyle name="40% - Accent6 10 2 4" xfId="5587"/>
    <cellStyle name="40% - Accent6 10 2 5" xfId="2696"/>
    <cellStyle name="40% - Accent6 10 3" xfId="3549"/>
    <cellStyle name="40% - Accent6 10 3 2" xfId="9359"/>
    <cellStyle name="40% - Accent6 10 3 3" xfId="6437"/>
    <cellStyle name="40% - Accent6 10 4" xfId="7886"/>
    <cellStyle name="40% - Accent6 10 5" xfId="4993"/>
    <cellStyle name="40% - Accent6 10 6" xfId="2102"/>
    <cellStyle name="40% - Accent6 11" xfId="1248"/>
    <cellStyle name="40% - Accent6 11 2" xfId="1866"/>
    <cellStyle name="40% - Accent6 11 2 2" xfId="4516"/>
    <cellStyle name="40% - Accent6 11 2 2 2" xfId="10326"/>
    <cellStyle name="40% - Accent6 11 2 2 3" xfId="7404"/>
    <cellStyle name="40% - Accent6 11 2 3" xfId="8881"/>
    <cellStyle name="40% - Accent6 11 2 4" xfId="5960"/>
    <cellStyle name="40% - Accent6 11 2 5" xfId="3069"/>
    <cellStyle name="40% - Accent6 11 3" xfId="3922"/>
    <cellStyle name="40% - Accent6 11 3 2" xfId="9732"/>
    <cellStyle name="40% - Accent6 11 3 3" xfId="6810"/>
    <cellStyle name="40% - Accent6 11 4" xfId="8263"/>
    <cellStyle name="40% - Accent6 11 5" xfId="5366"/>
    <cellStyle name="40% - Accent6 11 6" xfId="2475"/>
    <cellStyle name="40% - Accent6 12" xfId="1298"/>
    <cellStyle name="40% - Accent6 12 2" xfId="3968"/>
    <cellStyle name="40% - Accent6 12 2 2" xfId="9778"/>
    <cellStyle name="40% - Accent6 12 2 3" xfId="6856"/>
    <cellStyle name="40% - Accent6 12 3" xfId="8313"/>
    <cellStyle name="40% - Accent6 12 4" xfId="5412"/>
    <cellStyle name="40% - Accent6 12 5" xfId="2521"/>
    <cellStyle name="40% - Accent6 13" xfId="1880"/>
    <cellStyle name="40% - Accent6 13 2" xfId="4535"/>
    <cellStyle name="40% - Accent6 13 2 2" xfId="10345"/>
    <cellStyle name="40% - Accent6 13 2 3" xfId="7423"/>
    <cellStyle name="40% - Accent6 13 3" xfId="8900"/>
    <cellStyle name="40% - Accent6 13 4" xfId="5979"/>
    <cellStyle name="40% - Accent6 13 5" xfId="3087"/>
    <cellStyle name="40% - Accent6 14" xfId="3175"/>
    <cellStyle name="40% - Accent6 14 2" xfId="4620"/>
    <cellStyle name="40% - Accent6 14 2 2" xfId="10430"/>
    <cellStyle name="40% - Accent6 14 2 3" xfId="7508"/>
    <cellStyle name="40% - Accent6 14 3" xfId="8986"/>
    <cellStyle name="40% - Accent6 14 4" xfId="6064"/>
    <cellStyle name="40% - Accent6 15" xfId="3374"/>
    <cellStyle name="40% - Accent6 15 2" xfId="9184"/>
    <cellStyle name="40% - Accent6 15 3" xfId="6262"/>
    <cellStyle name="40% - Accent6 16" xfId="7711"/>
    <cellStyle name="40% - Accent6 17" xfId="4818"/>
    <cellStyle name="40% - Accent6 18" xfId="1927"/>
    <cellStyle name="40% - Accent6 19" xfId="10621"/>
    <cellStyle name="40% - Accent6 2" xfId="12"/>
    <cellStyle name="40% - Accent6 2 2" xfId="784"/>
    <cellStyle name="40% - Accent6 20" xfId="10638"/>
    <cellStyle name="40% - Accent6 21" xfId="10652"/>
    <cellStyle name="40% - Accent6 3" xfId="406"/>
    <cellStyle name="40% - Accent6 3 2" xfId="786"/>
    <cellStyle name="40% - Accent6 3 2 2" xfId="1670"/>
    <cellStyle name="40% - Accent6 3 2 2 2" xfId="4340"/>
    <cellStyle name="40% - Accent6 3 2 2 2 2" xfId="10150"/>
    <cellStyle name="40% - Accent6 3 2 2 2 3" xfId="7228"/>
    <cellStyle name="40% - Accent6 3 2 2 3" xfId="8685"/>
    <cellStyle name="40% - Accent6 3 2 2 4" xfId="5784"/>
    <cellStyle name="40% - Accent6 3 2 2 5" xfId="2893"/>
    <cellStyle name="40% - Accent6 3 2 3" xfId="3176"/>
    <cellStyle name="40% - Accent6 3 2 3 2" xfId="4621"/>
    <cellStyle name="40% - Accent6 3 2 3 2 2" xfId="10431"/>
    <cellStyle name="40% - Accent6 3 2 3 2 3" xfId="7509"/>
    <cellStyle name="40% - Accent6 3 2 3 3" xfId="8987"/>
    <cellStyle name="40% - Accent6 3 2 3 4" xfId="6065"/>
    <cellStyle name="40% - Accent6 3 2 4" xfId="3746"/>
    <cellStyle name="40% - Accent6 3 2 4 2" xfId="9556"/>
    <cellStyle name="40% - Accent6 3 2 4 3" xfId="6634"/>
    <cellStyle name="40% - Accent6 3 2 5" xfId="8083"/>
    <cellStyle name="40% - Accent6 3 2 6" xfId="5190"/>
    <cellStyle name="40% - Accent6 3 2 7" xfId="2299"/>
    <cellStyle name="40% - Accent6 3 3" xfId="785"/>
    <cellStyle name="40% - Accent6 3 4" xfId="588"/>
    <cellStyle name="40% - Accent6 3 4 2" xfId="1492"/>
    <cellStyle name="40% - Accent6 3 4 2 2" xfId="4162"/>
    <cellStyle name="40% - Accent6 3 4 2 2 2" xfId="9972"/>
    <cellStyle name="40% - Accent6 3 4 2 2 3" xfId="7050"/>
    <cellStyle name="40% - Accent6 3 4 2 3" xfId="8507"/>
    <cellStyle name="40% - Accent6 3 4 2 4" xfId="5606"/>
    <cellStyle name="40% - Accent6 3 4 2 5" xfId="2715"/>
    <cellStyle name="40% - Accent6 3 4 3" xfId="3568"/>
    <cellStyle name="40% - Accent6 3 4 3 2" xfId="9378"/>
    <cellStyle name="40% - Accent6 3 4 3 3" xfId="6456"/>
    <cellStyle name="40% - Accent6 3 4 4" xfId="7905"/>
    <cellStyle name="40% - Accent6 3 4 5" xfId="5012"/>
    <cellStyle name="40% - Accent6 3 4 6" xfId="2121"/>
    <cellStyle name="40% - Accent6 3 5" xfId="1317"/>
    <cellStyle name="40% - Accent6 3 5 2" xfId="3987"/>
    <cellStyle name="40% - Accent6 3 5 2 2" xfId="9797"/>
    <cellStyle name="40% - Accent6 3 5 2 3" xfId="6875"/>
    <cellStyle name="40% - Accent6 3 5 3" xfId="8332"/>
    <cellStyle name="40% - Accent6 3 5 4" xfId="5431"/>
    <cellStyle name="40% - Accent6 3 5 5" xfId="2540"/>
    <cellStyle name="40% - Accent6 3 6" xfId="3393"/>
    <cellStyle name="40% - Accent6 3 6 2" xfId="9203"/>
    <cellStyle name="40% - Accent6 3 6 3" xfId="6281"/>
    <cellStyle name="40% - Accent6 3 7" xfId="7730"/>
    <cellStyle name="40% - Accent6 3 8" xfId="4837"/>
    <cellStyle name="40% - Accent6 3 9" xfId="1946"/>
    <cellStyle name="40% - Accent6 4" xfId="427"/>
    <cellStyle name="40% - Accent6 4 2" xfId="787"/>
    <cellStyle name="40% - Accent6 4 2 2" xfId="1671"/>
    <cellStyle name="40% - Accent6 4 2 2 2" xfId="4341"/>
    <cellStyle name="40% - Accent6 4 2 2 2 2" xfId="10151"/>
    <cellStyle name="40% - Accent6 4 2 2 2 3" xfId="7229"/>
    <cellStyle name="40% - Accent6 4 2 2 3" xfId="8686"/>
    <cellStyle name="40% - Accent6 4 2 2 4" xfId="5785"/>
    <cellStyle name="40% - Accent6 4 2 2 5" xfId="2894"/>
    <cellStyle name="40% - Accent6 4 2 3" xfId="3747"/>
    <cellStyle name="40% - Accent6 4 2 3 2" xfId="9557"/>
    <cellStyle name="40% - Accent6 4 2 3 3" xfId="6635"/>
    <cellStyle name="40% - Accent6 4 2 4" xfId="8084"/>
    <cellStyle name="40% - Accent6 4 2 5" xfId="5191"/>
    <cellStyle name="40% - Accent6 4 2 6" xfId="2300"/>
    <cellStyle name="40% - Accent6 4 3" xfId="609"/>
    <cellStyle name="40% - Accent6 4 3 2" xfId="1513"/>
    <cellStyle name="40% - Accent6 4 3 2 2" xfId="4183"/>
    <cellStyle name="40% - Accent6 4 3 2 2 2" xfId="9993"/>
    <cellStyle name="40% - Accent6 4 3 2 2 3" xfId="7071"/>
    <cellStyle name="40% - Accent6 4 3 2 3" xfId="8528"/>
    <cellStyle name="40% - Accent6 4 3 2 4" xfId="5627"/>
    <cellStyle name="40% - Accent6 4 3 2 5" xfId="2736"/>
    <cellStyle name="40% - Accent6 4 3 3" xfId="3589"/>
    <cellStyle name="40% - Accent6 4 3 3 2" xfId="9399"/>
    <cellStyle name="40% - Accent6 4 3 3 3" xfId="6477"/>
    <cellStyle name="40% - Accent6 4 3 4" xfId="7926"/>
    <cellStyle name="40% - Accent6 4 3 5" xfId="5033"/>
    <cellStyle name="40% - Accent6 4 3 6" xfId="2142"/>
    <cellStyle name="40% - Accent6 4 4" xfId="1338"/>
    <cellStyle name="40% - Accent6 4 4 2" xfId="4008"/>
    <cellStyle name="40% - Accent6 4 4 2 2" xfId="9818"/>
    <cellStyle name="40% - Accent6 4 4 2 3" xfId="6896"/>
    <cellStyle name="40% - Accent6 4 4 3" xfId="8353"/>
    <cellStyle name="40% - Accent6 4 4 4" xfId="5452"/>
    <cellStyle name="40% - Accent6 4 4 5" xfId="2561"/>
    <cellStyle name="40% - Accent6 4 5" xfId="3177"/>
    <cellStyle name="40% - Accent6 4 5 2" xfId="4622"/>
    <cellStyle name="40% - Accent6 4 5 2 2" xfId="10432"/>
    <cellStyle name="40% - Accent6 4 5 2 3" xfId="7510"/>
    <cellStyle name="40% - Accent6 4 5 3" xfId="8988"/>
    <cellStyle name="40% - Accent6 4 5 4" xfId="6066"/>
    <cellStyle name="40% - Accent6 4 6" xfId="3414"/>
    <cellStyle name="40% - Accent6 4 6 2" xfId="9224"/>
    <cellStyle name="40% - Accent6 4 6 3" xfId="6302"/>
    <cellStyle name="40% - Accent6 4 7" xfId="7751"/>
    <cellStyle name="40% - Accent6 4 8" xfId="4858"/>
    <cellStyle name="40% - Accent6 4 9" xfId="1967"/>
    <cellStyle name="40% - Accent6 5" xfId="442"/>
    <cellStyle name="40% - Accent6 5 2" xfId="788"/>
    <cellStyle name="40% - Accent6 5 2 2" xfId="1672"/>
    <cellStyle name="40% - Accent6 5 2 2 2" xfId="4342"/>
    <cellStyle name="40% - Accent6 5 2 2 2 2" xfId="10152"/>
    <cellStyle name="40% - Accent6 5 2 2 2 3" xfId="7230"/>
    <cellStyle name="40% - Accent6 5 2 2 3" xfId="8687"/>
    <cellStyle name="40% - Accent6 5 2 2 4" xfId="5786"/>
    <cellStyle name="40% - Accent6 5 2 2 5" xfId="2895"/>
    <cellStyle name="40% - Accent6 5 2 3" xfId="3748"/>
    <cellStyle name="40% - Accent6 5 2 3 2" xfId="9558"/>
    <cellStyle name="40% - Accent6 5 2 3 3" xfId="6636"/>
    <cellStyle name="40% - Accent6 5 2 4" xfId="8085"/>
    <cellStyle name="40% - Accent6 5 2 5" xfId="5192"/>
    <cellStyle name="40% - Accent6 5 2 6" xfId="2301"/>
    <cellStyle name="40% - Accent6 5 3" xfId="624"/>
    <cellStyle name="40% - Accent6 5 3 2" xfId="1528"/>
    <cellStyle name="40% - Accent6 5 3 2 2" xfId="4198"/>
    <cellStyle name="40% - Accent6 5 3 2 2 2" xfId="10008"/>
    <cellStyle name="40% - Accent6 5 3 2 2 3" xfId="7086"/>
    <cellStyle name="40% - Accent6 5 3 2 3" xfId="8543"/>
    <cellStyle name="40% - Accent6 5 3 2 4" xfId="5642"/>
    <cellStyle name="40% - Accent6 5 3 2 5" xfId="2751"/>
    <cellStyle name="40% - Accent6 5 3 3" xfId="3604"/>
    <cellStyle name="40% - Accent6 5 3 3 2" xfId="9414"/>
    <cellStyle name="40% - Accent6 5 3 3 3" xfId="6492"/>
    <cellStyle name="40% - Accent6 5 3 4" xfId="7941"/>
    <cellStyle name="40% - Accent6 5 3 5" xfId="5048"/>
    <cellStyle name="40% - Accent6 5 3 6" xfId="2157"/>
    <cellStyle name="40% - Accent6 5 4" xfId="1353"/>
    <cellStyle name="40% - Accent6 5 4 2" xfId="4023"/>
    <cellStyle name="40% - Accent6 5 4 2 2" xfId="9833"/>
    <cellStyle name="40% - Accent6 5 4 2 3" xfId="6911"/>
    <cellStyle name="40% - Accent6 5 4 3" xfId="8368"/>
    <cellStyle name="40% - Accent6 5 4 4" xfId="5467"/>
    <cellStyle name="40% - Accent6 5 4 5" xfId="2576"/>
    <cellStyle name="40% - Accent6 5 5" xfId="3178"/>
    <cellStyle name="40% - Accent6 5 5 2" xfId="4623"/>
    <cellStyle name="40% - Accent6 5 5 2 2" xfId="10433"/>
    <cellStyle name="40% - Accent6 5 5 2 3" xfId="7511"/>
    <cellStyle name="40% - Accent6 5 5 3" xfId="8989"/>
    <cellStyle name="40% - Accent6 5 5 4" xfId="6067"/>
    <cellStyle name="40% - Accent6 5 6" xfId="3429"/>
    <cellStyle name="40% - Accent6 5 6 2" xfId="9239"/>
    <cellStyle name="40% - Accent6 5 6 3" xfId="6317"/>
    <cellStyle name="40% - Accent6 5 7" xfId="7766"/>
    <cellStyle name="40% - Accent6 5 8" xfId="4873"/>
    <cellStyle name="40% - Accent6 5 9" xfId="1982"/>
    <cellStyle name="40% - Accent6 6" xfId="456"/>
    <cellStyle name="40% - Accent6 6 2" xfId="789"/>
    <cellStyle name="40% - Accent6 6 2 2" xfId="1673"/>
    <cellStyle name="40% - Accent6 6 2 2 2" xfId="4343"/>
    <cellStyle name="40% - Accent6 6 2 2 2 2" xfId="10153"/>
    <cellStyle name="40% - Accent6 6 2 2 2 3" xfId="7231"/>
    <cellStyle name="40% - Accent6 6 2 2 3" xfId="8688"/>
    <cellStyle name="40% - Accent6 6 2 2 4" xfId="5787"/>
    <cellStyle name="40% - Accent6 6 2 2 5" xfId="2896"/>
    <cellStyle name="40% - Accent6 6 2 3" xfId="3749"/>
    <cellStyle name="40% - Accent6 6 2 3 2" xfId="9559"/>
    <cellStyle name="40% - Accent6 6 2 3 3" xfId="6637"/>
    <cellStyle name="40% - Accent6 6 2 4" xfId="8086"/>
    <cellStyle name="40% - Accent6 6 2 5" xfId="5193"/>
    <cellStyle name="40% - Accent6 6 2 6" xfId="2302"/>
    <cellStyle name="40% - Accent6 6 3" xfId="638"/>
    <cellStyle name="40% - Accent6 6 3 2" xfId="1542"/>
    <cellStyle name="40% - Accent6 6 3 2 2" xfId="4212"/>
    <cellStyle name="40% - Accent6 6 3 2 2 2" xfId="10022"/>
    <cellStyle name="40% - Accent6 6 3 2 2 3" xfId="7100"/>
    <cellStyle name="40% - Accent6 6 3 2 3" xfId="8557"/>
    <cellStyle name="40% - Accent6 6 3 2 4" xfId="5656"/>
    <cellStyle name="40% - Accent6 6 3 2 5" xfId="2765"/>
    <cellStyle name="40% - Accent6 6 3 3" xfId="3618"/>
    <cellStyle name="40% - Accent6 6 3 3 2" xfId="9428"/>
    <cellStyle name="40% - Accent6 6 3 3 3" xfId="6506"/>
    <cellStyle name="40% - Accent6 6 3 4" xfId="7955"/>
    <cellStyle name="40% - Accent6 6 3 5" xfId="5062"/>
    <cellStyle name="40% - Accent6 6 3 6" xfId="2171"/>
    <cellStyle name="40% - Accent6 6 4" xfId="1367"/>
    <cellStyle name="40% - Accent6 6 4 2" xfId="4037"/>
    <cellStyle name="40% - Accent6 6 4 2 2" xfId="9847"/>
    <cellStyle name="40% - Accent6 6 4 2 3" xfId="6925"/>
    <cellStyle name="40% - Accent6 6 4 3" xfId="8382"/>
    <cellStyle name="40% - Accent6 6 4 4" xfId="5481"/>
    <cellStyle name="40% - Accent6 6 4 5" xfId="2590"/>
    <cellStyle name="40% - Accent6 6 5" xfId="3179"/>
    <cellStyle name="40% - Accent6 6 5 2" xfId="4624"/>
    <cellStyle name="40% - Accent6 6 5 2 2" xfId="10434"/>
    <cellStyle name="40% - Accent6 6 5 2 3" xfId="7512"/>
    <cellStyle name="40% - Accent6 6 5 3" xfId="8990"/>
    <cellStyle name="40% - Accent6 6 5 4" xfId="6068"/>
    <cellStyle name="40% - Accent6 6 6" xfId="3443"/>
    <cellStyle name="40% - Accent6 6 6 2" xfId="9253"/>
    <cellStyle name="40% - Accent6 6 6 3" xfId="6331"/>
    <cellStyle name="40% - Accent6 6 7" xfId="7780"/>
    <cellStyle name="40% - Accent6 6 8" xfId="4887"/>
    <cellStyle name="40% - Accent6 6 9" xfId="1996"/>
    <cellStyle name="40% - Accent6 7" xfId="476"/>
    <cellStyle name="40% - Accent6 7 2" xfId="790"/>
    <cellStyle name="40% - Accent6 7 2 2" xfId="1674"/>
    <cellStyle name="40% - Accent6 7 2 2 2" xfId="4344"/>
    <cellStyle name="40% - Accent6 7 2 2 2 2" xfId="10154"/>
    <cellStyle name="40% - Accent6 7 2 2 2 3" xfId="7232"/>
    <cellStyle name="40% - Accent6 7 2 2 3" xfId="8689"/>
    <cellStyle name="40% - Accent6 7 2 2 4" xfId="5788"/>
    <cellStyle name="40% - Accent6 7 2 2 5" xfId="2897"/>
    <cellStyle name="40% - Accent6 7 2 3" xfId="3750"/>
    <cellStyle name="40% - Accent6 7 2 3 2" xfId="9560"/>
    <cellStyle name="40% - Accent6 7 2 3 3" xfId="6638"/>
    <cellStyle name="40% - Accent6 7 2 4" xfId="8087"/>
    <cellStyle name="40% - Accent6 7 2 5" xfId="5194"/>
    <cellStyle name="40% - Accent6 7 2 6" xfId="2303"/>
    <cellStyle name="40% - Accent6 7 3" xfId="658"/>
    <cellStyle name="40% - Accent6 7 3 2" xfId="1562"/>
    <cellStyle name="40% - Accent6 7 3 2 2" xfId="4232"/>
    <cellStyle name="40% - Accent6 7 3 2 2 2" xfId="10042"/>
    <cellStyle name="40% - Accent6 7 3 2 2 3" xfId="7120"/>
    <cellStyle name="40% - Accent6 7 3 2 3" xfId="8577"/>
    <cellStyle name="40% - Accent6 7 3 2 4" xfId="5676"/>
    <cellStyle name="40% - Accent6 7 3 2 5" xfId="2785"/>
    <cellStyle name="40% - Accent6 7 3 3" xfId="3638"/>
    <cellStyle name="40% - Accent6 7 3 3 2" xfId="9448"/>
    <cellStyle name="40% - Accent6 7 3 3 3" xfId="6526"/>
    <cellStyle name="40% - Accent6 7 3 4" xfId="7975"/>
    <cellStyle name="40% - Accent6 7 3 5" xfId="5082"/>
    <cellStyle name="40% - Accent6 7 3 6" xfId="2191"/>
    <cellStyle name="40% - Accent6 7 4" xfId="1387"/>
    <cellStyle name="40% - Accent6 7 4 2" xfId="4057"/>
    <cellStyle name="40% - Accent6 7 4 2 2" xfId="9867"/>
    <cellStyle name="40% - Accent6 7 4 2 3" xfId="6945"/>
    <cellStyle name="40% - Accent6 7 4 3" xfId="8402"/>
    <cellStyle name="40% - Accent6 7 4 4" xfId="5501"/>
    <cellStyle name="40% - Accent6 7 4 5" xfId="2610"/>
    <cellStyle name="40% - Accent6 7 5" xfId="3180"/>
    <cellStyle name="40% - Accent6 7 5 2" xfId="4625"/>
    <cellStyle name="40% - Accent6 7 5 2 2" xfId="10435"/>
    <cellStyle name="40% - Accent6 7 5 2 3" xfId="7513"/>
    <cellStyle name="40% - Accent6 7 5 3" xfId="8991"/>
    <cellStyle name="40% - Accent6 7 5 4" xfId="6069"/>
    <cellStyle name="40% - Accent6 7 6" xfId="3463"/>
    <cellStyle name="40% - Accent6 7 6 2" xfId="9273"/>
    <cellStyle name="40% - Accent6 7 6 3" xfId="6351"/>
    <cellStyle name="40% - Accent6 7 7" xfId="7800"/>
    <cellStyle name="40% - Accent6 7 8" xfId="4907"/>
    <cellStyle name="40% - Accent6 7 9" xfId="2016"/>
    <cellStyle name="40% - Accent6 8" xfId="516"/>
    <cellStyle name="40% - Accent6 8 2" xfId="694"/>
    <cellStyle name="40% - Accent6 8 2 2" xfId="1598"/>
    <cellStyle name="40% - Accent6 8 2 2 2" xfId="4268"/>
    <cellStyle name="40% - Accent6 8 2 2 2 2" xfId="10078"/>
    <cellStyle name="40% - Accent6 8 2 2 2 3" xfId="7156"/>
    <cellStyle name="40% - Accent6 8 2 2 3" xfId="8613"/>
    <cellStyle name="40% - Accent6 8 2 2 4" xfId="5712"/>
    <cellStyle name="40% - Accent6 8 2 2 5" xfId="2821"/>
    <cellStyle name="40% - Accent6 8 2 3" xfId="3674"/>
    <cellStyle name="40% - Accent6 8 2 3 2" xfId="9484"/>
    <cellStyle name="40% - Accent6 8 2 3 3" xfId="6562"/>
    <cellStyle name="40% - Accent6 8 2 4" xfId="8011"/>
    <cellStyle name="40% - Accent6 8 2 5" xfId="5118"/>
    <cellStyle name="40% - Accent6 8 2 6" xfId="2227"/>
    <cellStyle name="40% - Accent6 8 3" xfId="1423"/>
    <cellStyle name="40% - Accent6 8 3 2" xfId="4093"/>
    <cellStyle name="40% - Accent6 8 3 2 2" xfId="9903"/>
    <cellStyle name="40% - Accent6 8 3 2 3" xfId="6981"/>
    <cellStyle name="40% - Accent6 8 3 3" xfId="8438"/>
    <cellStyle name="40% - Accent6 8 3 4" xfId="5537"/>
    <cellStyle name="40% - Accent6 8 3 5" xfId="2646"/>
    <cellStyle name="40% - Accent6 8 4" xfId="3499"/>
    <cellStyle name="40% - Accent6 8 4 2" xfId="9309"/>
    <cellStyle name="40% - Accent6 8 4 3" xfId="6387"/>
    <cellStyle name="40% - Accent6 8 5" xfId="7836"/>
    <cellStyle name="40% - Accent6 8 6" xfId="4943"/>
    <cellStyle name="40% - Accent6 8 7" xfId="2052"/>
    <cellStyle name="40% - Accent6 9" xfId="783"/>
    <cellStyle name="40% - Accent6 9 2" xfId="1669"/>
    <cellStyle name="40% - Accent6 9 2 2" xfId="4339"/>
    <cellStyle name="40% - Accent6 9 2 2 2" xfId="10149"/>
    <cellStyle name="40% - Accent6 9 2 2 3" xfId="7227"/>
    <cellStyle name="40% - Accent6 9 2 3" xfId="8684"/>
    <cellStyle name="40% - Accent6 9 2 4" xfId="5783"/>
    <cellStyle name="40% - Accent6 9 2 5" xfId="2892"/>
    <cellStyle name="40% - Accent6 9 3" xfId="3745"/>
    <cellStyle name="40% - Accent6 9 3 2" xfId="9555"/>
    <cellStyle name="40% - Accent6 9 3 3" xfId="6633"/>
    <cellStyle name="40% - Accent6 9 4" xfId="8082"/>
    <cellStyle name="40% - Accent6 9 5" xfId="5189"/>
    <cellStyle name="40% - Accent6 9 6" xfId="2298"/>
    <cellStyle name="60% - Accent1" xfId="367" builtinId="32" customBuiltin="1"/>
    <cellStyle name="60% - Accent1 2" xfId="13"/>
    <cellStyle name="60% - Accent1 2 2" xfId="791"/>
    <cellStyle name="60% - Accent1 3" xfId="792"/>
    <cellStyle name="60% - Accent2" xfId="371" builtinId="36" customBuiltin="1"/>
    <cellStyle name="60% - Accent2 2" xfId="14"/>
    <cellStyle name="60% - Accent2 2 2" xfId="793"/>
    <cellStyle name="60% - Accent2 3" xfId="794"/>
    <cellStyle name="60% - Accent3" xfId="375" builtinId="40" customBuiltin="1"/>
    <cellStyle name="60% - Accent3 2" xfId="15"/>
    <cellStyle name="60% - Accent3 2 2" xfId="795"/>
    <cellStyle name="60% - Accent3 3" xfId="796"/>
    <cellStyle name="60% - Accent4" xfId="379" builtinId="44" customBuiltin="1"/>
    <cellStyle name="60% - Accent4 2" xfId="16"/>
    <cellStyle name="60% - Accent4 2 2" xfId="797"/>
    <cellStyle name="60% - Accent4 3" xfId="798"/>
    <cellStyle name="60% - Accent5" xfId="383" builtinId="48" customBuiltin="1"/>
    <cellStyle name="60% - Accent5 2" xfId="17"/>
    <cellStyle name="60% - Accent5 2 2" xfId="799"/>
    <cellStyle name="60% - Accent5 3" xfId="800"/>
    <cellStyle name="60% - Accent6" xfId="387" builtinId="52" customBuiltin="1"/>
    <cellStyle name="60% - Accent6 2" xfId="18"/>
    <cellStyle name="60% - Accent6 2 2" xfId="801"/>
    <cellStyle name="60% - Accent6 3" xfId="802"/>
    <cellStyle name="Accent1" xfId="364" builtinId="29" customBuiltin="1"/>
    <cellStyle name="Accent1 2" xfId="19"/>
    <cellStyle name="Accent1 2 2" xfId="803"/>
    <cellStyle name="Accent1 3" xfId="804"/>
    <cellStyle name="Accent2" xfId="368" builtinId="33" customBuiltin="1"/>
    <cellStyle name="Accent2 2" xfId="20"/>
    <cellStyle name="Accent2 2 2" xfId="805"/>
    <cellStyle name="Accent2 3" xfId="806"/>
    <cellStyle name="Accent3" xfId="372" builtinId="37" customBuiltin="1"/>
    <cellStyle name="Accent3 2" xfId="21"/>
    <cellStyle name="Accent3 2 2" xfId="807"/>
    <cellStyle name="Accent3 3" xfId="808"/>
    <cellStyle name="Accent4" xfId="376" builtinId="41" customBuiltin="1"/>
    <cellStyle name="Accent4 2" xfId="22"/>
    <cellStyle name="Accent4 2 2" xfId="809"/>
    <cellStyle name="Accent4 3" xfId="810"/>
    <cellStyle name="Accent5" xfId="380" builtinId="45" customBuiltin="1"/>
    <cellStyle name="Accent5 2" xfId="23"/>
    <cellStyle name="Accent6" xfId="384" builtinId="49" customBuiltin="1"/>
    <cellStyle name="Accent6 2" xfId="24"/>
    <cellStyle name="Accent6 2 2" xfId="811"/>
    <cellStyle name="Accent6 3" xfId="812"/>
    <cellStyle name="Bad" xfId="354" builtinId="27" customBuiltin="1"/>
    <cellStyle name="Bad 2" xfId="25"/>
    <cellStyle name="Bad 2 2" xfId="813"/>
    <cellStyle name="Bad 3" xfId="814"/>
    <cellStyle name="bottom" xfId="26"/>
    <cellStyle name="bottom 2" xfId="3181"/>
    <cellStyle name="Calc Currency (0)" xfId="27"/>
    <cellStyle name="Calculation" xfId="358" builtinId="22" customBuiltin="1"/>
    <cellStyle name="Calculation 2" xfId="28"/>
    <cellStyle name="Calculation 2 2" xfId="815"/>
    <cellStyle name="Calculation 2 2 2" xfId="816"/>
    <cellStyle name="Calculation 2 2 2 2" xfId="1676"/>
    <cellStyle name="Calculation 2 2 2 2 2" xfId="8691"/>
    <cellStyle name="Calculation 2 2 2 2 2 2" xfId="10587"/>
    <cellStyle name="Calculation 2 2 3" xfId="1675"/>
    <cellStyle name="Calculation 2 2 3 2" xfId="8690"/>
    <cellStyle name="Calculation 2 2 3 2 2" xfId="10586"/>
    <cellStyle name="Calculation 2 3" xfId="817"/>
    <cellStyle name="Calculation 2 3 2" xfId="1677"/>
    <cellStyle name="Calculation 2 3 2 2" xfId="8692"/>
    <cellStyle name="Calculation 2 3 2 2 2" xfId="10588"/>
    <cellStyle name="Calculation 2 4" xfId="1249"/>
    <cellStyle name="Calculation 2 4 2" xfId="8264"/>
    <cellStyle name="Calculation 2 4 2 2" xfId="10583"/>
    <cellStyle name="Calculation 3" xfId="818"/>
    <cellStyle name="Calculation 3 2" xfId="819"/>
    <cellStyle name="Calculation 3 2 2" xfId="1679"/>
    <cellStyle name="Calculation 3 2 2 2" xfId="8694"/>
    <cellStyle name="Calculation 3 2 2 2 2" xfId="10590"/>
    <cellStyle name="Calculation 3 3" xfId="1678"/>
    <cellStyle name="Calculation 3 3 2" xfId="8693"/>
    <cellStyle name="Calculation 3 3 2 2" xfId="10589"/>
    <cellStyle name="Check Cell" xfId="360" builtinId="23" customBuiltin="1"/>
    <cellStyle name="Check Cell 2" xfId="29"/>
    <cellStyle name="Comma" xfId="30" builtinId="3"/>
    <cellStyle name="Comma [0] 2" xfId="820"/>
    <cellStyle name="Comma 10" xfId="31"/>
    <cellStyle name="Comma 10 10" xfId="4773"/>
    <cellStyle name="Comma 10 11" xfId="1882"/>
    <cellStyle name="Comma 10 2" xfId="822"/>
    <cellStyle name="Comma 10 3" xfId="823"/>
    <cellStyle name="Comma 10 4" xfId="824"/>
    <cellStyle name="Comma 10 4 2" xfId="1680"/>
    <cellStyle name="Comma 10 4 2 2" xfId="4345"/>
    <cellStyle name="Comma 10 4 2 2 2" xfId="10155"/>
    <cellStyle name="Comma 10 4 2 2 3" xfId="7233"/>
    <cellStyle name="Comma 10 4 2 3" xfId="8695"/>
    <cellStyle name="Comma 10 4 2 4" xfId="5789"/>
    <cellStyle name="Comma 10 4 2 5" xfId="2898"/>
    <cellStyle name="Comma 10 4 3" xfId="3182"/>
    <cellStyle name="Comma 10 4 3 2" xfId="4626"/>
    <cellStyle name="Comma 10 4 3 2 2" xfId="10436"/>
    <cellStyle name="Comma 10 4 3 2 3" xfId="7514"/>
    <cellStyle name="Comma 10 4 3 3" xfId="8992"/>
    <cellStyle name="Comma 10 4 3 4" xfId="6070"/>
    <cellStyle name="Comma 10 4 4" xfId="3751"/>
    <cellStyle name="Comma 10 4 4 2" xfId="9561"/>
    <cellStyle name="Comma 10 4 4 3" xfId="6639"/>
    <cellStyle name="Comma 10 4 5" xfId="8088"/>
    <cellStyle name="Comma 10 4 6" xfId="5195"/>
    <cellStyle name="Comma 10 4 7" xfId="2304"/>
    <cellStyle name="Comma 10 5" xfId="821"/>
    <cellStyle name="Comma 10 6" xfId="521"/>
    <cellStyle name="Comma 10 6 2" xfId="1428"/>
    <cellStyle name="Comma 10 6 2 2" xfId="4098"/>
    <cellStyle name="Comma 10 6 2 2 2" xfId="9908"/>
    <cellStyle name="Comma 10 6 2 2 3" xfId="6986"/>
    <cellStyle name="Comma 10 6 2 3" xfId="8443"/>
    <cellStyle name="Comma 10 6 2 4" xfId="5542"/>
    <cellStyle name="Comma 10 6 2 5" xfId="2651"/>
    <cellStyle name="Comma 10 6 3" xfId="3504"/>
    <cellStyle name="Comma 10 6 3 2" xfId="9314"/>
    <cellStyle name="Comma 10 6 3 3" xfId="6392"/>
    <cellStyle name="Comma 10 6 4" xfId="7841"/>
    <cellStyle name="Comma 10 6 5" xfId="4948"/>
    <cellStyle name="Comma 10 6 6" xfId="2057"/>
    <cellStyle name="Comma 10 7" xfId="1250"/>
    <cellStyle name="Comma 10 7 2" xfId="3923"/>
    <cellStyle name="Comma 10 7 2 2" xfId="9733"/>
    <cellStyle name="Comma 10 7 2 3" xfId="6811"/>
    <cellStyle name="Comma 10 7 3" xfId="8265"/>
    <cellStyle name="Comma 10 7 4" xfId="5367"/>
    <cellStyle name="Comma 10 7 5" xfId="2476"/>
    <cellStyle name="Comma 10 8" xfId="3329"/>
    <cellStyle name="Comma 10 8 2" xfId="9139"/>
    <cellStyle name="Comma 10 8 3" xfId="6217"/>
    <cellStyle name="Comma 10 9" xfId="7661"/>
    <cellStyle name="Comma 11" xfId="458"/>
    <cellStyle name="Comma 11 10" xfId="4889"/>
    <cellStyle name="Comma 11 11" xfId="1998"/>
    <cellStyle name="Comma 11 2" xfId="826"/>
    <cellStyle name="Comma 11 3" xfId="827"/>
    <cellStyle name="Comma 11 3 2" xfId="1681"/>
    <cellStyle name="Comma 11 3 2 2" xfId="4346"/>
    <cellStyle name="Comma 11 3 2 2 2" xfId="10156"/>
    <cellStyle name="Comma 11 3 2 2 3" xfId="7234"/>
    <cellStyle name="Comma 11 3 2 3" xfId="8696"/>
    <cellStyle name="Comma 11 3 2 4" xfId="5790"/>
    <cellStyle name="Comma 11 3 2 5" xfId="2899"/>
    <cellStyle name="Comma 11 3 3" xfId="3183"/>
    <cellStyle name="Comma 11 3 3 2" xfId="4627"/>
    <cellStyle name="Comma 11 3 3 2 2" xfId="10437"/>
    <cellStyle name="Comma 11 3 3 2 3" xfId="7515"/>
    <cellStyle name="Comma 11 3 3 3" xfId="8993"/>
    <cellStyle name="Comma 11 3 3 4" xfId="6071"/>
    <cellStyle name="Comma 11 3 4" xfId="3752"/>
    <cellStyle name="Comma 11 3 4 2" xfId="9562"/>
    <cellStyle name="Comma 11 3 4 3" xfId="6640"/>
    <cellStyle name="Comma 11 3 5" xfId="8089"/>
    <cellStyle name="Comma 11 3 6" xfId="5196"/>
    <cellStyle name="Comma 11 3 7" xfId="2305"/>
    <cellStyle name="Comma 11 4" xfId="828"/>
    <cellStyle name="Comma 11 5" xfId="825"/>
    <cellStyle name="Comma 11 6" xfId="640"/>
    <cellStyle name="Comma 11 6 2" xfId="1544"/>
    <cellStyle name="Comma 11 6 2 2" xfId="4214"/>
    <cellStyle name="Comma 11 6 2 2 2" xfId="10024"/>
    <cellStyle name="Comma 11 6 2 2 3" xfId="7102"/>
    <cellStyle name="Comma 11 6 2 3" xfId="8559"/>
    <cellStyle name="Comma 11 6 2 4" xfId="5658"/>
    <cellStyle name="Comma 11 6 2 5" xfId="2767"/>
    <cellStyle name="Comma 11 6 3" xfId="3620"/>
    <cellStyle name="Comma 11 6 3 2" xfId="9430"/>
    <cellStyle name="Comma 11 6 3 3" xfId="6508"/>
    <cellStyle name="Comma 11 6 4" xfId="7957"/>
    <cellStyle name="Comma 11 6 5" xfId="5064"/>
    <cellStyle name="Comma 11 6 6" xfId="2173"/>
    <cellStyle name="Comma 11 7" xfId="1369"/>
    <cellStyle name="Comma 11 7 2" xfId="4039"/>
    <cellStyle name="Comma 11 7 2 2" xfId="9849"/>
    <cellStyle name="Comma 11 7 2 3" xfId="6927"/>
    <cellStyle name="Comma 11 7 3" xfId="8384"/>
    <cellStyle name="Comma 11 7 4" xfId="5483"/>
    <cellStyle name="Comma 11 7 5" xfId="2592"/>
    <cellStyle name="Comma 11 8" xfId="3445"/>
    <cellStyle name="Comma 11 8 2" xfId="9255"/>
    <cellStyle name="Comma 11 8 3" xfId="6333"/>
    <cellStyle name="Comma 11 9" xfId="7782"/>
    <cellStyle name="Comma 12" xfId="478"/>
    <cellStyle name="Comma 12 2" xfId="829"/>
    <cellStyle name="Comma 12 3" xfId="660"/>
    <cellStyle name="Comma 12 3 2" xfId="1564"/>
    <cellStyle name="Comma 12 3 2 2" xfId="4234"/>
    <cellStyle name="Comma 12 3 2 2 2" xfId="10044"/>
    <cellStyle name="Comma 12 3 2 2 3" xfId="7122"/>
    <cellStyle name="Comma 12 3 2 3" xfId="8579"/>
    <cellStyle name="Comma 12 3 2 4" xfId="5678"/>
    <cellStyle name="Comma 12 3 2 5" xfId="2787"/>
    <cellStyle name="Comma 12 3 3" xfId="3640"/>
    <cellStyle name="Comma 12 3 3 2" xfId="9450"/>
    <cellStyle name="Comma 12 3 3 3" xfId="6528"/>
    <cellStyle name="Comma 12 3 4" xfId="7977"/>
    <cellStyle name="Comma 12 3 5" xfId="5084"/>
    <cellStyle name="Comma 12 3 6" xfId="2193"/>
    <cellStyle name="Comma 12 4" xfId="1389"/>
    <cellStyle name="Comma 12 4 2" xfId="4059"/>
    <cellStyle name="Comma 12 4 2 2" xfId="9869"/>
    <cellStyle name="Comma 12 4 2 3" xfId="6947"/>
    <cellStyle name="Comma 12 4 3" xfId="8404"/>
    <cellStyle name="Comma 12 4 4" xfId="5503"/>
    <cellStyle name="Comma 12 4 5" xfId="2612"/>
    <cellStyle name="Comma 12 5" xfId="3465"/>
    <cellStyle name="Comma 12 5 2" xfId="9275"/>
    <cellStyle name="Comma 12 5 3" xfId="6353"/>
    <cellStyle name="Comma 12 6" xfId="7802"/>
    <cellStyle name="Comma 12 7" xfId="4909"/>
    <cellStyle name="Comma 12 8" xfId="2018"/>
    <cellStyle name="Comma 13" xfId="487"/>
    <cellStyle name="Comma 13 2" xfId="830"/>
    <cellStyle name="Comma 13 3" xfId="665"/>
    <cellStyle name="Comma 13 3 2" xfId="1569"/>
    <cellStyle name="Comma 13 3 2 2" xfId="4239"/>
    <cellStyle name="Comma 13 3 2 2 2" xfId="10049"/>
    <cellStyle name="Comma 13 3 2 2 3" xfId="7127"/>
    <cellStyle name="Comma 13 3 2 3" xfId="8584"/>
    <cellStyle name="Comma 13 3 2 4" xfId="5683"/>
    <cellStyle name="Comma 13 3 2 5" xfId="2792"/>
    <cellStyle name="Comma 13 3 3" xfId="3645"/>
    <cellStyle name="Comma 13 3 3 2" xfId="9455"/>
    <cellStyle name="Comma 13 3 3 3" xfId="6533"/>
    <cellStyle name="Comma 13 3 4" xfId="7982"/>
    <cellStyle name="Comma 13 3 5" xfId="5089"/>
    <cellStyle name="Comma 13 3 6" xfId="2198"/>
    <cellStyle name="Comma 13 4" xfId="1394"/>
    <cellStyle name="Comma 13 4 2" xfId="4064"/>
    <cellStyle name="Comma 13 4 2 2" xfId="9874"/>
    <cellStyle name="Comma 13 4 2 3" xfId="6952"/>
    <cellStyle name="Comma 13 4 3" xfId="8409"/>
    <cellStyle name="Comma 13 4 4" xfId="5508"/>
    <cellStyle name="Comma 13 4 5" xfId="2617"/>
    <cellStyle name="Comma 13 5" xfId="3470"/>
    <cellStyle name="Comma 13 5 2" xfId="9280"/>
    <cellStyle name="Comma 13 5 3" xfId="6358"/>
    <cellStyle name="Comma 13 6" xfId="7807"/>
    <cellStyle name="Comma 13 7" xfId="4914"/>
    <cellStyle name="Comma 13 8" xfId="2023"/>
    <cellStyle name="Comma 14" xfId="488"/>
    <cellStyle name="Comma 14 2" xfId="831"/>
    <cellStyle name="Comma 14 3" xfId="666"/>
    <cellStyle name="Comma 14 3 2" xfId="1570"/>
    <cellStyle name="Comma 14 3 2 2" xfId="4240"/>
    <cellStyle name="Comma 14 3 2 2 2" xfId="10050"/>
    <cellStyle name="Comma 14 3 2 2 3" xfId="7128"/>
    <cellStyle name="Comma 14 3 2 3" xfId="8585"/>
    <cellStyle name="Comma 14 3 2 4" xfId="5684"/>
    <cellStyle name="Comma 14 3 2 5" xfId="2793"/>
    <cellStyle name="Comma 14 3 3" xfId="3646"/>
    <cellStyle name="Comma 14 3 3 2" xfId="9456"/>
    <cellStyle name="Comma 14 3 3 3" xfId="6534"/>
    <cellStyle name="Comma 14 3 4" xfId="7983"/>
    <cellStyle name="Comma 14 3 5" xfId="5090"/>
    <cellStyle name="Comma 14 3 6" xfId="2199"/>
    <cellStyle name="Comma 14 4" xfId="1395"/>
    <cellStyle name="Comma 14 4 2" xfId="4065"/>
    <cellStyle name="Comma 14 4 2 2" xfId="9875"/>
    <cellStyle name="Comma 14 4 2 3" xfId="6953"/>
    <cellStyle name="Comma 14 4 3" xfId="8410"/>
    <cellStyle name="Comma 14 4 4" xfId="5509"/>
    <cellStyle name="Comma 14 4 5" xfId="2618"/>
    <cellStyle name="Comma 14 5" xfId="3471"/>
    <cellStyle name="Comma 14 5 2" xfId="9281"/>
    <cellStyle name="Comma 14 5 3" xfId="6359"/>
    <cellStyle name="Comma 14 6" xfId="7808"/>
    <cellStyle name="Comma 14 7" xfId="4915"/>
    <cellStyle name="Comma 14 8" xfId="2024"/>
    <cellStyle name="Comma 15" xfId="832"/>
    <cellStyle name="Comma 16" xfId="833"/>
    <cellStyle name="Comma 17" xfId="834"/>
    <cellStyle name="Comma 18" xfId="835"/>
    <cellStyle name="Comma 19" xfId="836"/>
    <cellStyle name="Comma 2" xfId="32"/>
    <cellStyle name="Comma 2 2" xfId="33"/>
    <cellStyle name="Comma 2 2 2" xfId="838"/>
    <cellStyle name="Comma 2 2 2 2" xfId="839"/>
    <cellStyle name="Comma 2 2 2 2 2" xfId="840"/>
    <cellStyle name="Comma 2 2 2 2 2 2" xfId="841"/>
    <cellStyle name="Comma 2 2 2 2 3" xfId="842"/>
    <cellStyle name="Comma 2 2 2 3" xfId="3100"/>
    <cellStyle name="Comma 2 2 2 3 2" xfId="4545"/>
    <cellStyle name="Comma 2 2 2 3 2 2" xfId="10355"/>
    <cellStyle name="Comma 2 2 2 3 2 3" xfId="7433"/>
    <cellStyle name="Comma 2 2 2 3 3" xfId="8911"/>
    <cellStyle name="Comma 2 2 2 3 4" xfId="5989"/>
    <cellStyle name="Comma 2 2 3" xfId="843"/>
    <cellStyle name="Comma 2 2 3 2" xfId="844"/>
    <cellStyle name="Comma 2 2 3 2 2" xfId="845"/>
    <cellStyle name="Comma 2 2 3 3" xfId="846"/>
    <cellStyle name="Comma 2 2 4" xfId="847"/>
    <cellStyle name="Comma 2 2 5" xfId="837"/>
    <cellStyle name="Comma 2 2 6" xfId="522"/>
    <cellStyle name="Comma 2 2 7" xfId="3094"/>
    <cellStyle name="Comma 2 2 7 2" xfId="4539"/>
    <cellStyle name="Comma 2 2 7 2 2" xfId="10349"/>
    <cellStyle name="Comma 2 2 7 2 3" xfId="7427"/>
    <cellStyle name="Comma 2 2 7 3" xfId="8905"/>
    <cellStyle name="Comma 2 2 7 4" xfId="5983"/>
    <cellStyle name="Comma 2 3" xfId="34"/>
    <cellStyle name="Comma 2 3 10" xfId="3096"/>
    <cellStyle name="Comma 2 3 10 2" xfId="4541"/>
    <cellStyle name="Comma 2 3 10 2 2" xfId="10351"/>
    <cellStyle name="Comma 2 3 10 2 3" xfId="7429"/>
    <cellStyle name="Comma 2 3 10 3" xfId="8907"/>
    <cellStyle name="Comma 2 3 10 4" xfId="5985"/>
    <cellStyle name="Comma 2 3 11" xfId="3330"/>
    <cellStyle name="Comma 2 3 11 2" xfId="9140"/>
    <cellStyle name="Comma 2 3 11 3" xfId="6218"/>
    <cellStyle name="Comma 2 3 12" xfId="7662"/>
    <cellStyle name="Comma 2 3 13" xfId="4774"/>
    <cellStyle name="Comma 2 3 14" xfId="1883"/>
    <cellStyle name="Comma 2 3 2" xfId="849"/>
    <cellStyle name="Comma 2 3 2 2" xfId="850"/>
    <cellStyle name="Comma 2 3 2 2 2" xfId="851"/>
    <cellStyle name="Comma 2 3 2 3" xfId="852"/>
    <cellStyle name="Comma 2 3 2 4" xfId="3102"/>
    <cellStyle name="Comma 2 3 2 4 2" xfId="4547"/>
    <cellStyle name="Comma 2 3 2 4 2 2" xfId="10357"/>
    <cellStyle name="Comma 2 3 2 4 2 3" xfId="7435"/>
    <cellStyle name="Comma 2 3 2 4 3" xfId="8913"/>
    <cellStyle name="Comma 2 3 2 4 4" xfId="5991"/>
    <cellStyle name="Comma 2 3 3" xfId="853"/>
    <cellStyle name="Comma 2 3 3 2" xfId="854"/>
    <cellStyle name="Comma 2 3 4" xfId="855"/>
    <cellStyle name="Comma 2 3 4 2" xfId="856"/>
    <cellStyle name="Comma 2 3 5" xfId="857"/>
    <cellStyle name="Comma 2 3 6" xfId="858"/>
    <cellStyle name="Comma 2 3 6 2" xfId="1682"/>
    <cellStyle name="Comma 2 3 6 2 2" xfId="4347"/>
    <cellStyle name="Comma 2 3 6 2 2 2" xfId="10157"/>
    <cellStyle name="Comma 2 3 6 2 2 3" xfId="7235"/>
    <cellStyle name="Comma 2 3 6 2 3" xfId="8697"/>
    <cellStyle name="Comma 2 3 6 2 4" xfId="5791"/>
    <cellStyle name="Comma 2 3 6 2 5" xfId="2900"/>
    <cellStyle name="Comma 2 3 6 3" xfId="3184"/>
    <cellStyle name="Comma 2 3 6 3 2" xfId="4628"/>
    <cellStyle name="Comma 2 3 6 3 2 2" xfId="10438"/>
    <cellStyle name="Comma 2 3 6 3 2 3" xfId="7516"/>
    <cellStyle name="Comma 2 3 6 3 3" xfId="8994"/>
    <cellStyle name="Comma 2 3 6 3 4" xfId="6072"/>
    <cellStyle name="Comma 2 3 6 4" xfId="3753"/>
    <cellStyle name="Comma 2 3 6 4 2" xfId="9563"/>
    <cellStyle name="Comma 2 3 6 4 3" xfId="6641"/>
    <cellStyle name="Comma 2 3 6 5" xfId="8090"/>
    <cellStyle name="Comma 2 3 6 6" xfId="5197"/>
    <cellStyle name="Comma 2 3 6 7" xfId="2306"/>
    <cellStyle name="Comma 2 3 7" xfId="848"/>
    <cellStyle name="Comma 2 3 8" xfId="523"/>
    <cellStyle name="Comma 2 3 8 2" xfId="1429"/>
    <cellStyle name="Comma 2 3 8 2 2" xfId="4099"/>
    <cellStyle name="Comma 2 3 8 2 2 2" xfId="9909"/>
    <cellStyle name="Comma 2 3 8 2 2 3" xfId="6987"/>
    <cellStyle name="Comma 2 3 8 2 3" xfId="8444"/>
    <cellStyle name="Comma 2 3 8 2 4" xfId="5543"/>
    <cellStyle name="Comma 2 3 8 2 5" xfId="2652"/>
    <cellStyle name="Comma 2 3 8 3" xfId="3505"/>
    <cellStyle name="Comma 2 3 8 3 2" xfId="9315"/>
    <cellStyle name="Comma 2 3 8 3 3" xfId="6393"/>
    <cellStyle name="Comma 2 3 8 4" xfId="7842"/>
    <cellStyle name="Comma 2 3 8 5" xfId="4949"/>
    <cellStyle name="Comma 2 3 8 6" xfId="2058"/>
    <cellStyle name="Comma 2 3 9" xfId="1251"/>
    <cellStyle name="Comma 2 3 9 2" xfId="3924"/>
    <cellStyle name="Comma 2 3 9 2 2" xfId="9734"/>
    <cellStyle name="Comma 2 3 9 2 3" xfId="6812"/>
    <cellStyle name="Comma 2 3 9 3" xfId="8266"/>
    <cellStyle name="Comma 2 3 9 4" xfId="5368"/>
    <cellStyle name="Comma 2 3 9 5" xfId="2477"/>
    <cellStyle name="Comma 2 4" xfId="859"/>
    <cellStyle name="Comma 2 4 2" xfId="860"/>
    <cellStyle name="Comma 2 4 2 2" xfId="861"/>
    <cellStyle name="Comma 2 4 3" xfId="862"/>
    <cellStyle name="Comma 2 4 4" xfId="3098"/>
    <cellStyle name="Comma 2 4 4 2" xfId="4543"/>
    <cellStyle name="Comma 2 4 4 2 2" xfId="10353"/>
    <cellStyle name="Comma 2 4 4 2 3" xfId="7431"/>
    <cellStyle name="Comma 2 4 4 3" xfId="8909"/>
    <cellStyle name="Comma 2 4 4 4" xfId="5987"/>
    <cellStyle name="Comma 2 5" xfId="3091"/>
    <cellStyle name="Comma 2 5 2" xfId="4537"/>
    <cellStyle name="Comma 2 5 2 2" xfId="10347"/>
    <cellStyle name="Comma 2 5 2 3" xfId="7425"/>
    <cellStyle name="Comma 2 5 3" xfId="8902"/>
    <cellStyle name="Comma 2 5 4" xfId="5981"/>
    <cellStyle name="Comma 20" xfId="863"/>
    <cellStyle name="Comma 21" xfId="864"/>
    <cellStyle name="Comma 22" xfId="865"/>
    <cellStyle name="Comma 23" xfId="866"/>
    <cellStyle name="Comma 24" xfId="867"/>
    <cellStyle name="Comma 24 2" xfId="868"/>
    <cellStyle name="Comma 24 2 2" xfId="869"/>
    <cellStyle name="Comma 24 2 2 2" xfId="870"/>
    <cellStyle name="Comma 24 2 3" xfId="871"/>
    <cellStyle name="Comma 24 3" xfId="872"/>
    <cellStyle name="Comma 24 3 2" xfId="873"/>
    <cellStyle name="Comma 24 4" xfId="874"/>
    <cellStyle name="Comma 25" xfId="875"/>
    <cellStyle name="Comma 26" xfId="876"/>
    <cellStyle name="Comma 27" xfId="877"/>
    <cellStyle name="Comma 28" xfId="878"/>
    <cellStyle name="Comma 29" xfId="879"/>
    <cellStyle name="Comma 3" xfId="35"/>
    <cellStyle name="Comma 3 2" xfId="36"/>
    <cellStyle name="Comma 3 2 2" xfId="881"/>
    <cellStyle name="Comma 3 2 3" xfId="882"/>
    <cellStyle name="Comma 3 2 4" xfId="880"/>
    <cellStyle name="Comma 3 2 5" xfId="524"/>
    <cellStyle name="Comma 3 3" xfId="37"/>
    <cellStyle name="Comma 3 4" xfId="38"/>
    <cellStyle name="Comma 3 4 10" xfId="1884"/>
    <cellStyle name="Comma 3 4 2" xfId="884"/>
    <cellStyle name="Comma 3 4 3" xfId="885"/>
    <cellStyle name="Comma 3 4 3 2" xfId="1683"/>
    <cellStyle name="Comma 3 4 3 2 2" xfId="4348"/>
    <cellStyle name="Comma 3 4 3 2 2 2" xfId="10158"/>
    <cellStyle name="Comma 3 4 3 2 2 3" xfId="7236"/>
    <cellStyle name="Comma 3 4 3 2 3" xfId="8698"/>
    <cellStyle name="Comma 3 4 3 2 4" xfId="5792"/>
    <cellStyle name="Comma 3 4 3 2 5" xfId="2901"/>
    <cellStyle name="Comma 3 4 3 3" xfId="3185"/>
    <cellStyle name="Comma 3 4 3 3 2" xfId="4629"/>
    <cellStyle name="Comma 3 4 3 3 2 2" xfId="10439"/>
    <cellStyle name="Comma 3 4 3 3 2 3" xfId="7517"/>
    <cellStyle name="Comma 3 4 3 3 3" xfId="8995"/>
    <cellStyle name="Comma 3 4 3 3 4" xfId="6073"/>
    <cellStyle name="Comma 3 4 3 4" xfId="3754"/>
    <cellStyle name="Comma 3 4 3 4 2" xfId="9564"/>
    <cellStyle name="Comma 3 4 3 4 3" xfId="6642"/>
    <cellStyle name="Comma 3 4 3 5" xfId="8091"/>
    <cellStyle name="Comma 3 4 3 6" xfId="5198"/>
    <cellStyle name="Comma 3 4 3 7" xfId="2307"/>
    <cellStyle name="Comma 3 4 4" xfId="883"/>
    <cellStyle name="Comma 3 4 5" xfId="525"/>
    <cellStyle name="Comma 3 4 5 2" xfId="1430"/>
    <cellStyle name="Comma 3 4 5 2 2" xfId="4100"/>
    <cellStyle name="Comma 3 4 5 2 2 2" xfId="9910"/>
    <cellStyle name="Comma 3 4 5 2 2 3" xfId="6988"/>
    <cellStyle name="Comma 3 4 5 2 3" xfId="8445"/>
    <cellStyle name="Comma 3 4 5 2 4" xfId="5544"/>
    <cellStyle name="Comma 3 4 5 2 5" xfId="2653"/>
    <cellStyle name="Comma 3 4 5 3" xfId="3506"/>
    <cellStyle name="Comma 3 4 5 3 2" xfId="9316"/>
    <cellStyle name="Comma 3 4 5 3 3" xfId="6394"/>
    <cellStyle name="Comma 3 4 5 4" xfId="7843"/>
    <cellStyle name="Comma 3 4 5 5" xfId="4950"/>
    <cellStyle name="Comma 3 4 5 6" xfId="2059"/>
    <cellStyle name="Comma 3 4 6" xfId="1252"/>
    <cellStyle name="Comma 3 4 6 2" xfId="3925"/>
    <cellStyle name="Comma 3 4 6 2 2" xfId="9735"/>
    <cellStyle name="Comma 3 4 6 2 3" xfId="6813"/>
    <cellStyle name="Comma 3 4 6 3" xfId="8267"/>
    <cellStyle name="Comma 3 4 6 4" xfId="5369"/>
    <cellStyle name="Comma 3 4 6 5" xfId="2478"/>
    <cellStyle name="Comma 3 4 7" xfId="3331"/>
    <cellStyle name="Comma 3 4 7 2" xfId="9141"/>
    <cellStyle name="Comma 3 4 7 3" xfId="6219"/>
    <cellStyle name="Comma 3 4 8" xfId="7663"/>
    <cellStyle name="Comma 3 4 9" xfId="4775"/>
    <cellStyle name="Comma 30" xfId="886"/>
    <cellStyle name="Comma 31" xfId="887"/>
    <cellStyle name="Comma 32" xfId="888"/>
    <cellStyle name="Comma 33" xfId="889"/>
    <cellStyle name="Comma 34" xfId="890"/>
    <cellStyle name="Comma 35" xfId="891"/>
    <cellStyle name="Comma 36" xfId="892"/>
    <cellStyle name="Comma 37" xfId="893"/>
    <cellStyle name="Comma 38" xfId="894"/>
    <cellStyle name="Comma 39" xfId="895"/>
    <cellStyle name="Comma 4" xfId="39"/>
    <cellStyle name="Comma 4 2" xfId="40"/>
    <cellStyle name="Comma 4 3" xfId="41"/>
    <cellStyle name="Comma 4 3 10" xfId="1885"/>
    <cellStyle name="Comma 4 3 2" xfId="897"/>
    <cellStyle name="Comma 4 3 3" xfId="898"/>
    <cellStyle name="Comma 4 3 3 2" xfId="1684"/>
    <cellStyle name="Comma 4 3 3 2 2" xfId="4349"/>
    <cellStyle name="Comma 4 3 3 2 2 2" xfId="10159"/>
    <cellStyle name="Comma 4 3 3 2 2 3" xfId="7237"/>
    <cellStyle name="Comma 4 3 3 2 3" xfId="8699"/>
    <cellStyle name="Comma 4 3 3 2 4" xfId="5793"/>
    <cellStyle name="Comma 4 3 3 2 5" xfId="2902"/>
    <cellStyle name="Comma 4 3 3 3" xfId="3186"/>
    <cellStyle name="Comma 4 3 3 3 2" xfId="4630"/>
    <cellStyle name="Comma 4 3 3 3 2 2" xfId="10440"/>
    <cellStyle name="Comma 4 3 3 3 2 3" xfId="7518"/>
    <cellStyle name="Comma 4 3 3 3 3" xfId="8996"/>
    <cellStyle name="Comma 4 3 3 3 4" xfId="6074"/>
    <cellStyle name="Comma 4 3 3 4" xfId="3755"/>
    <cellStyle name="Comma 4 3 3 4 2" xfId="9565"/>
    <cellStyle name="Comma 4 3 3 4 3" xfId="6643"/>
    <cellStyle name="Comma 4 3 3 5" xfId="8092"/>
    <cellStyle name="Comma 4 3 3 6" xfId="5199"/>
    <cellStyle name="Comma 4 3 3 7" xfId="2308"/>
    <cellStyle name="Comma 4 3 4" xfId="896"/>
    <cellStyle name="Comma 4 3 5" xfId="526"/>
    <cellStyle name="Comma 4 3 5 2" xfId="1431"/>
    <cellStyle name="Comma 4 3 5 2 2" xfId="4101"/>
    <cellStyle name="Comma 4 3 5 2 2 2" xfId="9911"/>
    <cellStyle name="Comma 4 3 5 2 2 3" xfId="6989"/>
    <cellStyle name="Comma 4 3 5 2 3" xfId="8446"/>
    <cellStyle name="Comma 4 3 5 2 4" xfId="5545"/>
    <cellStyle name="Comma 4 3 5 2 5" xfId="2654"/>
    <cellStyle name="Comma 4 3 5 3" xfId="3507"/>
    <cellStyle name="Comma 4 3 5 3 2" xfId="9317"/>
    <cellStyle name="Comma 4 3 5 3 3" xfId="6395"/>
    <cellStyle name="Comma 4 3 5 4" xfId="7844"/>
    <cellStyle name="Comma 4 3 5 5" xfId="4951"/>
    <cellStyle name="Comma 4 3 5 6" xfId="2060"/>
    <cellStyle name="Comma 4 3 6" xfId="1253"/>
    <cellStyle name="Comma 4 3 6 2" xfId="3926"/>
    <cellStyle name="Comma 4 3 6 2 2" xfId="9736"/>
    <cellStyle name="Comma 4 3 6 2 3" xfId="6814"/>
    <cellStyle name="Comma 4 3 6 3" xfId="8268"/>
    <cellStyle name="Comma 4 3 6 4" xfId="5370"/>
    <cellStyle name="Comma 4 3 6 5" xfId="2479"/>
    <cellStyle name="Comma 4 3 7" xfId="3332"/>
    <cellStyle name="Comma 4 3 7 2" xfId="9142"/>
    <cellStyle name="Comma 4 3 7 3" xfId="6220"/>
    <cellStyle name="Comma 4 3 8" xfId="7664"/>
    <cellStyle name="Comma 4 3 9" xfId="4776"/>
    <cellStyle name="Comma 4 4" xfId="3105"/>
    <cellStyle name="Comma 4 4 2" xfId="4550"/>
    <cellStyle name="Comma 4 4 2 2" xfId="10360"/>
    <cellStyle name="Comma 4 4 2 3" xfId="7438"/>
    <cellStyle name="Comma 4 4 3" xfId="8916"/>
    <cellStyle name="Comma 4 4 4" xfId="5994"/>
    <cellStyle name="Comma 40" xfId="899"/>
    <cellStyle name="Comma 40 2" xfId="900"/>
    <cellStyle name="Comma 41" xfId="901"/>
    <cellStyle name="Comma 41 2" xfId="902"/>
    <cellStyle name="Comma 42" xfId="903"/>
    <cellStyle name="Comma 42 2" xfId="904"/>
    <cellStyle name="Comma 43" xfId="905"/>
    <cellStyle name="Comma 43 2" xfId="906"/>
    <cellStyle name="Comma 44" xfId="907"/>
    <cellStyle name="Comma 44 2" xfId="908"/>
    <cellStyle name="Comma 45" xfId="909"/>
    <cellStyle name="Comma 45 2" xfId="910"/>
    <cellStyle name="Comma 46" xfId="911"/>
    <cellStyle name="Comma 46 2" xfId="912"/>
    <cellStyle name="Comma 47" xfId="913"/>
    <cellStyle name="Comma 47 2" xfId="914"/>
    <cellStyle name="Comma 48" xfId="915"/>
    <cellStyle name="Comma 48 2" xfId="916"/>
    <cellStyle name="Comma 49" xfId="917"/>
    <cellStyle name="Comma 49 2" xfId="918"/>
    <cellStyle name="Comma 5" xfId="42"/>
    <cellStyle name="Comma 5 2" xfId="43"/>
    <cellStyle name="Comma 5 3" xfId="44"/>
    <cellStyle name="Comma 5 3 10" xfId="1886"/>
    <cellStyle name="Comma 5 3 2" xfId="920"/>
    <cellStyle name="Comma 5 3 3" xfId="921"/>
    <cellStyle name="Comma 5 3 3 2" xfId="1685"/>
    <cellStyle name="Comma 5 3 3 2 2" xfId="4350"/>
    <cellStyle name="Comma 5 3 3 2 2 2" xfId="10160"/>
    <cellStyle name="Comma 5 3 3 2 2 3" xfId="7238"/>
    <cellStyle name="Comma 5 3 3 2 3" xfId="8700"/>
    <cellStyle name="Comma 5 3 3 2 4" xfId="5794"/>
    <cellStyle name="Comma 5 3 3 2 5" xfId="2903"/>
    <cellStyle name="Comma 5 3 3 3" xfId="3187"/>
    <cellStyle name="Comma 5 3 3 3 2" xfId="4631"/>
    <cellStyle name="Comma 5 3 3 3 2 2" xfId="10441"/>
    <cellStyle name="Comma 5 3 3 3 2 3" xfId="7519"/>
    <cellStyle name="Comma 5 3 3 3 3" xfId="8997"/>
    <cellStyle name="Comma 5 3 3 3 4" xfId="6075"/>
    <cellStyle name="Comma 5 3 3 4" xfId="3756"/>
    <cellStyle name="Comma 5 3 3 4 2" xfId="9566"/>
    <cellStyle name="Comma 5 3 3 4 3" xfId="6644"/>
    <cellStyle name="Comma 5 3 3 5" xfId="8093"/>
    <cellStyle name="Comma 5 3 3 6" xfId="5200"/>
    <cellStyle name="Comma 5 3 3 7" xfId="2309"/>
    <cellStyle name="Comma 5 3 4" xfId="919"/>
    <cellStyle name="Comma 5 3 5" xfId="527"/>
    <cellStyle name="Comma 5 3 5 2" xfId="1432"/>
    <cellStyle name="Comma 5 3 5 2 2" xfId="4102"/>
    <cellStyle name="Comma 5 3 5 2 2 2" xfId="9912"/>
    <cellStyle name="Comma 5 3 5 2 2 3" xfId="6990"/>
    <cellStyle name="Comma 5 3 5 2 3" xfId="8447"/>
    <cellStyle name="Comma 5 3 5 2 4" xfId="5546"/>
    <cellStyle name="Comma 5 3 5 2 5" xfId="2655"/>
    <cellStyle name="Comma 5 3 5 3" xfId="3508"/>
    <cellStyle name="Comma 5 3 5 3 2" xfId="9318"/>
    <cellStyle name="Comma 5 3 5 3 3" xfId="6396"/>
    <cellStyle name="Comma 5 3 5 4" xfId="7845"/>
    <cellStyle name="Comma 5 3 5 5" xfId="4952"/>
    <cellStyle name="Comma 5 3 5 6" xfId="2061"/>
    <cellStyle name="Comma 5 3 6" xfId="1254"/>
    <cellStyle name="Comma 5 3 6 2" xfId="3927"/>
    <cellStyle name="Comma 5 3 6 2 2" xfId="9737"/>
    <cellStyle name="Comma 5 3 6 2 3" xfId="6815"/>
    <cellStyle name="Comma 5 3 6 3" xfId="8269"/>
    <cellStyle name="Comma 5 3 6 4" xfId="5371"/>
    <cellStyle name="Comma 5 3 6 5" xfId="2480"/>
    <cellStyle name="Comma 5 3 7" xfId="3333"/>
    <cellStyle name="Comma 5 3 7 2" xfId="9143"/>
    <cellStyle name="Comma 5 3 7 3" xfId="6221"/>
    <cellStyle name="Comma 5 3 8" xfId="7665"/>
    <cellStyle name="Comma 5 3 9" xfId="4777"/>
    <cellStyle name="Comma 50" xfId="922"/>
    <cellStyle name="Comma 50 2" xfId="923"/>
    <cellStyle name="Comma 51" xfId="924"/>
    <cellStyle name="Comma 51 2" xfId="925"/>
    <cellStyle name="Comma 51 3" xfId="926"/>
    <cellStyle name="Comma 52" xfId="927"/>
    <cellStyle name="Comma 52 2" xfId="928"/>
    <cellStyle name="Comma 53" xfId="929"/>
    <cellStyle name="Comma 53 2" xfId="930"/>
    <cellStyle name="Comma 54" xfId="931"/>
    <cellStyle name="Comma 54 2" xfId="932"/>
    <cellStyle name="Comma 55" xfId="933"/>
    <cellStyle name="Comma 55 2" xfId="934"/>
    <cellStyle name="Comma 56" xfId="935"/>
    <cellStyle name="Comma 56 2" xfId="936"/>
    <cellStyle name="Comma 57" xfId="937"/>
    <cellStyle name="Comma 57 2" xfId="938"/>
    <cellStyle name="Comma 58" xfId="939"/>
    <cellStyle name="Comma 58 2" xfId="940"/>
    <cellStyle name="Comma 59" xfId="941"/>
    <cellStyle name="Comma 59 2" xfId="942"/>
    <cellStyle name="Comma 6" xfId="45"/>
    <cellStyle name="Comma 6 2" xfId="46"/>
    <cellStyle name="Comma 6 3" xfId="47"/>
    <cellStyle name="Comma 6 3 10" xfId="1887"/>
    <cellStyle name="Comma 6 3 2" xfId="944"/>
    <cellStyle name="Comma 6 3 3" xfId="945"/>
    <cellStyle name="Comma 6 3 3 2" xfId="1686"/>
    <cellStyle name="Comma 6 3 3 2 2" xfId="4351"/>
    <cellStyle name="Comma 6 3 3 2 2 2" xfId="10161"/>
    <cellStyle name="Comma 6 3 3 2 2 3" xfId="7239"/>
    <cellStyle name="Comma 6 3 3 2 3" xfId="8701"/>
    <cellStyle name="Comma 6 3 3 2 4" xfId="5795"/>
    <cellStyle name="Comma 6 3 3 2 5" xfId="2904"/>
    <cellStyle name="Comma 6 3 3 3" xfId="3188"/>
    <cellStyle name="Comma 6 3 3 3 2" xfId="4632"/>
    <cellStyle name="Comma 6 3 3 3 2 2" xfId="10442"/>
    <cellStyle name="Comma 6 3 3 3 2 3" xfId="7520"/>
    <cellStyle name="Comma 6 3 3 3 3" xfId="8998"/>
    <cellStyle name="Comma 6 3 3 3 4" xfId="6076"/>
    <cellStyle name="Comma 6 3 3 4" xfId="3757"/>
    <cellStyle name="Comma 6 3 3 4 2" xfId="9567"/>
    <cellStyle name="Comma 6 3 3 4 3" xfId="6645"/>
    <cellStyle name="Comma 6 3 3 5" xfId="8094"/>
    <cellStyle name="Comma 6 3 3 6" xfId="5201"/>
    <cellStyle name="Comma 6 3 3 7" xfId="2310"/>
    <cellStyle name="Comma 6 3 4" xfId="943"/>
    <cellStyle name="Comma 6 3 5" xfId="528"/>
    <cellStyle name="Comma 6 3 5 2" xfId="1433"/>
    <cellStyle name="Comma 6 3 5 2 2" xfId="4103"/>
    <cellStyle name="Comma 6 3 5 2 2 2" xfId="9913"/>
    <cellStyle name="Comma 6 3 5 2 2 3" xfId="6991"/>
    <cellStyle name="Comma 6 3 5 2 3" xfId="8448"/>
    <cellStyle name="Comma 6 3 5 2 4" xfId="5547"/>
    <cellStyle name="Comma 6 3 5 2 5" xfId="2656"/>
    <cellStyle name="Comma 6 3 5 3" xfId="3509"/>
    <cellStyle name="Comma 6 3 5 3 2" xfId="9319"/>
    <cellStyle name="Comma 6 3 5 3 3" xfId="6397"/>
    <cellStyle name="Comma 6 3 5 4" xfId="7846"/>
    <cellStyle name="Comma 6 3 5 5" xfId="4953"/>
    <cellStyle name="Comma 6 3 5 6" xfId="2062"/>
    <cellStyle name="Comma 6 3 6" xfId="1255"/>
    <cellStyle name="Comma 6 3 6 2" xfId="3928"/>
    <cellStyle name="Comma 6 3 6 2 2" xfId="9738"/>
    <cellStyle name="Comma 6 3 6 2 3" xfId="6816"/>
    <cellStyle name="Comma 6 3 6 3" xfId="8270"/>
    <cellStyle name="Comma 6 3 6 4" xfId="5372"/>
    <cellStyle name="Comma 6 3 6 5" xfId="2481"/>
    <cellStyle name="Comma 6 3 7" xfId="3334"/>
    <cellStyle name="Comma 6 3 7 2" xfId="9144"/>
    <cellStyle name="Comma 6 3 7 3" xfId="6222"/>
    <cellStyle name="Comma 6 3 8" xfId="7666"/>
    <cellStyle name="Comma 6 3 9" xfId="4778"/>
    <cellStyle name="Comma 60" xfId="946"/>
    <cellStyle name="Comma 60 2" xfId="947"/>
    <cellStyle name="Comma 61" xfId="948"/>
    <cellStyle name="Comma 61 2" xfId="949"/>
    <cellStyle name="Comma 62" xfId="950"/>
    <cellStyle name="Comma 62 2" xfId="951"/>
    <cellStyle name="Comma 63" xfId="952"/>
    <cellStyle name="Comma 63 2" xfId="953"/>
    <cellStyle name="Comma 64" xfId="954"/>
    <cellStyle name="Comma 64 2" xfId="955"/>
    <cellStyle name="Comma 65" xfId="956"/>
    <cellStyle name="Comma 65 2" xfId="957"/>
    <cellStyle name="Comma 66" xfId="958"/>
    <cellStyle name="Comma 66 2" xfId="1687"/>
    <cellStyle name="Comma 66 2 2" xfId="4352"/>
    <cellStyle name="Comma 66 2 2 2" xfId="10162"/>
    <cellStyle name="Comma 66 2 2 3" xfId="7240"/>
    <cellStyle name="Comma 66 2 3" xfId="8702"/>
    <cellStyle name="Comma 66 2 4" xfId="5796"/>
    <cellStyle name="Comma 66 2 5" xfId="2905"/>
    <cellStyle name="Comma 66 3" xfId="3189"/>
    <cellStyle name="Comma 66 3 2" xfId="4633"/>
    <cellStyle name="Comma 66 3 2 2" xfId="10443"/>
    <cellStyle name="Comma 66 3 2 3" xfId="7521"/>
    <cellStyle name="Comma 66 3 3" xfId="8999"/>
    <cellStyle name="Comma 66 3 4" xfId="6077"/>
    <cellStyle name="Comma 66 4" xfId="3758"/>
    <cellStyle name="Comma 66 4 2" xfId="9568"/>
    <cellStyle name="Comma 66 4 3" xfId="6646"/>
    <cellStyle name="Comma 66 5" xfId="8095"/>
    <cellStyle name="Comma 66 6" xfId="5202"/>
    <cellStyle name="Comma 66 7" xfId="2311"/>
    <cellStyle name="Comma 67" xfId="959"/>
    <cellStyle name="Comma 67 2" xfId="1688"/>
    <cellStyle name="Comma 67 2 2" xfId="4353"/>
    <cellStyle name="Comma 67 2 2 2" xfId="10163"/>
    <cellStyle name="Comma 67 2 2 3" xfId="7241"/>
    <cellStyle name="Comma 67 2 3" xfId="8703"/>
    <cellStyle name="Comma 67 2 4" xfId="5797"/>
    <cellStyle name="Comma 67 2 5" xfId="2906"/>
    <cellStyle name="Comma 67 3" xfId="3190"/>
    <cellStyle name="Comma 67 3 2" xfId="4634"/>
    <cellStyle name="Comma 67 3 2 2" xfId="10444"/>
    <cellStyle name="Comma 67 3 2 3" xfId="7522"/>
    <cellStyle name="Comma 67 3 3" xfId="9000"/>
    <cellStyle name="Comma 67 3 4" xfId="6078"/>
    <cellStyle name="Comma 67 4" xfId="3759"/>
    <cellStyle name="Comma 67 4 2" xfId="9569"/>
    <cellStyle name="Comma 67 4 3" xfId="6647"/>
    <cellStyle name="Comma 67 5" xfId="8096"/>
    <cellStyle name="Comma 67 6" xfId="5203"/>
    <cellStyle name="Comma 67 7" xfId="2312"/>
    <cellStyle name="Comma 68" xfId="960"/>
    <cellStyle name="Comma 68 2" xfId="1689"/>
    <cellStyle name="Comma 68 2 2" xfId="4354"/>
    <cellStyle name="Comma 68 2 2 2" xfId="10164"/>
    <cellStyle name="Comma 68 2 2 3" xfId="7242"/>
    <cellStyle name="Comma 68 2 3" xfId="8704"/>
    <cellStyle name="Comma 68 2 4" xfId="5798"/>
    <cellStyle name="Comma 68 2 5" xfId="2907"/>
    <cellStyle name="Comma 68 3" xfId="3191"/>
    <cellStyle name="Comma 68 3 2" xfId="4635"/>
    <cellStyle name="Comma 68 3 2 2" xfId="10445"/>
    <cellStyle name="Comma 68 3 2 3" xfId="7523"/>
    <cellStyle name="Comma 68 3 3" xfId="9001"/>
    <cellStyle name="Comma 68 3 4" xfId="6079"/>
    <cellStyle name="Comma 68 4" xfId="3760"/>
    <cellStyle name="Comma 68 4 2" xfId="9570"/>
    <cellStyle name="Comma 68 4 3" xfId="6648"/>
    <cellStyle name="Comma 68 5" xfId="8097"/>
    <cellStyle name="Comma 68 6" xfId="5204"/>
    <cellStyle name="Comma 68 7" xfId="2313"/>
    <cellStyle name="Comma 69" xfId="961"/>
    <cellStyle name="Comma 69 2" xfId="1690"/>
    <cellStyle name="Comma 69 2 2" xfId="4355"/>
    <cellStyle name="Comma 69 2 2 2" xfId="10165"/>
    <cellStyle name="Comma 69 2 2 3" xfId="7243"/>
    <cellStyle name="Comma 69 2 3" xfId="8705"/>
    <cellStyle name="Comma 69 2 4" xfId="5799"/>
    <cellStyle name="Comma 69 2 5" xfId="2908"/>
    <cellStyle name="Comma 69 3" xfId="3192"/>
    <cellStyle name="Comma 69 3 2" xfId="4636"/>
    <cellStyle name="Comma 69 3 2 2" xfId="10446"/>
    <cellStyle name="Comma 69 3 2 3" xfId="7524"/>
    <cellStyle name="Comma 69 3 3" xfId="9002"/>
    <cellStyle name="Comma 69 3 4" xfId="6080"/>
    <cellStyle name="Comma 69 4" xfId="3761"/>
    <cellStyle name="Comma 69 4 2" xfId="9571"/>
    <cellStyle name="Comma 69 4 3" xfId="6649"/>
    <cellStyle name="Comma 69 5" xfId="8098"/>
    <cellStyle name="Comma 69 6" xfId="5205"/>
    <cellStyle name="Comma 69 7" xfId="2314"/>
    <cellStyle name="Comma 7" xfId="48"/>
    <cellStyle name="Comma 7 2" xfId="49"/>
    <cellStyle name="Comma 7 3" xfId="50"/>
    <cellStyle name="Comma 7 3 10" xfId="1888"/>
    <cellStyle name="Comma 7 3 2" xfId="963"/>
    <cellStyle name="Comma 7 3 3" xfId="964"/>
    <cellStyle name="Comma 7 3 3 2" xfId="1691"/>
    <cellStyle name="Comma 7 3 3 2 2" xfId="4356"/>
    <cellStyle name="Comma 7 3 3 2 2 2" xfId="10166"/>
    <cellStyle name="Comma 7 3 3 2 2 3" xfId="7244"/>
    <cellStyle name="Comma 7 3 3 2 3" xfId="8706"/>
    <cellStyle name="Comma 7 3 3 2 4" xfId="5800"/>
    <cellStyle name="Comma 7 3 3 2 5" xfId="2909"/>
    <cellStyle name="Comma 7 3 3 3" xfId="3193"/>
    <cellStyle name="Comma 7 3 3 3 2" xfId="4637"/>
    <cellStyle name="Comma 7 3 3 3 2 2" xfId="10447"/>
    <cellStyle name="Comma 7 3 3 3 2 3" xfId="7525"/>
    <cellStyle name="Comma 7 3 3 3 3" xfId="9003"/>
    <cellStyle name="Comma 7 3 3 3 4" xfId="6081"/>
    <cellStyle name="Comma 7 3 3 4" xfId="3762"/>
    <cellStyle name="Comma 7 3 3 4 2" xfId="9572"/>
    <cellStyle name="Comma 7 3 3 4 3" xfId="6650"/>
    <cellStyle name="Comma 7 3 3 5" xfId="8099"/>
    <cellStyle name="Comma 7 3 3 6" xfId="5206"/>
    <cellStyle name="Comma 7 3 3 7" xfId="2315"/>
    <cellStyle name="Comma 7 3 4" xfId="962"/>
    <cellStyle name="Comma 7 3 5" xfId="529"/>
    <cellStyle name="Comma 7 3 5 2" xfId="1434"/>
    <cellStyle name="Comma 7 3 5 2 2" xfId="4104"/>
    <cellStyle name="Comma 7 3 5 2 2 2" xfId="9914"/>
    <cellStyle name="Comma 7 3 5 2 2 3" xfId="6992"/>
    <cellStyle name="Comma 7 3 5 2 3" xfId="8449"/>
    <cellStyle name="Comma 7 3 5 2 4" xfId="5548"/>
    <cellStyle name="Comma 7 3 5 2 5" xfId="2657"/>
    <cellStyle name="Comma 7 3 5 3" xfId="3510"/>
    <cellStyle name="Comma 7 3 5 3 2" xfId="9320"/>
    <cellStyle name="Comma 7 3 5 3 3" xfId="6398"/>
    <cellStyle name="Comma 7 3 5 4" xfId="7847"/>
    <cellStyle name="Comma 7 3 5 5" xfId="4954"/>
    <cellStyle name="Comma 7 3 5 6" xfId="2063"/>
    <cellStyle name="Comma 7 3 6" xfId="1256"/>
    <cellStyle name="Comma 7 3 6 2" xfId="3929"/>
    <cellStyle name="Comma 7 3 6 2 2" xfId="9739"/>
    <cellStyle name="Comma 7 3 6 2 3" xfId="6817"/>
    <cellStyle name="Comma 7 3 6 3" xfId="8271"/>
    <cellStyle name="Comma 7 3 6 4" xfId="5373"/>
    <cellStyle name="Comma 7 3 6 5" xfId="2482"/>
    <cellStyle name="Comma 7 3 7" xfId="3335"/>
    <cellStyle name="Comma 7 3 7 2" xfId="9145"/>
    <cellStyle name="Comma 7 3 7 3" xfId="6223"/>
    <cellStyle name="Comma 7 3 8" xfId="7667"/>
    <cellStyle name="Comma 7 3 9" xfId="4779"/>
    <cellStyle name="Comma 70" xfId="1225"/>
    <cellStyle name="Comma 70 2" xfId="1843"/>
    <cellStyle name="Comma 70 2 2" xfId="4493"/>
    <cellStyle name="Comma 70 2 2 2" xfId="10303"/>
    <cellStyle name="Comma 70 2 2 3" xfId="7381"/>
    <cellStyle name="Comma 70 2 3" xfId="8858"/>
    <cellStyle name="Comma 70 2 4" xfId="5937"/>
    <cellStyle name="Comma 70 2 5" xfId="3046"/>
    <cellStyle name="Comma 70 3" xfId="3899"/>
    <cellStyle name="Comma 70 3 2" xfId="9709"/>
    <cellStyle name="Comma 70 3 3" xfId="6787"/>
    <cellStyle name="Comma 70 4" xfId="8240"/>
    <cellStyle name="Comma 70 5" xfId="5343"/>
    <cellStyle name="Comma 70 6" xfId="2452"/>
    <cellStyle name="Comma 71" xfId="1228"/>
    <cellStyle name="Comma 71 2" xfId="1846"/>
    <cellStyle name="Comma 71 2 2" xfId="4496"/>
    <cellStyle name="Comma 71 2 2 2" xfId="10306"/>
    <cellStyle name="Comma 71 2 2 3" xfId="7384"/>
    <cellStyle name="Comma 71 2 3" xfId="8861"/>
    <cellStyle name="Comma 71 2 4" xfId="5940"/>
    <cellStyle name="Comma 71 2 5" xfId="3049"/>
    <cellStyle name="Comma 71 3" xfId="3902"/>
    <cellStyle name="Comma 71 3 2" xfId="9712"/>
    <cellStyle name="Comma 71 3 3" xfId="6790"/>
    <cellStyle name="Comma 71 4" xfId="8243"/>
    <cellStyle name="Comma 71 5" xfId="5346"/>
    <cellStyle name="Comma 71 6" xfId="2455"/>
    <cellStyle name="Comma 72" xfId="1232"/>
    <cellStyle name="Comma 72 2" xfId="1850"/>
    <cellStyle name="Comma 72 2 2" xfId="4500"/>
    <cellStyle name="Comma 72 2 2 2" xfId="10310"/>
    <cellStyle name="Comma 72 2 2 3" xfId="7388"/>
    <cellStyle name="Comma 72 2 3" xfId="8865"/>
    <cellStyle name="Comma 72 2 4" xfId="5944"/>
    <cellStyle name="Comma 72 2 5" xfId="3053"/>
    <cellStyle name="Comma 72 3" xfId="3906"/>
    <cellStyle name="Comma 72 3 2" xfId="9716"/>
    <cellStyle name="Comma 72 3 3" xfId="6794"/>
    <cellStyle name="Comma 72 4" xfId="8247"/>
    <cellStyle name="Comma 72 5" xfId="5350"/>
    <cellStyle name="Comma 72 6" xfId="2459"/>
    <cellStyle name="Comma 73" xfId="3076"/>
    <cellStyle name="Comma 73 2" xfId="4524"/>
    <cellStyle name="Comma 73 2 2" xfId="10334"/>
    <cellStyle name="Comma 73 2 3" xfId="7412"/>
    <cellStyle name="Comma 73 3" xfId="8889"/>
    <cellStyle name="Comma 73 4" xfId="5968"/>
    <cellStyle name="Comma 74" xfId="3090"/>
    <cellStyle name="Comma 75" xfId="3107"/>
    <cellStyle name="Comma 75 2" xfId="4552"/>
    <cellStyle name="Comma 75 2 2" xfId="10362"/>
    <cellStyle name="Comma 75 2 3" xfId="7440"/>
    <cellStyle name="Comma 75 3" xfId="8918"/>
    <cellStyle name="Comma 75 4" xfId="5996"/>
    <cellStyle name="Comma 8" xfId="51"/>
    <cellStyle name="Comma 8 2" xfId="52"/>
    <cellStyle name="Comma 8 2 2" xfId="965"/>
    <cellStyle name="Comma 9" xfId="53"/>
    <cellStyle name="Comma 9 2" xfId="967"/>
    <cellStyle name="Comma 9 2 2" xfId="968"/>
    <cellStyle name="Comma 9 3" xfId="969"/>
    <cellStyle name="Comma 9 4" xfId="966"/>
    <cellStyle name="Comma 9 5" xfId="530"/>
    <cellStyle name="Copied" xfId="54"/>
    <cellStyle name="COSS" xfId="55"/>
    <cellStyle name="Currency 2" xfId="56"/>
    <cellStyle name="Currency 2 2" xfId="57"/>
    <cellStyle name="Currency 2 3" xfId="58"/>
    <cellStyle name="Currency 2 3 10" xfId="1889"/>
    <cellStyle name="Currency 2 3 2" xfId="971"/>
    <cellStyle name="Currency 2 3 3" xfId="972"/>
    <cellStyle name="Currency 2 3 3 2" xfId="1692"/>
    <cellStyle name="Currency 2 3 3 2 2" xfId="4357"/>
    <cellStyle name="Currency 2 3 3 2 2 2" xfId="10167"/>
    <cellStyle name="Currency 2 3 3 2 2 3" xfId="7245"/>
    <cellStyle name="Currency 2 3 3 2 3" xfId="8707"/>
    <cellStyle name="Currency 2 3 3 2 4" xfId="5801"/>
    <cellStyle name="Currency 2 3 3 2 5" xfId="2910"/>
    <cellStyle name="Currency 2 3 3 3" xfId="3194"/>
    <cellStyle name="Currency 2 3 3 3 2" xfId="4638"/>
    <cellStyle name="Currency 2 3 3 3 2 2" xfId="10448"/>
    <cellStyle name="Currency 2 3 3 3 2 3" xfId="7526"/>
    <cellStyle name="Currency 2 3 3 3 3" xfId="9004"/>
    <cellStyle name="Currency 2 3 3 3 4" xfId="6082"/>
    <cellStyle name="Currency 2 3 3 4" xfId="3763"/>
    <cellStyle name="Currency 2 3 3 4 2" xfId="9573"/>
    <cellStyle name="Currency 2 3 3 4 3" xfId="6651"/>
    <cellStyle name="Currency 2 3 3 5" xfId="8100"/>
    <cellStyle name="Currency 2 3 3 6" xfId="5207"/>
    <cellStyle name="Currency 2 3 3 7" xfId="2316"/>
    <cellStyle name="Currency 2 3 4" xfId="970"/>
    <cellStyle name="Currency 2 3 5" xfId="531"/>
    <cellStyle name="Currency 2 3 5 2" xfId="1435"/>
    <cellStyle name="Currency 2 3 5 2 2" xfId="4105"/>
    <cellStyle name="Currency 2 3 5 2 2 2" xfId="9915"/>
    <cellStyle name="Currency 2 3 5 2 2 3" xfId="6993"/>
    <cellStyle name="Currency 2 3 5 2 3" xfId="8450"/>
    <cellStyle name="Currency 2 3 5 2 4" xfId="5549"/>
    <cellStyle name="Currency 2 3 5 2 5" xfId="2658"/>
    <cellStyle name="Currency 2 3 5 3" xfId="3511"/>
    <cellStyle name="Currency 2 3 5 3 2" xfId="9321"/>
    <cellStyle name="Currency 2 3 5 3 3" xfId="6399"/>
    <cellStyle name="Currency 2 3 5 4" xfId="7848"/>
    <cellStyle name="Currency 2 3 5 5" xfId="4955"/>
    <cellStyle name="Currency 2 3 5 6" xfId="2064"/>
    <cellStyle name="Currency 2 3 6" xfId="1257"/>
    <cellStyle name="Currency 2 3 6 2" xfId="3930"/>
    <cellStyle name="Currency 2 3 6 2 2" xfId="9740"/>
    <cellStyle name="Currency 2 3 6 2 3" xfId="6818"/>
    <cellStyle name="Currency 2 3 6 3" xfId="8272"/>
    <cellStyle name="Currency 2 3 6 4" xfId="5374"/>
    <cellStyle name="Currency 2 3 6 5" xfId="2483"/>
    <cellStyle name="Currency 2 3 7" xfId="3336"/>
    <cellStyle name="Currency 2 3 7 2" xfId="9146"/>
    <cellStyle name="Currency 2 3 7 3" xfId="6224"/>
    <cellStyle name="Currency 2 3 8" xfId="7668"/>
    <cellStyle name="Currency 2 3 9" xfId="4780"/>
    <cellStyle name="Currency 3" xfId="59"/>
    <cellStyle name="Currency 3 2" xfId="60"/>
    <cellStyle name="Currency 3 2 10" xfId="1890"/>
    <cellStyle name="Currency 3 2 2" xfId="974"/>
    <cellStyle name="Currency 3 2 3" xfId="975"/>
    <cellStyle name="Currency 3 2 3 2" xfId="1693"/>
    <cellStyle name="Currency 3 2 3 2 2" xfId="4358"/>
    <cellStyle name="Currency 3 2 3 2 2 2" xfId="10168"/>
    <cellStyle name="Currency 3 2 3 2 2 3" xfId="7246"/>
    <cellStyle name="Currency 3 2 3 2 3" xfId="8708"/>
    <cellStyle name="Currency 3 2 3 2 4" xfId="5802"/>
    <cellStyle name="Currency 3 2 3 2 5" xfId="2911"/>
    <cellStyle name="Currency 3 2 3 3" xfId="3195"/>
    <cellStyle name="Currency 3 2 3 3 2" xfId="4639"/>
    <cellStyle name="Currency 3 2 3 3 2 2" xfId="10449"/>
    <cellStyle name="Currency 3 2 3 3 2 3" xfId="7527"/>
    <cellStyle name="Currency 3 2 3 3 3" xfId="9005"/>
    <cellStyle name="Currency 3 2 3 3 4" xfId="6083"/>
    <cellStyle name="Currency 3 2 3 4" xfId="3764"/>
    <cellStyle name="Currency 3 2 3 4 2" xfId="9574"/>
    <cellStyle name="Currency 3 2 3 4 3" xfId="6652"/>
    <cellStyle name="Currency 3 2 3 5" xfId="8101"/>
    <cellStyle name="Currency 3 2 3 6" xfId="5208"/>
    <cellStyle name="Currency 3 2 3 7" xfId="2317"/>
    <cellStyle name="Currency 3 2 4" xfId="973"/>
    <cellStyle name="Currency 3 2 5" xfId="532"/>
    <cellStyle name="Currency 3 2 5 2" xfId="1436"/>
    <cellStyle name="Currency 3 2 5 2 2" xfId="4106"/>
    <cellStyle name="Currency 3 2 5 2 2 2" xfId="9916"/>
    <cellStyle name="Currency 3 2 5 2 2 3" xfId="6994"/>
    <cellStyle name="Currency 3 2 5 2 3" xfId="8451"/>
    <cellStyle name="Currency 3 2 5 2 4" xfId="5550"/>
    <cellStyle name="Currency 3 2 5 2 5" xfId="2659"/>
    <cellStyle name="Currency 3 2 5 3" xfId="3512"/>
    <cellStyle name="Currency 3 2 5 3 2" xfId="9322"/>
    <cellStyle name="Currency 3 2 5 3 3" xfId="6400"/>
    <cellStyle name="Currency 3 2 5 4" xfId="7849"/>
    <cellStyle name="Currency 3 2 5 5" xfId="4956"/>
    <cellStyle name="Currency 3 2 5 6" xfId="2065"/>
    <cellStyle name="Currency 3 2 6" xfId="1258"/>
    <cellStyle name="Currency 3 2 6 2" xfId="3931"/>
    <cellStyle name="Currency 3 2 6 2 2" xfId="9741"/>
    <cellStyle name="Currency 3 2 6 2 3" xfId="6819"/>
    <cellStyle name="Currency 3 2 6 3" xfId="8273"/>
    <cellStyle name="Currency 3 2 6 4" xfId="5375"/>
    <cellStyle name="Currency 3 2 6 5" xfId="2484"/>
    <cellStyle name="Currency 3 2 7" xfId="3337"/>
    <cellStyle name="Currency 3 2 7 2" xfId="9147"/>
    <cellStyle name="Currency 3 2 7 3" xfId="6225"/>
    <cellStyle name="Currency 3 2 8" xfId="7669"/>
    <cellStyle name="Currency 3 2 9" xfId="4781"/>
    <cellStyle name="Currency 3 3" xfId="976"/>
    <cellStyle name="Currency 3 4" xfId="977"/>
    <cellStyle name="Currency 4" xfId="61"/>
    <cellStyle name="Currency 4 10" xfId="4782"/>
    <cellStyle name="Currency 4 11" xfId="1891"/>
    <cellStyle name="Currency 4 2" xfId="979"/>
    <cellStyle name="Currency 4 3" xfId="980"/>
    <cellStyle name="Currency 4 4" xfId="981"/>
    <cellStyle name="Currency 4 4 2" xfId="1694"/>
    <cellStyle name="Currency 4 4 2 2" xfId="4359"/>
    <cellStyle name="Currency 4 4 2 2 2" xfId="10169"/>
    <cellStyle name="Currency 4 4 2 2 3" xfId="7247"/>
    <cellStyle name="Currency 4 4 2 3" xfId="8709"/>
    <cellStyle name="Currency 4 4 2 4" xfId="5803"/>
    <cellStyle name="Currency 4 4 2 5" xfId="2912"/>
    <cellStyle name="Currency 4 4 3" xfId="3196"/>
    <cellStyle name="Currency 4 4 3 2" xfId="4640"/>
    <cellStyle name="Currency 4 4 3 2 2" xfId="10450"/>
    <cellStyle name="Currency 4 4 3 2 3" xfId="7528"/>
    <cellStyle name="Currency 4 4 3 3" xfId="9006"/>
    <cellStyle name="Currency 4 4 3 4" xfId="6084"/>
    <cellStyle name="Currency 4 4 4" xfId="3765"/>
    <cellStyle name="Currency 4 4 4 2" xfId="9575"/>
    <cellStyle name="Currency 4 4 4 3" xfId="6653"/>
    <cellStyle name="Currency 4 4 5" xfId="8102"/>
    <cellStyle name="Currency 4 4 6" xfId="5209"/>
    <cellStyle name="Currency 4 4 7" xfId="2318"/>
    <cellStyle name="Currency 4 5" xfId="978"/>
    <cellStyle name="Currency 4 6" xfId="533"/>
    <cellStyle name="Currency 4 6 2" xfId="1437"/>
    <cellStyle name="Currency 4 6 2 2" xfId="4107"/>
    <cellStyle name="Currency 4 6 2 2 2" xfId="9917"/>
    <cellStyle name="Currency 4 6 2 2 3" xfId="6995"/>
    <cellStyle name="Currency 4 6 2 3" xfId="8452"/>
    <cellStyle name="Currency 4 6 2 4" xfId="5551"/>
    <cellStyle name="Currency 4 6 2 5" xfId="2660"/>
    <cellStyle name="Currency 4 6 3" xfId="3513"/>
    <cellStyle name="Currency 4 6 3 2" xfId="9323"/>
    <cellStyle name="Currency 4 6 3 3" xfId="6401"/>
    <cellStyle name="Currency 4 6 4" xfId="7850"/>
    <cellStyle name="Currency 4 6 5" xfId="4957"/>
    <cellStyle name="Currency 4 6 6" xfId="2066"/>
    <cellStyle name="Currency 4 7" xfId="1259"/>
    <cellStyle name="Currency 4 7 2" xfId="3932"/>
    <cellStyle name="Currency 4 7 2 2" xfId="9742"/>
    <cellStyle name="Currency 4 7 2 3" xfId="6820"/>
    <cellStyle name="Currency 4 7 3" xfId="8274"/>
    <cellStyle name="Currency 4 7 4" xfId="5376"/>
    <cellStyle name="Currency 4 7 5" xfId="2485"/>
    <cellStyle name="Currency 4 8" xfId="3338"/>
    <cellStyle name="Currency 4 8 2" xfId="9148"/>
    <cellStyle name="Currency 4 8 3" xfId="6226"/>
    <cellStyle name="Currency 4 9" xfId="7670"/>
    <cellStyle name="Currency 5" xfId="62"/>
    <cellStyle name="Currency 5 10" xfId="4783"/>
    <cellStyle name="Currency 5 11" xfId="1892"/>
    <cellStyle name="Currency 5 2" xfId="983"/>
    <cellStyle name="Currency 5 3" xfId="984"/>
    <cellStyle name="Currency 5 4" xfId="985"/>
    <cellStyle name="Currency 5 4 2" xfId="1695"/>
    <cellStyle name="Currency 5 4 2 2" xfId="4360"/>
    <cellStyle name="Currency 5 4 2 2 2" xfId="10170"/>
    <cellStyle name="Currency 5 4 2 2 3" xfId="7248"/>
    <cellStyle name="Currency 5 4 2 3" xfId="8710"/>
    <cellStyle name="Currency 5 4 2 4" xfId="5804"/>
    <cellStyle name="Currency 5 4 2 5" xfId="2913"/>
    <cellStyle name="Currency 5 4 3" xfId="3197"/>
    <cellStyle name="Currency 5 4 3 2" xfId="4641"/>
    <cellStyle name="Currency 5 4 3 2 2" xfId="10451"/>
    <cellStyle name="Currency 5 4 3 2 3" xfId="7529"/>
    <cellStyle name="Currency 5 4 3 3" xfId="9007"/>
    <cellStyle name="Currency 5 4 3 4" xfId="6085"/>
    <cellStyle name="Currency 5 4 4" xfId="3766"/>
    <cellStyle name="Currency 5 4 4 2" xfId="9576"/>
    <cellStyle name="Currency 5 4 4 3" xfId="6654"/>
    <cellStyle name="Currency 5 4 5" xfId="8103"/>
    <cellStyle name="Currency 5 4 6" xfId="5210"/>
    <cellStyle name="Currency 5 4 7" xfId="2319"/>
    <cellStyle name="Currency 5 5" xfId="982"/>
    <cellStyle name="Currency 5 6" xfId="534"/>
    <cellStyle name="Currency 5 6 2" xfId="1438"/>
    <cellStyle name="Currency 5 6 2 2" xfId="4108"/>
    <cellStyle name="Currency 5 6 2 2 2" xfId="9918"/>
    <cellStyle name="Currency 5 6 2 2 3" xfId="6996"/>
    <cellStyle name="Currency 5 6 2 3" xfId="8453"/>
    <cellStyle name="Currency 5 6 2 4" xfId="5552"/>
    <cellStyle name="Currency 5 6 2 5" xfId="2661"/>
    <cellStyle name="Currency 5 6 3" xfId="3514"/>
    <cellStyle name="Currency 5 6 3 2" xfId="9324"/>
    <cellStyle name="Currency 5 6 3 3" xfId="6402"/>
    <cellStyle name="Currency 5 6 4" xfId="7851"/>
    <cellStyle name="Currency 5 6 5" xfId="4958"/>
    <cellStyle name="Currency 5 6 6" xfId="2067"/>
    <cellStyle name="Currency 5 7" xfId="1260"/>
    <cellStyle name="Currency 5 7 2" xfId="3933"/>
    <cellStyle name="Currency 5 7 2 2" xfId="9743"/>
    <cellStyle name="Currency 5 7 2 3" xfId="6821"/>
    <cellStyle name="Currency 5 7 3" xfId="8275"/>
    <cellStyle name="Currency 5 7 4" xfId="5377"/>
    <cellStyle name="Currency 5 7 5" xfId="2486"/>
    <cellStyle name="Currency 5 8" xfId="3339"/>
    <cellStyle name="Currency 5 8 2" xfId="9149"/>
    <cellStyle name="Currency 5 8 3" xfId="6227"/>
    <cellStyle name="Currency 5 9" xfId="7671"/>
    <cellStyle name="Currency 6" xfId="63"/>
    <cellStyle name="Currency 6 10" xfId="1893"/>
    <cellStyle name="Currency 6 2" xfId="987"/>
    <cellStyle name="Currency 6 3" xfId="988"/>
    <cellStyle name="Currency 6 3 2" xfId="1696"/>
    <cellStyle name="Currency 6 3 2 2" xfId="4361"/>
    <cellStyle name="Currency 6 3 2 2 2" xfId="10171"/>
    <cellStyle name="Currency 6 3 2 2 3" xfId="7249"/>
    <cellStyle name="Currency 6 3 2 3" xfId="8711"/>
    <cellStyle name="Currency 6 3 2 4" xfId="5805"/>
    <cellStyle name="Currency 6 3 2 5" xfId="2914"/>
    <cellStyle name="Currency 6 3 3" xfId="3198"/>
    <cellStyle name="Currency 6 3 3 2" xfId="4642"/>
    <cellStyle name="Currency 6 3 3 2 2" xfId="10452"/>
    <cellStyle name="Currency 6 3 3 2 3" xfId="7530"/>
    <cellStyle name="Currency 6 3 3 3" xfId="9008"/>
    <cellStyle name="Currency 6 3 3 4" xfId="6086"/>
    <cellStyle name="Currency 6 3 4" xfId="3767"/>
    <cellStyle name="Currency 6 3 4 2" xfId="9577"/>
    <cellStyle name="Currency 6 3 4 3" xfId="6655"/>
    <cellStyle name="Currency 6 3 5" xfId="8104"/>
    <cellStyle name="Currency 6 3 6" xfId="5211"/>
    <cellStyle name="Currency 6 3 7" xfId="2320"/>
    <cellStyle name="Currency 6 4" xfId="986"/>
    <cellStyle name="Currency 6 5" xfId="535"/>
    <cellStyle name="Currency 6 5 2" xfId="1439"/>
    <cellStyle name="Currency 6 5 2 2" xfId="4109"/>
    <cellStyle name="Currency 6 5 2 2 2" xfId="9919"/>
    <cellStyle name="Currency 6 5 2 2 3" xfId="6997"/>
    <cellStyle name="Currency 6 5 2 3" xfId="8454"/>
    <cellStyle name="Currency 6 5 2 4" xfId="5553"/>
    <cellStyle name="Currency 6 5 2 5" xfId="2662"/>
    <cellStyle name="Currency 6 5 3" xfId="3515"/>
    <cellStyle name="Currency 6 5 3 2" xfId="9325"/>
    <cellStyle name="Currency 6 5 3 3" xfId="6403"/>
    <cellStyle name="Currency 6 5 4" xfId="7852"/>
    <cellStyle name="Currency 6 5 5" xfId="4959"/>
    <cellStyle name="Currency 6 5 6" xfId="2068"/>
    <cellStyle name="Currency 6 6" xfId="1261"/>
    <cellStyle name="Currency 6 6 2" xfId="3934"/>
    <cellStyle name="Currency 6 6 2 2" xfId="9744"/>
    <cellStyle name="Currency 6 6 2 3" xfId="6822"/>
    <cellStyle name="Currency 6 6 3" xfId="8276"/>
    <cellStyle name="Currency 6 6 4" xfId="5378"/>
    <cellStyle name="Currency 6 6 5" xfId="2487"/>
    <cellStyle name="Currency 6 7" xfId="3340"/>
    <cellStyle name="Currency 6 7 2" xfId="9150"/>
    <cellStyle name="Currency 6 7 3" xfId="6228"/>
    <cellStyle name="Currency 6 8" xfId="7672"/>
    <cellStyle name="Currency 6 9" xfId="4784"/>
    <cellStyle name="Currency 7" xfId="64"/>
    <cellStyle name="Currency 7 2" xfId="65"/>
    <cellStyle name="Currency 7 2 10" xfId="1894"/>
    <cellStyle name="Currency 7 2 2" xfId="990"/>
    <cellStyle name="Currency 7 2 3" xfId="991"/>
    <cellStyle name="Currency 7 2 3 2" xfId="1697"/>
    <cellStyle name="Currency 7 2 3 2 2" xfId="4362"/>
    <cellStyle name="Currency 7 2 3 2 2 2" xfId="10172"/>
    <cellStyle name="Currency 7 2 3 2 2 3" xfId="7250"/>
    <cellStyle name="Currency 7 2 3 2 3" xfId="8712"/>
    <cellStyle name="Currency 7 2 3 2 4" xfId="5806"/>
    <cellStyle name="Currency 7 2 3 2 5" xfId="2915"/>
    <cellStyle name="Currency 7 2 3 3" xfId="3199"/>
    <cellStyle name="Currency 7 2 3 3 2" xfId="4643"/>
    <cellStyle name="Currency 7 2 3 3 2 2" xfId="10453"/>
    <cellStyle name="Currency 7 2 3 3 2 3" xfId="7531"/>
    <cellStyle name="Currency 7 2 3 3 3" xfId="9009"/>
    <cellStyle name="Currency 7 2 3 3 4" xfId="6087"/>
    <cellStyle name="Currency 7 2 3 4" xfId="3768"/>
    <cellStyle name="Currency 7 2 3 4 2" xfId="9578"/>
    <cellStyle name="Currency 7 2 3 4 3" xfId="6656"/>
    <cellStyle name="Currency 7 2 3 5" xfId="8105"/>
    <cellStyle name="Currency 7 2 3 6" xfId="5212"/>
    <cellStyle name="Currency 7 2 3 7" xfId="2321"/>
    <cellStyle name="Currency 7 2 4" xfId="989"/>
    <cellStyle name="Currency 7 2 5" xfId="536"/>
    <cellStyle name="Currency 7 2 5 2" xfId="1440"/>
    <cellStyle name="Currency 7 2 5 2 2" xfId="4110"/>
    <cellStyle name="Currency 7 2 5 2 2 2" xfId="9920"/>
    <cellStyle name="Currency 7 2 5 2 2 3" xfId="6998"/>
    <cellStyle name="Currency 7 2 5 2 3" xfId="8455"/>
    <cellStyle name="Currency 7 2 5 2 4" xfId="5554"/>
    <cellStyle name="Currency 7 2 5 2 5" xfId="2663"/>
    <cellStyle name="Currency 7 2 5 3" xfId="3516"/>
    <cellStyle name="Currency 7 2 5 3 2" xfId="9326"/>
    <cellStyle name="Currency 7 2 5 3 3" xfId="6404"/>
    <cellStyle name="Currency 7 2 5 4" xfId="7853"/>
    <cellStyle name="Currency 7 2 5 5" xfId="4960"/>
    <cellStyle name="Currency 7 2 5 6" xfId="2069"/>
    <cellStyle name="Currency 7 2 6" xfId="1262"/>
    <cellStyle name="Currency 7 2 6 2" xfId="3935"/>
    <cellStyle name="Currency 7 2 6 2 2" xfId="9745"/>
    <cellStyle name="Currency 7 2 6 2 3" xfId="6823"/>
    <cellStyle name="Currency 7 2 6 3" xfId="8277"/>
    <cellStyle name="Currency 7 2 6 4" xfId="5379"/>
    <cellStyle name="Currency 7 2 6 5" xfId="2488"/>
    <cellStyle name="Currency 7 2 7" xfId="3341"/>
    <cellStyle name="Currency 7 2 7 2" xfId="9151"/>
    <cellStyle name="Currency 7 2 7 3" xfId="6229"/>
    <cellStyle name="Currency 7 2 8" xfId="7673"/>
    <cellStyle name="Currency 7 2 9" xfId="4785"/>
    <cellStyle name="Currency 8" xfId="483"/>
    <cellStyle name="Currency 8 2" xfId="993"/>
    <cellStyle name="Currency 8 3" xfId="992"/>
    <cellStyle name="Currency 8 4" xfId="662"/>
    <cellStyle name="Currency 8 4 2" xfId="1566"/>
    <cellStyle name="Currency 8 4 2 2" xfId="4236"/>
    <cellStyle name="Currency 8 4 2 2 2" xfId="10046"/>
    <cellStyle name="Currency 8 4 2 2 3" xfId="7124"/>
    <cellStyle name="Currency 8 4 2 3" xfId="8581"/>
    <cellStyle name="Currency 8 4 2 4" xfId="5680"/>
    <cellStyle name="Currency 8 4 2 5" xfId="2789"/>
    <cellStyle name="Currency 8 4 3" xfId="3642"/>
    <cellStyle name="Currency 8 4 3 2" xfId="9452"/>
    <cellStyle name="Currency 8 4 3 3" xfId="6530"/>
    <cellStyle name="Currency 8 4 4" xfId="7979"/>
    <cellStyle name="Currency 8 4 5" xfId="5086"/>
    <cellStyle name="Currency 8 4 6" xfId="2195"/>
    <cellStyle name="Currency 8 5" xfId="1391"/>
    <cellStyle name="Currency 8 5 2" xfId="4061"/>
    <cellStyle name="Currency 8 5 2 2" xfId="9871"/>
    <cellStyle name="Currency 8 5 2 3" xfId="6949"/>
    <cellStyle name="Currency 8 5 3" xfId="8406"/>
    <cellStyle name="Currency 8 5 4" xfId="5505"/>
    <cellStyle name="Currency 8 5 5" xfId="2614"/>
    <cellStyle name="Currency 8 6" xfId="3467"/>
    <cellStyle name="Currency 8 6 2" xfId="9277"/>
    <cellStyle name="Currency 8 6 3" xfId="6355"/>
    <cellStyle name="Currency 8 7" xfId="7804"/>
    <cellStyle name="Currency 8 8" xfId="4911"/>
    <cellStyle name="Currency 8 9" xfId="2020"/>
    <cellStyle name="Currency 9" xfId="1233"/>
    <cellStyle name="Currency 9 2" xfId="1851"/>
    <cellStyle name="Currency 9 2 2" xfId="4501"/>
    <cellStyle name="Currency 9 2 2 2" xfId="10311"/>
    <cellStyle name="Currency 9 2 2 3" xfId="7389"/>
    <cellStyle name="Currency 9 2 3" xfId="8866"/>
    <cellStyle name="Currency 9 2 4" xfId="5945"/>
    <cellStyle name="Currency 9 2 5" xfId="3054"/>
    <cellStyle name="Currency 9 3" xfId="3907"/>
    <cellStyle name="Currency 9 3 2" xfId="9717"/>
    <cellStyle name="Currency 9 3 3" xfId="6795"/>
    <cellStyle name="Currency 9 4" xfId="8248"/>
    <cellStyle name="Currency 9 5" xfId="5351"/>
    <cellStyle name="Currency 9 6" xfId="2460"/>
    <cellStyle name="Date" xfId="66"/>
    <cellStyle name="Entered" xfId="67"/>
    <cellStyle name="Explanatory Text" xfId="362" builtinId="53" customBuiltin="1"/>
    <cellStyle name="Explanatory Text 2" xfId="68"/>
    <cellStyle name="Good" xfId="353" builtinId="26" customBuiltin="1"/>
    <cellStyle name="Good 2" xfId="69"/>
    <cellStyle name="Good 2 2" xfId="994"/>
    <cellStyle name="Good 3" xfId="995"/>
    <cellStyle name="Grey" xfId="70"/>
    <cellStyle name="Header1" xfId="71"/>
    <cellStyle name="Header2" xfId="72"/>
    <cellStyle name="Header2 2" xfId="996"/>
    <cellStyle name="Header2 2 2" xfId="1698"/>
    <cellStyle name="Header2 2 2 2" xfId="8713"/>
    <cellStyle name="Header2 2 2 2 2" xfId="10591"/>
    <cellStyle name="Header2 3" xfId="1263"/>
    <cellStyle name="Header2 3 2" xfId="8278"/>
    <cellStyle name="Header2 3 2 2" xfId="10584"/>
    <cellStyle name="Heading 1" xfId="349" builtinId="16" customBuiltin="1"/>
    <cellStyle name="Heading 1 2" xfId="73"/>
    <cellStyle name="Heading 1 2 2" xfId="997"/>
    <cellStyle name="Heading 1 3" xfId="998"/>
    <cellStyle name="Heading 2" xfId="350" builtinId="17" customBuiltin="1"/>
    <cellStyle name="Heading 2 2" xfId="74"/>
    <cellStyle name="Heading 2 2 2" xfId="999"/>
    <cellStyle name="Heading 2 3" xfId="1000"/>
    <cellStyle name="Heading 3" xfId="351" builtinId="18" customBuiltin="1"/>
    <cellStyle name="Heading 3 2" xfId="75"/>
    <cellStyle name="Heading 3 2 2" xfId="1001"/>
    <cellStyle name="Heading 3 3" xfId="1002"/>
    <cellStyle name="Heading 4" xfId="352" builtinId="19" customBuiltin="1"/>
    <cellStyle name="Heading 4 2" xfId="76"/>
    <cellStyle name="Heading 4 2 2" xfId="1003"/>
    <cellStyle name="Heading 4 3" xfId="1004"/>
    <cellStyle name="Input" xfId="356" builtinId="20" customBuiltin="1"/>
    <cellStyle name="Input [yellow]" xfId="77"/>
    <cellStyle name="Input [yellow] 2" xfId="1005"/>
    <cellStyle name="Input [yellow] 2 2" xfId="1699"/>
    <cellStyle name="Input [yellow] 2 2 2" xfId="8714"/>
    <cellStyle name="Input [yellow] 3" xfId="1264"/>
    <cellStyle name="Input [yellow] 3 2" xfId="8279"/>
    <cellStyle name="Input 2" xfId="78"/>
    <cellStyle name="Input 2 2" xfId="1006"/>
    <cellStyle name="Input 2 2 2" xfId="1007"/>
    <cellStyle name="Input 2 2 2 2" xfId="1701"/>
    <cellStyle name="Input 2 2 2 2 2" xfId="8716"/>
    <cellStyle name="Input 2 2 2 2 2 2" xfId="10593"/>
    <cellStyle name="Input 2 2 3" xfId="1700"/>
    <cellStyle name="Input 2 2 3 2" xfId="8715"/>
    <cellStyle name="Input 2 2 3 2 2" xfId="10592"/>
    <cellStyle name="Input 2 3" xfId="1008"/>
    <cellStyle name="Input 2 3 2" xfId="1702"/>
    <cellStyle name="Input 2 3 2 2" xfId="8717"/>
    <cellStyle name="Input 2 3 2 2 2" xfId="10594"/>
    <cellStyle name="Input 2 4" xfId="1265"/>
    <cellStyle name="Input 2 4 2" xfId="8280"/>
    <cellStyle name="Input 2 4 2 2" xfId="10585"/>
    <cellStyle name="Input 3" xfId="1009"/>
    <cellStyle name="Input 3 2" xfId="1010"/>
    <cellStyle name="Input 3 2 2" xfId="1704"/>
    <cellStyle name="Input 3 2 2 2" xfId="8719"/>
    <cellStyle name="Input 3 2 2 2 2" xfId="10596"/>
    <cellStyle name="Input 3 3" xfId="1703"/>
    <cellStyle name="Input 3 3 2" xfId="8718"/>
    <cellStyle name="Input 3 3 2 2" xfId="10595"/>
    <cellStyle name="Input 4" xfId="1011"/>
    <cellStyle name="Input 4 2" xfId="1012"/>
    <cellStyle name="Input 4 2 2" xfId="1706"/>
    <cellStyle name="Input 4 2 2 2" xfId="8721"/>
    <cellStyle name="Input 4 2 2 2 2" xfId="10598"/>
    <cellStyle name="Input 4 3" xfId="1705"/>
    <cellStyle name="Input 4 3 2" xfId="8720"/>
    <cellStyle name="Input 4 3 2 2" xfId="10597"/>
    <cellStyle name="Input 5" xfId="1013"/>
    <cellStyle name="Input 5 2" xfId="1014"/>
    <cellStyle name="Input 5 2 2" xfId="1708"/>
    <cellStyle name="Input 5 2 2 2" xfId="8723"/>
    <cellStyle name="Input 5 2 2 2 2" xfId="10600"/>
    <cellStyle name="Input 5 3" xfId="1707"/>
    <cellStyle name="Input 5 3 2" xfId="8722"/>
    <cellStyle name="Input 5 3 2 2" xfId="10599"/>
    <cellStyle name="Input 6" xfId="1015"/>
    <cellStyle name="Input 6 2" xfId="1016"/>
    <cellStyle name="Input 6 2 2" xfId="1710"/>
    <cellStyle name="Input 6 2 2 2" xfId="8725"/>
    <cellStyle name="Input 6 2 2 2 2" xfId="10602"/>
    <cellStyle name="Input 6 3" xfId="1709"/>
    <cellStyle name="Input 6 3 2" xfId="8724"/>
    <cellStyle name="Input 6 3 2 2" xfId="10601"/>
    <cellStyle name="Input 7" xfId="1017"/>
    <cellStyle name="Input 7 2" xfId="1018"/>
    <cellStyle name="Input 7 2 2" xfId="1712"/>
    <cellStyle name="Input 7 2 2 2" xfId="8727"/>
    <cellStyle name="Input 7 2 2 2 2" xfId="10604"/>
    <cellStyle name="Input 7 3" xfId="1711"/>
    <cellStyle name="Input 7 3 2" xfId="8726"/>
    <cellStyle name="Input 7 3 2 2" xfId="10603"/>
    <cellStyle name="Input 8" xfId="3092"/>
    <cellStyle name="Input 8 2" xfId="8903"/>
    <cellStyle name="Input 8 2 2" xfId="10605"/>
    <cellStyle name="Linked Cell" xfId="359" builtinId="24" customBuiltin="1"/>
    <cellStyle name="Linked Cell 2" xfId="79"/>
    <cellStyle name="Linked Cell 2 2" xfId="1019"/>
    <cellStyle name="Linked Cell 3" xfId="1020"/>
    <cellStyle name="Neutral" xfId="355" builtinId="28" customBuiltin="1"/>
    <cellStyle name="Neutral 2" xfId="80"/>
    <cellStyle name="Neutral 2 2" xfId="1021"/>
    <cellStyle name="Neutral 3" xfId="1022"/>
    <cellStyle name="Normal" xfId="0" builtinId="0"/>
    <cellStyle name="Normal - Style1" xfId="81"/>
    <cellStyle name="Normal - Style1 2" xfId="82"/>
    <cellStyle name="Normal 10" xfId="83"/>
    <cellStyle name="Normal 10 2" xfId="480"/>
    <cellStyle name="Normal 10 3" xfId="1023"/>
    <cellStyle name="Normal 100" xfId="84"/>
    <cellStyle name="Normal 101" xfId="85"/>
    <cellStyle name="Normal 102" xfId="86"/>
    <cellStyle name="Normal 103" xfId="87"/>
    <cellStyle name="Normal 104" xfId="88"/>
    <cellStyle name="Normal 105" xfId="89"/>
    <cellStyle name="Normal 106" xfId="90"/>
    <cellStyle name="Normal 107" xfId="91"/>
    <cellStyle name="Normal 108" xfId="92"/>
    <cellStyle name="Normal 109" xfId="93"/>
    <cellStyle name="Normal 11" xfId="94"/>
    <cellStyle name="Normal 11 2" xfId="95"/>
    <cellStyle name="Normal 110" xfId="96"/>
    <cellStyle name="Normal 111" xfId="97"/>
    <cellStyle name="Normal 112" xfId="98"/>
    <cellStyle name="Normal 113" xfId="99"/>
    <cellStyle name="Normal 114" xfId="100"/>
    <cellStyle name="Normal 115" xfId="101"/>
    <cellStyle name="Normal 116" xfId="102"/>
    <cellStyle name="Normal 117" xfId="103"/>
    <cellStyle name="Normal 118" xfId="104"/>
    <cellStyle name="Normal 119" xfId="105"/>
    <cellStyle name="Normal 12" xfId="106"/>
    <cellStyle name="Normal 12 2" xfId="1024"/>
    <cellStyle name="Normal 12 2 2" xfId="1025"/>
    <cellStyle name="Normal 12 2 2 2" xfId="1714"/>
    <cellStyle name="Normal 12 2 2 2 2" xfId="4364"/>
    <cellStyle name="Normal 12 2 2 2 2 2" xfId="10174"/>
    <cellStyle name="Normal 12 2 2 2 2 3" xfId="7252"/>
    <cellStyle name="Normal 12 2 2 2 3" xfId="8729"/>
    <cellStyle name="Normal 12 2 2 2 4" xfId="5808"/>
    <cellStyle name="Normal 12 2 2 2 5" xfId="2917"/>
    <cellStyle name="Normal 12 2 2 3" xfId="3201"/>
    <cellStyle name="Normal 12 2 2 3 2" xfId="4645"/>
    <cellStyle name="Normal 12 2 2 3 2 2" xfId="10455"/>
    <cellStyle name="Normal 12 2 2 3 2 3" xfId="7533"/>
    <cellStyle name="Normal 12 2 2 3 3" xfId="9011"/>
    <cellStyle name="Normal 12 2 2 3 4" xfId="6089"/>
    <cellStyle name="Normal 12 2 2 4" xfId="3770"/>
    <cellStyle name="Normal 12 2 2 4 2" xfId="9580"/>
    <cellStyle name="Normal 12 2 2 4 3" xfId="6658"/>
    <cellStyle name="Normal 12 2 2 5" xfId="8107"/>
    <cellStyle name="Normal 12 2 2 6" xfId="5214"/>
    <cellStyle name="Normal 12 2 2 7" xfId="2323"/>
    <cellStyle name="Normal 12 2 3" xfId="1713"/>
    <cellStyle name="Normal 12 2 3 2" xfId="4363"/>
    <cellStyle name="Normal 12 2 3 2 2" xfId="10173"/>
    <cellStyle name="Normal 12 2 3 2 3" xfId="7251"/>
    <cellStyle name="Normal 12 2 3 3" xfId="8728"/>
    <cellStyle name="Normal 12 2 3 4" xfId="5807"/>
    <cellStyle name="Normal 12 2 3 5" xfId="2916"/>
    <cellStyle name="Normal 12 2 4" xfId="3200"/>
    <cellStyle name="Normal 12 2 4 2" xfId="4644"/>
    <cellStyle name="Normal 12 2 4 2 2" xfId="10454"/>
    <cellStyle name="Normal 12 2 4 2 3" xfId="7532"/>
    <cellStyle name="Normal 12 2 4 3" xfId="9010"/>
    <cellStyle name="Normal 12 2 4 4" xfId="6088"/>
    <cellStyle name="Normal 12 2 5" xfId="3769"/>
    <cellStyle name="Normal 12 2 5 2" xfId="9579"/>
    <cellStyle name="Normal 12 2 5 3" xfId="6657"/>
    <cellStyle name="Normal 12 2 6" xfId="8106"/>
    <cellStyle name="Normal 12 2 7" xfId="5213"/>
    <cellStyle name="Normal 12 2 8" xfId="2322"/>
    <cellStyle name="Normal 12 3" xfId="1026"/>
    <cellStyle name="Normal 12 3 2" xfId="1715"/>
    <cellStyle name="Normal 12 3 2 2" xfId="4365"/>
    <cellStyle name="Normal 12 3 2 2 2" xfId="10175"/>
    <cellStyle name="Normal 12 3 2 2 3" xfId="7253"/>
    <cellStyle name="Normal 12 3 2 3" xfId="8730"/>
    <cellStyle name="Normal 12 3 2 4" xfId="5809"/>
    <cellStyle name="Normal 12 3 2 5" xfId="2918"/>
    <cellStyle name="Normal 12 3 3" xfId="3202"/>
    <cellStyle name="Normal 12 3 3 2" xfId="4646"/>
    <cellStyle name="Normal 12 3 3 2 2" xfId="10456"/>
    <cellStyle name="Normal 12 3 3 2 3" xfId="7534"/>
    <cellStyle name="Normal 12 3 3 3" xfId="9012"/>
    <cellStyle name="Normal 12 3 3 4" xfId="6090"/>
    <cellStyle name="Normal 12 3 4" xfId="3771"/>
    <cellStyle name="Normal 12 3 4 2" xfId="9581"/>
    <cellStyle name="Normal 12 3 4 3" xfId="6659"/>
    <cellStyle name="Normal 12 3 5" xfId="8108"/>
    <cellStyle name="Normal 12 3 6" xfId="5215"/>
    <cellStyle name="Normal 12 3 7" xfId="2324"/>
    <cellStyle name="Normal 12 4" xfId="1027"/>
    <cellStyle name="Normal 12 4 2" xfId="1716"/>
    <cellStyle name="Normal 12 4 2 2" xfId="4366"/>
    <cellStyle name="Normal 12 4 2 2 2" xfId="10176"/>
    <cellStyle name="Normal 12 4 2 2 3" xfId="7254"/>
    <cellStyle name="Normal 12 4 2 3" xfId="8731"/>
    <cellStyle name="Normal 12 4 2 4" xfId="5810"/>
    <cellStyle name="Normal 12 4 2 5" xfId="2919"/>
    <cellStyle name="Normal 12 4 3" xfId="3203"/>
    <cellStyle name="Normal 12 4 3 2" xfId="4647"/>
    <cellStyle name="Normal 12 4 3 2 2" xfId="10457"/>
    <cellStyle name="Normal 12 4 3 2 3" xfId="7535"/>
    <cellStyle name="Normal 12 4 3 3" xfId="9013"/>
    <cellStyle name="Normal 12 4 3 4" xfId="6091"/>
    <cellStyle name="Normal 12 4 4" xfId="3772"/>
    <cellStyle name="Normal 12 4 4 2" xfId="9582"/>
    <cellStyle name="Normal 12 4 4 3" xfId="6660"/>
    <cellStyle name="Normal 12 4 5" xfId="8109"/>
    <cellStyle name="Normal 12 4 6" xfId="5216"/>
    <cellStyle name="Normal 12 4 7" xfId="2325"/>
    <cellStyle name="Normal 120" xfId="107"/>
    <cellStyle name="Normal 121" xfId="108"/>
    <cellStyle name="Normal 122" xfId="109"/>
    <cellStyle name="Normal 123" xfId="110"/>
    <cellStyle name="Normal 124" xfId="111"/>
    <cellStyle name="Normal 125" xfId="112"/>
    <cellStyle name="Normal 126" xfId="113"/>
    <cellStyle name="Normal 127" xfId="114"/>
    <cellStyle name="Normal 128" xfId="115"/>
    <cellStyle name="Normal 129" xfId="116"/>
    <cellStyle name="Normal 13" xfId="117"/>
    <cellStyle name="Normal 13 2" xfId="118"/>
    <cellStyle name="Normal 130" xfId="119"/>
    <cellStyle name="Normal 131" xfId="120"/>
    <cellStyle name="Normal 132" xfId="121"/>
    <cellStyle name="Normal 133" xfId="122"/>
    <cellStyle name="Normal 134" xfId="123"/>
    <cellStyle name="Normal 135" xfId="124"/>
    <cellStyle name="Normal 136" xfId="125"/>
    <cellStyle name="Normal 137" xfId="126"/>
    <cellStyle name="Normal 138" xfId="127"/>
    <cellStyle name="Normal 139" xfId="128"/>
    <cellStyle name="Normal 14" xfId="129"/>
    <cellStyle name="Normal 14 2" xfId="1028"/>
    <cellStyle name="Normal 14 2 2" xfId="1029"/>
    <cellStyle name="Normal 14 2 2 2" xfId="1718"/>
    <cellStyle name="Normal 14 2 2 2 2" xfId="4368"/>
    <cellStyle name="Normal 14 2 2 2 2 2" xfId="10178"/>
    <cellStyle name="Normal 14 2 2 2 2 3" xfId="7256"/>
    <cellStyle name="Normal 14 2 2 2 3" xfId="8733"/>
    <cellStyle name="Normal 14 2 2 2 4" xfId="5812"/>
    <cellStyle name="Normal 14 2 2 2 5" xfId="2921"/>
    <cellStyle name="Normal 14 2 2 3" xfId="3205"/>
    <cellStyle name="Normal 14 2 2 3 2" xfId="4649"/>
    <cellStyle name="Normal 14 2 2 3 2 2" xfId="10459"/>
    <cellStyle name="Normal 14 2 2 3 2 3" xfId="7537"/>
    <cellStyle name="Normal 14 2 2 3 3" xfId="9015"/>
    <cellStyle name="Normal 14 2 2 3 4" xfId="6093"/>
    <cellStyle name="Normal 14 2 2 4" xfId="3774"/>
    <cellStyle name="Normal 14 2 2 4 2" xfId="9584"/>
    <cellStyle name="Normal 14 2 2 4 3" xfId="6662"/>
    <cellStyle name="Normal 14 2 2 5" xfId="8111"/>
    <cellStyle name="Normal 14 2 2 6" xfId="5218"/>
    <cellStyle name="Normal 14 2 2 7" xfId="2327"/>
    <cellStyle name="Normal 14 2 3" xfId="1717"/>
    <cellStyle name="Normal 14 2 3 2" xfId="4367"/>
    <cellStyle name="Normal 14 2 3 2 2" xfId="10177"/>
    <cellStyle name="Normal 14 2 3 2 3" xfId="7255"/>
    <cellStyle name="Normal 14 2 3 3" xfId="8732"/>
    <cellStyle name="Normal 14 2 3 4" xfId="5811"/>
    <cellStyle name="Normal 14 2 3 5" xfId="2920"/>
    <cellStyle name="Normal 14 2 4" xfId="3204"/>
    <cellStyle name="Normal 14 2 4 2" xfId="4648"/>
    <cellStyle name="Normal 14 2 4 2 2" xfId="10458"/>
    <cellStyle name="Normal 14 2 4 2 3" xfId="7536"/>
    <cellStyle name="Normal 14 2 4 3" xfId="9014"/>
    <cellStyle name="Normal 14 2 4 4" xfId="6092"/>
    <cellStyle name="Normal 14 2 5" xfId="3773"/>
    <cellStyle name="Normal 14 2 5 2" xfId="9583"/>
    <cellStyle name="Normal 14 2 5 3" xfId="6661"/>
    <cellStyle name="Normal 14 2 6" xfId="8110"/>
    <cellStyle name="Normal 14 2 7" xfId="5217"/>
    <cellStyle name="Normal 14 2 8" xfId="2326"/>
    <cellStyle name="Normal 14 3" xfId="1030"/>
    <cellStyle name="Normal 14 3 2" xfId="1719"/>
    <cellStyle name="Normal 14 3 2 2" xfId="4369"/>
    <cellStyle name="Normal 14 3 2 2 2" xfId="10179"/>
    <cellStyle name="Normal 14 3 2 2 3" xfId="7257"/>
    <cellStyle name="Normal 14 3 2 3" xfId="8734"/>
    <cellStyle name="Normal 14 3 2 4" xfId="5813"/>
    <cellStyle name="Normal 14 3 2 5" xfId="2922"/>
    <cellStyle name="Normal 14 3 3" xfId="3206"/>
    <cellStyle name="Normal 14 3 3 2" xfId="4650"/>
    <cellStyle name="Normal 14 3 3 2 2" xfId="10460"/>
    <cellStyle name="Normal 14 3 3 2 3" xfId="7538"/>
    <cellStyle name="Normal 14 3 3 3" xfId="9016"/>
    <cellStyle name="Normal 14 3 3 4" xfId="6094"/>
    <cellStyle name="Normal 14 3 4" xfId="3775"/>
    <cellStyle name="Normal 14 3 4 2" xfId="9585"/>
    <cellStyle name="Normal 14 3 4 3" xfId="6663"/>
    <cellStyle name="Normal 14 3 5" xfId="8112"/>
    <cellStyle name="Normal 14 3 6" xfId="5219"/>
    <cellStyle name="Normal 14 3 7" xfId="2328"/>
    <cellStyle name="Normal 14 4" xfId="1031"/>
    <cellStyle name="Normal 14 4 2" xfId="1720"/>
    <cellStyle name="Normal 14 4 2 2" xfId="4370"/>
    <cellStyle name="Normal 14 4 2 2 2" xfId="10180"/>
    <cellStyle name="Normal 14 4 2 2 3" xfId="7258"/>
    <cellStyle name="Normal 14 4 2 3" xfId="8735"/>
    <cellStyle name="Normal 14 4 2 4" xfId="5814"/>
    <cellStyle name="Normal 14 4 2 5" xfId="2923"/>
    <cellStyle name="Normal 14 4 3" xfId="3207"/>
    <cellStyle name="Normal 14 4 3 2" xfId="4651"/>
    <cellStyle name="Normal 14 4 3 2 2" xfId="10461"/>
    <cellStyle name="Normal 14 4 3 2 3" xfId="7539"/>
    <cellStyle name="Normal 14 4 3 3" xfId="9017"/>
    <cellStyle name="Normal 14 4 3 4" xfId="6095"/>
    <cellStyle name="Normal 14 4 4" xfId="3776"/>
    <cellStyle name="Normal 14 4 4 2" xfId="9586"/>
    <cellStyle name="Normal 14 4 4 3" xfId="6664"/>
    <cellStyle name="Normal 14 4 5" xfId="8113"/>
    <cellStyle name="Normal 14 4 6" xfId="5220"/>
    <cellStyle name="Normal 14 4 7" xfId="2329"/>
    <cellStyle name="Normal 140" xfId="130"/>
    <cellStyle name="Normal 141" xfId="131"/>
    <cellStyle name="Normal 142" xfId="132"/>
    <cellStyle name="Normal 143" xfId="133"/>
    <cellStyle name="Normal 144" xfId="134"/>
    <cellStyle name="Normal 145" xfId="135"/>
    <cellStyle name="Normal 146" xfId="136"/>
    <cellStyle name="Normal 147" xfId="137"/>
    <cellStyle name="Normal 148" xfId="138"/>
    <cellStyle name="Normal 149" xfId="139"/>
    <cellStyle name="Normal 15" xfId="140"/>
    <cellStyle name="Normal 15 2" xfId="1032"/>
    <cellStyle name="Normal 15 2 2" xfId="1033"/>
    <cellStyle name="Normal 15 2 2 2" xfId="1722"/>
    <cellStyle name="Normal 15 2 2 2 2" xfId="4372"/>
    <cellStyle name="Normal 15 2 2 2 2 2" xfId="10182"/>
    <cellStyle name="Normal 15 2 2 2 2 3" xfId="7260"/>
    <cellStyle name="Normal 15 2 2 2 3" xfId="8737"/>
    <cellStyle name="Normal 15 2 2 2 4" xfId="5816"/>
    <cellStyle name="Normal 15 2 2 2 5" xfId="2925"/>
    <cellStyle name="Normal 15 2 2 3" xfId="3209"/>
    <cellStyle name="Normal 15 2 2 3 2" xfId="4653"/>
    <cellStyle name="Normal 15 2 2 3 2 2" xfId="10463"/>
    <cellStyle name="Normal 15 2 2 3 2 3" xfId="7541"/>
    <cellStyle name="Normal 15 2 2 3 3" xfId="9019"/>
    <cellStyle name="Normal 15 2 2 3 4" xfId="6097"/>
    <cellStyle name="Normal 15 2 2 4" xfId="3778"/>
    <cellStyle name="Normal 15 2 2 4 2" xfId="9588"/>
    <cellStyle name="Normal 15 2 2 4 3" xfId="6666"/>
    <cellStyle name="Normal 15 2 2 5" xfId="8115"/>
    <cellStyle name="Normal 15 2 2 6" xfId="5222"/>
    <cellStyle name="Normal 15 2 2 7" xfId="2331"/>
    <cellStyle name="Normal 15 2 3" xfId="1721"/>
    <cellStyle name="Normal 15 2 3 2" xfId="4371"/>
    <cellStyle name="Normal 15 2 3 2 2" xfId="10181"/>
    <cellStyle name="Normal 15 2 3 2 3" xfId="7259"/>
    <cellStyle name="Normal 15 2 3 3" xfId="8736"/>
    <cellStyle name="Normal 15 2 3 4" xfId="5815"/>
    <cellStyle name="Normal 15 2 3 5" xfId="2924"/>
    <cellStyle name="Normal 15 2 4" xfId="3208"/>
    <cellStyle name="Normal 15 2 4 2" xfId="4652"/>
    <cellStyle name="Normal 15 2 4 2 2" xfId="10462"/>
    <cellStyle name="Normal 15 2 4 2 3" xfId="7540"/>
    <cellStyle name="Normal 15 2 4 3" xfId="9018"/>
    <cellStyle name="Normal 15 2 4 4" xfId="6096"/>
    <cellStyle name="Normal 15 2 5" xfId="3777"/>
    <cellStyle name="Normal 15 2 5 2" xfId="9587"/>
    <cellStyle name="Normal 15 2 5 3" xfId="6665"/>
    <cellStyle name="Normal 15 2 6" xfId="8114"/>
    <cellStyle name="Normal 15 2 7" xfId="5221"/>
    <cellStyle name="Normal 15 2 8" xfId="2330"/>
    <cellStyle name="Normal 15 3" xfId="1034"/>
    <cellStyle name="Normal 15 3 2" xfId="1723"/>
    <cellStyle name="Normal 15 3 2 2" xfId="4373"/>
    <cellStyle name="Normal 15 3 2 2 2" xfId="10183"/>
    <cellStyle name="Normal 15 3 2 2 3" xfId="7261"/>
    <cellStyle name="Normal 15 3 2 3" xfId="8738"/>
    <cellStyle name="Normal 15 3 2 4" xfId="5817"/>
    <cellStyle name="Normal 15 3 2 5" xfId="2926"/>
    <cellStyle name="Normal 15 3 3" xfId="3210"/>
    <cellStyle name="Normal 15 3 3 2" xfId="4654"/>
    <cellStyle name="Normal 15 3 3 2 2" xfId="10464"/>
    <cellStyle name="Normal 15 3 3 2 3" xfId="7542"/>
    <cellStyle name="Normal 15 3 3 3" xfId="9020"/>
    <cellStyle name="Normal 15 3 3 4" xfId="6098"/>
    <cellStyle name="Normal 15 3 4" xfId="3779"/>
    <cellStyle name="Normal 15 3 4 2" xfId="9589"/>
    <cellStyle name="Normal 15 3 4 3" xfId="6667"/>
    <cellStyle name="Normal 15 3 5" xfId="8116"/>
    <cellStyle name="Normal 15 3 6" xfId="5223"/>
    <cellStyle name="Normal 15 3 7" xfId="2332"/>
    <cellStyle name="Normal 15 4" xfId="1035"/>
    <cellStyle name="Normal 15 4 2" xfId="1724"/>
    <cellStyle name="Normal 15 4 2 2" xfId="4374"/>
    <cellStyle name="Normal 15 4 2 2 2" xfId="10184"/>
    <cellStyle name="Normal 15 4 2 2 3" xfId="7262"/>
    <cellStyle name="Normal 15 4 2 3" xfId="8739"/>
    <cellStyle name="Normal 15 4 2 4" xfId="5818"/>
    <cellStyle name="Normal 15 4 2 5" xfId="2927"/>
    <cellStyle name="Normal 15 4 3" xfId="3211"/>
    <cellStyle name="Normal 15 4 3 2" xfId="4655"/>
    <cellStyle name="Normal 15 4 3 2 2" xfId="10465"/>
    <cellStyle name="Normal 15 4 3 2 3" xfId="7543"/>
    <cellStyle name="Normal 15 4 3 3" xfId="9021"/>
    <cellStyle name="Normal 15 4 3 4" xfId="6099"/>
    <cellStyle name="Normal 15 4 4" xfId="3780"/>
    <cellStyle name="Normal 15 4 4 2" xfId="9590"/>
    <cellStyle name="Normal 15 4 4 3" xfId="6668"/>
    <cellStyle name="Normal 15 4 5" xfId="8117"/>
    <cellStyle name="Normal 15 4 6" xfId="5224"/>
    <cellStyle name="Normal 15 4 7" xfId="2333"/>
    <cellStyle name="Normal 150" xfId="141"/>
    <cellStyle name="Normal 151" xfId="142"/>
    <cellStyle name="Normal 152" xfId="143"/>
    <cellStyle name="Normal 153" xfId="144"/>
    <cellStyle name="Normal 154" xfId="145"/>
    <cellStyle name="Normal 155" xfId="146"/>
    <cellStyle name="Normal 156" xfId="147"/>
    <cellStyle name="Normal 157" xfId="148"/>
    <cellStyle name="Normal 158" xfId="149"/>
    <cellStyle name="Normal 159" xfId="150"/>
    <cellStyle name="Normal 16" xfId="151"/>
    <cellStyle name="Normal 16 2" xfId="1036"/>
    <cellStyle name="Normal 160" xfId="152"/>
    <cellStyle name="Normal 161" xfId="153"/>
    <cellStyle name="Normal 162" xfId="154"/>
    <cellStyle name="Normal 163" xfId="155"/>
    <cellStyle name="Normal 164" xfId="156"/>
    <cellStyle name="Normal 165" xfId="157"/>
    <cellStyle name="Normal 166" xfId="158"/>
    <cellStyle name="Normal 167" xfId="159"/>
    <cellStyle name="Normal 168" xfId="160"/>
    <cellStyle name="Normal 169" xfId="161"/>
    <cellStyle name="Normal 17" xfId="162"/>
    <cellStyle name="Normal 17 2" xfId="1037"/>
    <cellStyle name="Normal 170" xfId="163"/>
    <cellStyle name="Normal 170 10" xfId="1895"/>
    <cellStyle name="Normal 170 2" xfId="164"/>
    <cellStyle name="Normal 170 3" xfId="1038"/>
    <cellStyle name="Normal 170 3 2" xfId="1725"/>
    <cellStyle name="Normal 170 3 2 2" xfId="4375"/>
    <cellStyle name="Normal 170 3 2 2 2" xfId="10185"/>
    <cellStyle name="Normal 170 3 2 2 3" xfId="7263"/>
    <cellStyle name="Normal 170 3 2 3" xfId="8740"/>
    <cellStyle name="Normal 170 3 2 4" xfId="5819"/>
    <cellStyle name="Normal 170 3 2 5" xfId="2928"/>
    <cellStyle name="Normal 170 3 3" xfId="3781"/>
    <cellStyle name="Normal 170 3 3 2" xfId="9591"/>
    <cellStyle name="Normal 170 3 3 3" xfId="6669"/>
    <cellStyle name="Normal 170 3 4" xfId="8118"/>
    <cellStyle name="Normal 170 3 5" xfId="5225"/>
    <cellStyle name="Normal 170 3 6" xfId="2334"/>
    <cellStyle name="Normal 170 4" xfId="537"/>
    <cellStyle name="Normal 170 4 2" xfId="1441"/>
    <cellStyle name="Normal 170 4 2 2" xfId="4111"/>
    <cellStyle name="Normal 170 4 2 2 2" xfId="9921"/>
    <cellStyle name="Normal 170 4 2 2 3" xfId="6999"/>
    <cellStyle name="Normal 170 4 2 3" xfId="8456"/>
    <cellStyle name="Normal 170 4 2 4" xfId="5555"/>
    <cellStyle name="Normal 170 4 2 5" xfId="2664"/>
    <cellStyle name="Normal 170 4 3" xfId="3517"/>
    <cellStyle name="Normal 170 4 3 2" xfId="9327"/>
    <cellStyle name="Normal 170 4 3 3" xfId="6405"/>
    <cellStyle name="Normal 170 4 4" xfId="7854"/>
    <cellStyle name="Normal 170 4 5" xfId="4961"/>
    <cellStyle name="Normal 170 4 6" xfId="2070"/>
    <cellStyle name="Normal 170 5" xfId="1266"/>
    <cellStyle name="Normal 170 5 2" xfId="3936"/>
    <cellStyle name="Normal 170 5 2 2" xfId="9746"/>
    <cellStyle name="Normal 170 5 2 3" xfId="6824"/>
    <cellStyle name="Normal 170 5 3" xfId="8281"/>
    <cellStyle name="Normal 170 5 4" xfId="5380"/>
    <cellStyle name="Normal 170 5 5" xfId="2489"/>
    <cellStyle name="Normal 170 6" xfId="3212"/>
    <cellStyle name="Normal 170 6 2" xfId="4656"/>
    <cellStyle name="Normal 170 6 2 2" xfId="10466"/>
    <cellStyle name="Normal 170 6 2 3" xfId="7544"/>
    <cellStyle name="Normal 170 6 3" xfId="9022"/>
    <cellStyle name="Normal 170 6 4" xfId="6100"/>
    <cellStyle name="Normal 170 7" xfId="3342"/>
    <cellStyle name="Normal 170 7 2" xfId="9152"/>
    <cellStyle name="Normal 170 7 3" xfId="6230"/>
    <cellStyle name="Normal 170 8" xfId="7674"/>
    <cellStyle name="Normal 170 9" xfId="4786"/>
    <cellStyle name="Normal 171" xfId="165"/>
    <cellStyle name="Normal 171 2" xfId="1039"/>
    <cellStyle name="Normal 171 2 2" xfId="1726"/>
    <cellStyle name="Normal 171 2 2 2" xfId="4376"/>
    <cellStyle name="Normal 171 2 2 2 2" xfId="10186"/>
    <cellStyle name="Normal 171 2 2 2 3" xfId="7264"/>
    <cellStyle name="Normal 171 2 2 3" xfId="8741"/>
    <cellStyle name="Normal 171 2 2 4" xfId="5820"/>
    <cellStyle name="Normal 171 2 2 5" xfId="2929"/>
    <cellStyle name="Normal 171 2 3" xfId="3782"/>
    <cellStyle name="Normal 171 2 3 2" xfId="9592"/>
    <cellStyle name="Normal 171 2 3 3" xfId="6670"/>
    <cellStyle name="Normal 171 2 4" xfId="8119"/>
    <cellStyle name="Normal 171 2 5" xfId="5226"/>
    <cellStyle name="Normal 171 2 6" xfId="2335"/>
    <cellStyle name="Normal 171 3" xfId="538"/>
    <cellStyle name="Normal 171 3 2" xfId="1442"/>
    <cellStyle name="Normal 171 3 2 2" xfId="4112"/>
    <cellStyle name="Normal 171 3 2 2 2" xfId="9922"/>
    <cellStyle name="Normal 171 3 2 2 3" xfId="7000"/>
    <cellStyle name="Normal 171 3 2 3" xfId="8457"/>
    <cellStyle name="Normal 171 3 2 4" xfId="5556"/>
    <cellStyle name="Normal 171 3 2 5" xfId="2665"/>
    <cellStyle name="Normal 171 3 3" xfId="3518"/>
    <cellStyle name="Normal 171 3 3 2" xfId="9328"/>
    <cellStyle name="Normal 171 3 3 3" xfId="6406"/>
    <cellStyle name="Normal 171 3 4" xfId="7855"/>
    <cellStyle name="Normal 171 3 5" xfId="4962"/>
    <cellStyle name="Normal 171 3 6" xfId="2071"/>
    <cellStyle name="Normal 171 4" xfId="1267"/>
    <cellStyle name="Normal 171 4 2" xfId="3937"/>
    <cellStyle name="Normal 171 4 2 2" xfId="9747"/>
    <cellStyle name="Normal 171 4 2 3" xfId="6825"/>
    <cellStyle name="Normal 171 4 3" xfId="8282"/>
    <cellStyle name="Normal 171 4 4" xfId="5381"/>
    <cellStyle name="Normal 171 4 5" xfId="2490"/>
    <cellStyle name="Normal 171 5" xfId="3213"/>
    <cellStyle name="Normal 171 5 2" xfId="4657"/>
    <cellStyle name="Normal 171 5 2 2" xfId="10467"/>
    <cellStyle name="Normal 171 5 2 3" xfId="7545"/>
    <cellStyle name="Normal 171 5 3" xfId="9023"/>
    <cellStyle name="Normal 171 5 4" xfId="6101"/>
    <cellStyle name="Normal 171 6" xfId="3343"/>
    <cellStyle name="Normal 171 6 2" xfId="9153"/>
    <cellStyle name="Normal 171 6 3" xfId="6231"/>
    <cellStyle name="Normal 171 7" xfId="7675"/>
    <cellStyle name="Normal 171 8" xfId="4787"/>
    <cellStyle name="Normal 171 9" xfId="1896"/>
    <cellStyle name="Normal 172" xfId="166"/>
    <cellStyle name="Normal 172 2" xfId="1040"/>
    <cellStyle name="Normal 172 2 2" xfId="1727"/>
    <cellStyle name="Normal 172 2 2 2" xfId="4377"/>
    <cellStyle name="Normal 172 2 2 2 2" xfId="10187"/>
    <cellStyle name="Normal 172 2 2 2 3" xfId="7265"/>
    <cellStyle name="Normal 172 2 2 3" xfId="8742"/>
    <cellStyle name="Normal 172 2 2 4" xfId="5821"/>
    <cellStyle name="Normal 172 2 2 5" xfId="2930"/>
    <cellStyle name="Normal 172 2 3" xfId="3783"/>
    <cellStyle name="Normal 172 2 3 2" xfId="9593"/>
    <cellStyle name="Normal 172 2 3 3" xfId="6671"/>
    <cellStyle name="Normal 172 2 4" xfId="8120"/>
    <cellStyle name="Normal 172 2 5" xfId="5227"/>
    <cellStyle name="Normal 172 2 6" xfId="2336"/>
    <cellStyle name="Normal 172 3" xfId="539"/>
    <cellStyle name="Normal 172 3 2" xfId="1443"/>
    <cellStyle name="Normal 172 3 2 2" xfId="4113"/>
    <cellStyle name="Normal 172 3 2 2 2" xfId="9923"/>
    <cellStyle name="Normal 172 3 2 2 3" xfId="7001"/>
    <cellStyle name="Normal 172 3 2 3" xfId="8458"/>
    <cellStyle name="Normal 172 3 2 4" xfId="5557"/>
    <cellStyle name="Normal 172 3 2 5" xfId="2666"/>
    <cellStyle name="Normal 172 3 3" xfId="3519"/>
    <cellStyle name="Normal 172 3 3 2" xfId="9329"/>
    <cellStyle name="Normal 172 3 3 3" xfId="6407"/>
    <cellStyle name="Normal 172 3 4" xfId="7856"/>
    <cellStyle name="Normal 172 3 5" xfId="4963"/>
    <cellStyle name="Normal 172 3 6" xfId="2072"/>
    <cellStyle name="Normal 172 4" xfId="1268"/>
    <cellStyle name="Normal 172 4 2" xfId="3938"/>
    <cellStyle name="Normal 172 4 2 2" xfId="9748"/>
    <cellStyle name="Normal 172 4 2 3" xfId="6826"/>
    <cellStyle name="Normal 172 4 3" xfId="8283"/>
    <cellStyle name="Normal 172 4 4" xfId="5382"/>
    <cellStyle name="Normal 172 4 5" xfId="2491"/>
    <cellStyle name="Normal 172 5" xfId="3214"/>
    <cellStyle name="Normal 172 5 2" xfId="4658"/>
    <cellStyle name="Normal 172 5 2 2" xfId="10468"/>
    <cellStyle name="Normal 172 5 2 3" xfId="7546"/>
    <cellStyle name="Normal 172 5 3" xfId="9024"/>
    <cellStyle name="Normal 172 5 4" xfId="6102"/>
    <cellStyle name="Normal 172 6" xfId="3344"/>
    <cellStyle name="Normal 172 6 2" xfId="9154"/>
    <cellStyle name="Normal 172 6 3" xfId="6232"/>
    <cellStyle name="Normal 172 7" xfId="7676"/>
    <cellStyle name="Normal 172 8" xfId="4788"/>
    <cellStyle name="Normal 172 9" xfId="1897"/>
    <cellStyle name="Normal 173" xfId="167"/>
    <cellStyle name="Normal 174" xfId="168"/>
    <cellStyle name="Normal 175" xfId="169"/>
    <cellStyle name="Normal 176" xfId="170"/>
    <cellStyle name="Normal 176 2" xfId="1041"/>
    <cellStyle name="Normal 176 2 2" xfId="1728"/>
    <cellStyle name="Normal 176 2 2 2" xfId="4378"/>
    <cellStyle name="Normal 176 2 2 2 2" xfId="10188"/>
    <cellStyle name="Normal 176 2 2 2 3" xfId="7266"/>
    <cellStyle name="Normal 176 2 2 3" xfId="8743"/>
    <cellStyle name="Normal 176 2 2 4" xfId="5822"/>
    <cellStyle name="Normal 176 2 2 5" xfId="2931"/>
    <cellStyle name="Normal 176 2 3" xfId="3784"/>
    <cellStyle name="Normal 176 2 3 2" xfId="9594"/>
    <cellStyle name="Normal 176 2 3 3" xfId="6672"/>
    <cellStyle name="Normal 176 2 4" xfId="8121"/>
    <cellStyle name="Normal 176 2 5" xfId="5228"/>
    <cellStyle name="Normal 176 2 6" xfId="2337"/>
    <cellStyle name="Normal 176 3" xfId="540"/>
    <cellStyle name="Normal 176 3 2" xfId="1444"/>
    <cellStyle name="Normal 176 3 2 2" xfId="4114"/>
    <cellStyle name="Normal 176 3 2 2 2" xfId="9924"/>
    <cellStyle name="Normal 176 3 2 2 3" xfId="7002"/>
    <cellStyle name="Normal 176 3 2 3" xfId="8459"/>
    <cellStyle name="Normal 176 3 2 4" xfId="5558"/>
    <cellStyle name="Normal 176 3 2 5" xfId="2667"/>
    <cellStyle name="Normal 176 3 3" xfId="3520"/>
    <cellStyle name="Normal 176 3 3 2" xfId="9330"/>
    <cellStyle name="Normal 176 3 3 3" xfId="6408"/>
    <cellStyle name="Normal 176 3 4" xfId="7857"/>
    <cellStyle name="Normal 176 3 5" xfId="4964"/>
    <cellStyle name="Normal 176 3 6" xfId="2073"/>
    <cellStyle name="Normal 176 4" xfId="1269"/>
    <cellStyle name="Normal 176 4 2" xfId="3939"/>
    <cellStyle name="Normal 176 4 2 2" xfId="9749"/>
    <cellStyle name="Normal 176 4 2 3" xfId="6827"/>
    <cellStyle name="Normal 176 4 3" xfId="8284"/>
    <cellStyle name="Normal 176 4 4" xfId="5383"/>
    <cellStyle name="Normal 176 4 5" xfId="2492"/>
    <cellStyle name="Normal 176 5" xfId="3215"/>
    <cellStyle name="Normal 176 5 2" xfId="4659"/>
    <cellStyle name="Normal 176 5 2 2" xfId="10469"/>
    <cellStyle name="Normal 176 5 2 3" xfId="7547"/>
    <cellStyle name="Normal 176 5 3" xfId="9025"/>
    <cellStyle name="Normal 176 5 4" xfId="6103"/>
    <cellStyle name="Normal 176 6" xfId="3345"/>
    <cellStyle name="Normal 176 6 2" xfId="9155"/>
    <cellStyle name="Normal 176 6 3" xfId="6233"/>
    <cellStyle name="Normal 176 7" xfId="7677"/>
    <cellStyle name="Normal 176 8" xfId="4789"/>
    <cellStyle name="Normal 176 9" xfId="1898"/>
    <cellStyle name="Normal 177" xfId="171"/>
    <cellStyle name="Normal 178" xfId="172"/>
    <cellStyle name="Normal 178 2" xfId="1042"/>
    <cellStyle name="Normal 178 2 2" xfId="1729"/>
    <cellStyle name="Normal 178 2 2 2" xfId="4379"/>
    <cellStyle name="Normal 178 2 2 2 2" xfId="10189"/>
    <cellStyle name="Normal 178 2 2 2 3" xfId="7267"/>
    <cellStyle name="Normal 178 2 2 3" xfId="8744"/>
    <cellStyle name="Normal 178 2 2 4" xfId="5823"/>
    <cellStyle name="Normal 178 2 2 5" xfId="2932"/>
    <cellStyle name="Normal 178 2 3" xfId="3785"/>
    <cellStyle name="Normal 178 2 3 2" xfId="9595"/>
    <cellStyle name="Normal 178 2 3 3" xfId="6673"/>
    <cellStyle name="Normal 178 2 4" xfId="8122"/>
    <cellStyle name="Normal 178 2 5" xfId="5229"/>
    <cellStyle name="Normal 178 2 6" xfId="2338"/>
    <cellStyle name="Normal 178 3" xfId="541"/>
    <cellStyle name="Normal 178 3 2" xfId="1445"/>
    <cellStyle name="Normal 178 3 2 2" xfId="4115"/>
    <cellStyle name="Normal 178 3 2 2 2" xfId="9925"/>
    <cellStyle name="Normal 178 3 2 2 3" xfId="7003"/>
    <cellStyle name="Normal 178 3 2 3" xfId="8460"/>
    <cellStyle name="Normal 178 3 2 4" xfId="5559"/>
    <cellStyle name="Normal 178 3 2 5" xfId="2668"/>
    <cellStyle name="Normal 178 3 3" xfId="3521"/>
    <cellStyle name="Normal 178 3 3 2" xfId="9331"/>
    <cellStyle name="Normal 178 3 3 3" xfId="6409"/>
    <cellStyle name="Normal 178 3 4" xfId="7858"/>
    <cellStyle name="Normal 178 3 5" xfId="4965"/>
    <cellStyle name="Normal 178 3 6" xfId="2074"/>
    <cellStyle name="Normal 178 4" xfId="1270"/>
    <cellStyle name="Normal 178 4 2" xfId="3940"/>
    <cellStyle name="Normal 178 4 2 2" xfId="9750"/>
    <cellStyle name="Normal 178 4 2 3" xfId="6828"/>
    <cellStyle name="Normal 178 4 3" xfId="8285"/>
    <cellStyle name="Normal 178 4 4" xfId="5384"/>
    <cellStyle name="Normal 178 4 5" xfId="2493"/>
    <cellStyle name="Normal 178 5" xfId="3216"/>
    <cellStyle name="Normal 178 5 2" xfId="4660"/>
    <cellStyle name="Normal 178 5 2 2" xfId="10470"/>
    <cellStyle name="Normal 178 5 2 3" xfId="7548"/>
    <cellStyle name="Normal 178 5 3" xfId="9026"/>
    <cellStyle name="Normal 178 5 4" xfId="6104"/>
    <cellStyle name="Normal 178 6" xfId="3346"/>
    <cellStyle name="Normal 178 6 2" xfId="9156"/>
    <cellStyle name="Normal 178 6 3" xfId="6234"/>
    <cellStyle name="Normal 178 7" xfId="7678"/>
    <cellStyle name="Normal 178 8" xfId="4790"/>
    <cellStyle name="Normal 178 9" xfId="1899"/>
    <cellStyle name="Normal 179" xfId="388"/>
    <cellStyle name="Normal 179 2" xfId="1043"/>
    <cellStyle name="Normal 179 2 2" xfId="1730"/>
    <cellStyle name="Normal 179 2 2 2" xfId="4380"/>
    <cellStyle name="Normal 179 2 2 2 2" xfId="10190"/>
    <cellStyle name="Normal 179 2 2 2 3" xfId="7268"/>
    <cellStyle name="Normal 179 2 2 3" xfId="8745"/>
    <cellStyle name="Normal 179 2 2 4" xfId="5824"/>
    <cellStyle name="Normal 179 2 2 5" xfId="2933"/>
    <cellStyle name="Normal 179 2 3" xfId="3786"/>
    <cellStyle name="Normal 179 2 3 2" xfId="9596"/>
    <cellStyle name="Normal 179 2 3 3" xfId="6674"/>
    <cellStyle name="Normal 179 2 4" xfId="8123"/>
    <cellStyle name="Normal 179 2 5" xfId="5230"/>
    <cellStyle name="Normal 179 2 6" xfId="2339"/>
    <cellStyle name="Normal 179 3" xfId="570"/>
    <cellStyle name="Normal 179 3 2" xfId="1474"/>
    <cellStyle name="Normal 179 3 2 2" xfId="4144"/>
    <cellStyle name="Normal 179 3 2 2 2" xfId="9954"/>
    <cellStyle name="Normal 179 3 2 2 3" xfId="7032"/>
    <cellStyle name="Normal 179 3 2 3" xfId="8489"/>
    <cellStyle name="Normal 179 3 2 4" xfId="5588"/>
    <cellStyle name="Normal 179 3 2 5" xfId="2697"/>
    <cellStyle name="Normal 179 3 3" xfId="3550"/>
    <cellStyle name="Normal 179 3 3 2" xfId="9360"/>
    <cellStyle name="Normal 179 3 3 3" xfId="6438"/>
    <cellStyle name="Normal 179 3 4" xfId="7887"/>
    <cellStyle name="Normal 179 3 5" xfId="4994"/>
    <cellStyle name="Normal 179 3 6" xfId="2103"/>
    <cellStyle name="Normal 179 4" xfId="1299"/>
    <cellStyle name="Normal 179 4 2" xfId="3969"/>
    <cellStyle name="Normal 179 4 2 2" xfId="9779"/>
    <cellStyle name="Normal 179 4 2 3" xfId="6857"/>
    <cellStyle name="Normal 179 4 3" xfId="8314"/>
    <cellStyle name="Normal 179 4 4" xfId="5413"/>
    <cellStyle name="Normal 179 4 5" xfId="2522"/>
    <cellStyle name="Normal 179 5" xfId="3217"/>
    <cellStyle name="Normal 179 5 2" xfId="4661"/>
    <cellStyle name="Normal 179 5 2 2" xfId="10471"/>
    <cellStyle name="Normal 179 5 2 3" xfId="7549"/>
    <cellStyle name="Normal 179 5 3" xfId="9027"/>
    <cellStyle name="Normal 179 5 4" xfId="6105"/>
    <cellStyle name="Normal 179 6" xfId="3375"/>
    <cellStyle name="Normal 179 6 2" xfId="9185"/>
    <cellStyle name="Normal 179 6 3" xfId="6263"/>
    <cellStyle name="Normal 179 7" xfId="7712"/>
    <cellStyle name="Normal 179 8" xfId="4819"/>
    <cellStyle name="Normal 179 9" xfId="1928"/>
    <cellStyle name="Normal 18" xfId="173"/>
    <cellStyle name="Normal 18 2" xfId="1044"/>
    <cellStyle name="Normal 180" xfId="389"/>
    <cellStyle name="Normal 180 2" xfId="1045"/>
    <cellStyle name="Normal 180 2 2" xfId="1731"/>
    <cellStyle name="Normal 180 2 2 2" xfId="4381"/>
    <cellStyle name="Normal 180 2 2 2 2" xfId="10191"/>
    <cellStyle name="Normal 180 2 2 2 3" xfId="7269"/>
    <cellStyle name="Normal 180 2 2 3" xfId="8746"/>
    <cellStyle name="Normal 180 2 2 4" xfId="5825"/>
    <cellStyle name="Normal 180 2 2 5" xfId="2934"/>
    <cellStyle name="Normal 180 2 3" xfId="3787"/>
    <cellStyle name="Normal 180 2 3 2" xfId="9597"/>
    <cellStyle name="Normal 180 2 3 3" xfId="6675"/>
    <cellStyle name="Normal 180 2 4" xfId="8124"/>
    <cellStyle name="Normal 180 2 5" xfId="5231"/>
    <cellStyle name="Normal 180 2 6" xfId="2340"/>
    <cellStyle name="Normal 180 3" xfId="571"/>
    <cellStyle name="Normal 180 3 2" xfId="1475"/>
    <cellStyle name="Normal 180 3 2 2" xfId="4145"/>
    <cellStyle name="Normal 180 3 2 2 2" xfId="9955"/>
    <cellStyle name="Normal 180 3 2 2 3" xfId="7033"/>
    <cellStyle name="Normal 180 3 2 3" xfId="8490"/>
    <cellStyle name="Normal 180 3 2 4" xfId="5589"/>
    <cellStyle name="Normal 180 3 2 5" xfId="2698"/>
    <cellStyle name="Normal 180 3 3" xfId="3551"/>
    <cellStyle name="Normal 180 3 3 2" xfId="9361"/>
    <cellStyle name="Normal 180 3 3 3" xfId="6439"/>
    <cellStyle name="Normal 180 3 4" xfId="7888"/>
    <cellStyle name="Normal 180 3 5" xfId="4995"/>
    <cellStyle name="Normal 180 3 6" xfId="2104"/>
    <cellStyle name="Normal 180 4" xfId="1300"/>
    <cellStyle name="Normal 180 4 2" xfId="3970"/>
    <cellStyle name="Normal 180 4 2 2" xfId="9780"/>
    <cellStyle name="Normal 180 4 2 3" xfId="6858"/>
    <cellStyle name="Normal 180 4 3" xfId="8315"/>
    <cellStyle name="Normal 180 4 4" xfId="5414"/>
    <cellStyle name="Normal 180 4 5" xfId="2523"/>
    <cellStyle name="Normal 180 5" xfId="3218"/>
    <cellStyle name="Normal 180 5 2" xfId="4662"/>
    <cellStyle name="Normal 180 5 2 2" xfId="10472"/>
    <cellStyle name="Normal 180 5 2 3" xfId="7550"/>
    <cellStyle name="Normal 180 5 3" xfId="9028"/>
    <cellStyle name="Normal 180 5 4" xfId="6106"/>
    <cellStyle name="Normal 180 6" xfId="3376"/>
    <cellStyle name="Normal 180 6 2" xfId="9186"/>
    <cellStyle name="Normal 180 6 3" xfId="6264"/>
    <cellStyle name="Normal 180 7" xfId="7713"/>
    <cellStyle name="Normal 180 8" xfId="4820"/>
    <cellStyle name="Normal 180 9" xfId="1929"/>
    <cellStyle name="Normal 181" xfId="391"/>
    <cellStyle name="Normal 181 2" xfId="1046"/>
    <cellStyle name="Normal 181 2 2" xfId="1732"/>
    <cellStyle name="Normal 181 2 2 2" xfId="4382"/>
    <cellStyle name="Normal 181 2 2 2 2" xfId="10192"/>
    <cellStyle name="Normal 181 2 2 2 3" xfId="7270"/>
    <cellStyle name="Normal 181 2 2 3" xfId="8747"/>
    <cellStyle name="Normal 181 2 2 4" xfId="5826"/>
    <cellStyle name="Normal 181 2 2 5" xfId="2935"/>
    <cellStyle name="Normal 181 2 3" xfId="3788"/>
    <cellStyle name="Normal 181 2 3 2" xfId="9598"/>
    <cellStyle name="Normal 181 2 3 3" xfId="6676"/>
    <cellStyle name="Normal 181 2 4" xfId="8125"/>
    <cellStyle name="Normal 181 2 5" xfId="5232"/>
    <cellStyle name="Normal 181 2 6" xfId="2341"/>
    <cellStyle name="Normal 181 3" xfId="573"/>
    <cellStyle name="Normal 181 3 2" xfId="1477"/>
    <cellStyle name="Normal 181 3 2 2" xfId="4147"/>
    <cellStyle name="Normal 181 3 2 2 2" xfId="9957"/>
    <cellStyle name="Normal 181 3 2 2 3" xfId="7035"/>
    <cellStyle name="Normal 181 3 2 3" xfId="8492"/>
    <cellStyle name="Normal 181 3 2 4" xfId="5591"/>
    <cellStyle name="Normal 181 3 2 5" xfId="2700"/>
    <cellStyle name="Normal 181 3 3" xfId="3553"/>
    <cellStyle name="Normal 181 3 3 2" xfId="9363"/>
    <cellStyle name="Normal 181 3 3 3" xfId="6441"/>
    <cellStyle name="Normal 181 3 4" xfId="7890"/>
    <cellStyle name="Normal 181 3 5" xfId="4997"/>
    <cellStyle name="Normal 181 3 6" xfId="2106"/>
    <cellStyle name="Normal 181 4" xfId="1302"/>
    <cellStyle name="Normal 181 4 2" xfId="3972"/>
    <cellStyle name="Normal 181 4 2 2" xfId="9782"/>
    <cellStyle name="Normal 181 4 2 3" xfId="6860"/>
    <cellStyle name="Normal 181 4 3" xfId="8317"/>
    <cellStyle name="Normal 181 4 4" xfId="5416"/>
    <cellStyle name="Normal 181 4 5" xfId="2525"/>
    <cellStyle name="Normal 181 5" xfId="3219"/>
    <cellStyle name="Normal 181 5 2" xfId="4663"/>
    <cellStyle name="Normal 181 5 2 2" xfId="10473"/>
    <cellStyle name="Normal 181 5 2 3" xfId="7551"/>
    <cellStyle name="Normal 181 5 3" xfId="9029"/>
    <cellStyle name="Normal 181 5 4" xfId="6107"/>
    <cellStyle name="Normal 181 6" xfId="3378"/>
    <cellStyle name="Normal 181 6 2" xfId="9188"/>
    <cellStyle name="Normal 181 6 3" xfId="6266"/>
    <cellStyle name="Normal 181 7" xfId="7715"/>
    <cellStyle name="Normal 181 8" xfId="4822"/>
    <cellStyle name="Normal 181 9" xfId="1931"/>
    <cellStyle name="Normal 182" xfId="392"/>
    <cellStyle name="Normal 182 2" xfId="1047"/>
    <cellStyle name="Normal 182 2 2" xfId="1733"/>
    <cellStyle name="Normal 182 2 2 2" xfId="4383"/>
    <cellStyle name="Normal 182 2 2 2 2" xfId="10193"/>
    <cellStyle name="Normal 182 2 2 2 3" xfId="7271"/>
    <cellStyle name="Normal 182 2 2 3" xfId="8748"/>
    <cellStyle name="Normal 182 2 2 4" xfId="5827"/>
    <cellStyle name="Normal 182 2 2 5" xfId="2936"/>
    <cellStyle name="Normal 182 2 3" xfId="3789"/>
    <cellStyle name="Normal 182 2 3 2" xfId="9599"/>
    <cellStyle name="Normal 182 2 3 3" xfId="6677"/>
    <cellStyle name="Normal 182 2 4" xfId="8126"/>
    <cellStyle name="Normal 182 2 5" xfId="5233"/>
    <cellStyle name="Normal 182 2 6" xfId="2342"/>
    <cellStyle name="Normal 182 3" xfId="574"/>
    <cellStyle name="Normal 182 3 2" xfId="1478"/>
    <cellStyle name="Normal 182 3 2 2" xfId="4148"/>
    <cellStyle name="Normal 182 3 2 2 2" xfId="9958"/>
    <cellStyle name="Normal 182 3 2 2 3" xfId="7036"/>
    <cellStyle name="Normal 182 3 2 3" xfId="8493"/>
    <cellStyle name="Normal 182 3 2 4" xfId="5592"/>
    <cellStyle name="Normal 182 3 2 5" xfId="2701"/>
    <cellStyle name="Normal 182 3 3" xfId="3554"/>
    <cellStyle name="Normal 182 3 3 2" xfId="9364"/>
    <cellStyle name="Normal 182 3 3 3" xfId="6442"/>
    <cellStyle name="Normal 182 3 4" xfId="7891"/>
    <cellStyle name="Normal 182 3 5" xfId="4998"/>
    <cellStyle name="Normal 182 3 6" xfId="2107"/>
    <cellStyle name="Normal 182 4" xfId="1303"/>
    <cellStyle name="Normal 182 4 2" xfId="3973"/>
    <cellStyle name="Normal 182 4 2 2" xfId="9783"/>
    <cellStyle name="Normal 182 4 2 3" xfId="6861"/>
    <cellStyle name="Normal 182 4 3" xfId="8318"/>
    <cellStyle name="Normal 182 4 4" xfId="5417"/>
    <cellStyle name="Normal 182 4 5" xfId="2526"/>
    <cellStyle name="Normal 182 5" xfId="3220"/>
    <cellStyle name="Normal 182 5 2" xfId="4664"/>
    <cellStyle name="Normal 182 5 2 2" xfId="10474"/>
    <cellStyle name="Normal 182 5 2 3" xfId="7552"/>
    <cellStyle name="Normal 182 5 3" xfId="9030"/>
    <cellStyle name="Normal 182 5 4" xfId="6108"/>
    <cellStyle name="Normal 182 6" xfId="3379"/>
    <cellStyle name="Normal 182 6 2" xfId="9189"/>
    <cellStyle name="Normal 182 6 3" xfId="6267"/>
    <cellStyle name="Normal 182 7" xfId="7716"/>
    <cellStyle name="Normal 182 8" xfId="4823"/>
    <cellStyle name="Normal 182 9" xfId="1932"/>
    <cellStyle name="Normal 183" xfId="393"/>
    <cellStyle name="Normal 183 2" xfId="1048"/>
    <cellStyle name="Normal 183 2 2" xfId="1734"/>
    <cellStyle name="Normal 183 2 2 2" xfId="4384"/>
    <cellStyle name="Normal 183 2 2 2 2" xfId="10194"/>
    <cellStyle name="Normal 183 2 2 2 3" xfId="7272"/>
    <cellStyle name="Normal 183 2 2 3" xfId="8749"/>
    <cellStyle name="Normal 183 2 2 4" xfId="5828"/>
    <cellStyle name="Normal 183 2 2 5" xfId="2937"/>
    <cellStyle name="Normal 183 2 3" xfId="3790"/>
    <cellStyle name="Normal 183 2 3 2" xfId="9600"/>
    <cellStyle name="Normal 183 2 3 3" xfId="6678"/>
    <cellStyle name="Normal 183 2 4" xfId="8127"/>
    <cellStyle name="Normal 183 2 5" xfId="5234"/>
    <cellStyle name="Normal 183 2 6" xfId="2343"/>
    <cellStyle name="Normal 183 3" xfId="575"/>
    <cellStyle name="Normal 183 3 2" xfId="1479"/>
    <cellStyle name="Normal 183 3 2 2" xfId="4149"/>
    <cellStyle name="Normal 183 3 2 2 2" xfId="9959"/>
    <cellStyle name="Normal 183 3 2 2 3" xfId="7037"/>
    <cellStyle name="Normal 183 3 2 3" xfId="8494"/>
    <cellStyle name="Normal 183 3 2 4" xfId="5593"/>
    <cellStyle name="Normal 183 3 2 5" xfId="2702"/>
    <cellStyle name="Normal 183 3 3" xfId="3555"/>
    <cellStyle name="Normal 183 3 3 2" xfId="9365"/>
    <cellStyle name="Normal 183 3 3 3" xfId="6443"/>
    <cellStyle name="Normal 183 3 4" xfId="7892"/>
    <cellStyle name="Normal 183 3 5" xfId="4999"/>
    <cellStyle name="Normal 183 3 6" xfId="2108"/>
    <cellStyle name="Normal 183 4" xfId="1304"/>
    <cellStyle name="Normal 183 4 2" xfId="3974"/>
    <cellStyle name="Normal 183 4 2 2" xfId="9784"/>
    <cellStyle name="Normal 183 4 2 3" xfId="6862"/>
    <cellStyle name="Normal 183 4 3" xfId="8319"/>
    <cellStyle name="Normal 183 4 4" xfId="5418"/>
    <cellStyle name="Normal 183 4 5" xfId="2527"/>
    <cellStyle name="Normal 183 5" xfId="3221"/>
    <cellStyle name="Normal 183 5 2" xfId="4665"/>
    <cellStyle name="Normal 183 5 2 2" xfId="10475"/>
    <cellStyle name="Normal 183 5 2 3" xfId="7553"/>
    <cellStyle name="Normal 183 5 3" xfId="9031"/>
    <cellStyle name="Normal 183 5 4" xfId="6109"/>
    <cellStyle name="Normal 183 6" xfId="3380"/>
    <cellStyle name="Normal 183 6 2" xfId="9190"/>
    <cellStyle name="Normal 183 6 3" xfId="6268"/>
    <cellStyle name="Normal 183 7" xfId="7717"/>
    <cellStyle name="Normal 183 8" xfId="4824"/>
    <cellStyle name="Normal 183 9" xfId="1933"/>
    <cellStyle name="Normal 184" xfId="408"/>
    <cellStyle name="Normal 184 2" xfId="1049"/>
    <cellStyle name="Normal 184 2 2" xfId="1735"/>
    <cellStyle name="Normal 184 2 2 2" xfId="4385"/>
    <cellStyle name="Normal 184 2 2 2 2" xfId="10195"/>
    <cellStyle name="Normal 184 2 2 2 3" xfId="7273"/>
    <cellStyle name="Normal 184 2 2 3" xfId="8750"/>
    <cellStyle name="Normal 184 2 2 4" xfId="5829"/>
    <cellStyle name="Normal 184 2 2 5" xfId="2938"/>
    <cellStyle name="Normal 184 2 3" xfId="3791"/>
    <cellStyle name="Normal 184 2 3 2" xfId="9601"/>
    <cellStyle name="Normal 184 2 3 3" xfId="6679"/>
    <cellStyle name="Normal 184 2 4" xfId="8128"/>
    <cellStyle name="Normal 184 2 5" xfId="5235"/>
    <cellStyle name="Normal 184 2 6" xfId="2344"/>
    <cellStyle name="Normal 184 3" xfId="590"/>
    <cellStyle name="Normal 184 3 2" xfId="1494"/>
    <cellStyle name="Normal 184 3 2 2" xfId="4164"/>
    <cellStyle name="Normal 184 3 2 2 2" xfId="9974"/>
    <cellStyle name="Normal 184 3 2 2 3" xfId="7052"/>
    <cellStyle name="Normal 184 3 2 3" xfId="8509"/>
    <cellStyle name="Normal 184 3 2 4" xfId="5608"/>
    <cellStyle name="Normal 184 3 2 5" xfId="2717"/>
    <cellStyle name="Normal 184 3 3" xfId="3570"/>
    <cellStyle name="Normal 184 3 3 2" xfId="9380"/>
    <cellStyle name="Normal 184 3 3 3" xfId="6458"/>
    <cellStyle name="Normal 184 3 4" xfId="7907"/>
    <cellStyle name="Normal 184 3 5" xfId="5014"/>
    <cellStyle name="Normal 184 3 6" xfId="2123"/>
    <cellStyle name="Normal 184 4" xfId="1319"/>
    <cellStyle name="Normal 184 4 2" xfId="3989"/>
    <cellStyle name="Normal 184 4 2 2" xfId="9799"/>
    <cellStyle name="Normal 184 4 2 3" xfId="6877"/>
    <cellStyle name="Normal 184 4 3" xfId="8334"/>
    <cellStyle name="Normal 184 4 4" xfId="5433"/>
    <cellStyle name="Normal 184 4 5" xfId="2542"/>
    <cellStyle name="Normal 184 5" xfId="3222"/>
    <cellStyle name="Normal 184 5 2" xfId="4666"/>
    <cellStyle name="Normal 184 5 2 2" xfId="10476"/>
    <cellStyle name="Normal 184 5 2 3" xfId="7554"/>
    <cellStyle name="Normal 184 5 3" xfId="9032"/>
    <cellStyle name="Normal 184 5 4" xfId="6110"/>
    <cellStyle name="Normal 184 6" xfId="3395"/>
    <cellStyle name="Normal 184 6 2" xfId="9205"/>
    <cellStyle name="Normal 184 6 3" xfId="6283"/>
    <cellStyle name="Normal 184 7" xfId="7732"/>
    <cellStyle name="Normal 184 8" xfId="4839"/>
    <cellStyle name="Normal 184 9" xfId="1948"/>
    <cellStyle name="Normal 185" xfId="409"/>
    <cellStyle name="Normal 185 2" xfId="1050"/>
    <cellStyle name="Normal 185 2 2" xfId="1736"/>
    <cellStyle name="Normal 185 2 2 2" xfId="4386"/>
    <cellStyle name="Normal 185 2 2 2 2" xfId="10196"/>
    <cellStyle name="Normal 185 2 2 2 3" xfId="7274"/>
    <cellStyle name="Normal 185 2 2 3" xfId="8751"/>
    <cellStyle name="Normal 185 2 2 4" xfId="5830"/>
    <cellStyle name="Normal 185 2 2 5" xfId="2939"/>
    <cellStyle name="Normal 185 2 3" xfId="3792"/>
    <cellStyle name="Normal 185 2 3 2" xfId="9602"/>
    <cellStyle name="Normal 185 2 3 3" xfId="6680"/>
    <cellStyle name="Normal 185 2 4" xfId="8129"/>
    <cellStyle name="Normal 185 2 5" xfId="5236"/>
    <cellStyle name="Normal 185 2 6" xfId="2345"/>
    <cellStyle name="Normal 185 3" xfId="591"/>
    <cellStyle name="Normal 185 3 2" xfId="1495"/>
    <cellStyle name="Normal 185 3 2 2" xfId="4165"/>
    <cellStyle name="Normal 185 3 2 2 2" xfId="9975"/>
    <cellStyle name="Normal 185 3 2 2 3" xfId="7053"/>
    <cellStyle name="Normal 185 3 2 3" xfId="8510"/>
    <cellStyle name="Normal 185 3 2 4" xfId="5609"/>
    <cellStyle name="Normal 185 3 2 5" xfId="2718"/>
    <cellStyle name="Normal 185 3 3" xfId="3571"/>
    <cellStyle name="Normal 185 3 3 2" xfId="9381"/>
    <cellStyle name="Normal 185 3 3 3" xfId="6459"/>
    <cellStyle name="Normal 185 3 4" xfId="7908"/>
    <cellStyle name="Normal 185 3 5" xfId="5015"/>
    <cellStyle name="Normal 185 3 6" xfId="2124"/>
    <cellStyle name="Normal 185 4" xfId="1320"/>
    <cellStyle name="Normal 185 4 2" xfId="3990"/>
    <cellStyle name="Normal 185 4 2 2" xfId="9800"/>
    <cellStyle name="Normal 185 4 2 3" xfId="6878"/>
    <cellStyle name="Normal 185 4 3" xfId="8335"/>
    <cellStyle name="Normal 185 4 4" xfId="5434"/>
    <cellStyle name="Normal 185 4 5" xfId="2543"/>
    <cellStyle name="Normal 185 5" xfId="3223"/>
    <cellStyle name="Normal 185 5 2" xfId="4667"/>
    <cellStyle name="Normal 185 5 2 2" xfId="10477"/>
    <cellStyle name="Normal 185 5 2 3" xfId="7555"/>
    <cellStyle name="Normal 185 5 3" xfId="9033"/>
    <cellStyle name="Normal 185 5 4" xfId="6111"/>
    <cellStyle name="Normal 185 6" xfId="3396"/>
    <cellStyle name="Normal 185 6 2" xfId="9206"/>
    <cellStyle name="Normal 185 6 3" xfId="6284"/>
    <cellStyle name="Normal 185 7" xfId="7733"/>
    <cellStyle name="Normal 185 8" xfId="4840"/>
    <cellStyle name="Normal 185 9" xfId="1949"/>
    <cellStyle name="Normal 186" xfId="407"/>
    <cellStyle name="Normal 186 2" xfId="1051"/>
    <cellStyle name="Normal 186 2 2" xfId="1737"/>
    <cellStyle name="Normal 186 2 2 2" xfId="4387"/>
    <cellStyle name="Normal 186 2 2 2 2" xfId="10197"/>
    <cellStyle name="Normal 186 2 2 2 3" xfId="7275"/>
    <cellStyle name="Normal 186 2 2 3" xfId="8752"/>
    <cellStyle name="Normal 186 2 2 4" xfId="5831"/>
    <cellStyle name="Normal 186 2 2 5" xfId="2940"/>
    <cellStyle name="Normal 186 2 3" xfId="3793"/>
    <cellStyle name="Normal 186 2 3 2" xfId="9603"/>
    <cellStyle name="Normal 186 2 3 3" xfId="6681"/>
    <cellStyle name="Normal 186 2 4" xfId="8130"/>
    <cellStyle name="Normal 186 2 5" xfId="5237"/>
    <cellStyle name="Normal 186 2 6" xfId="2346"/>
    <cellStyle name="Normal 186 3" xfId="589"/>
    <cellStyle name="Normal 186 3 2" xfId="1493"/>
    <cellStyle name="Normal 186 3 2 2" xfId="4163"/>
    <cellStyle name="Normal 186 3 2 2 2" xfId="9973"/>
    <cellStyle name="Normal 186 3 2 2 3" xfId="7051"/>
    <cellStyle name="Normal 186 3 2 3" xfId="8508"/>
    <cellStyle name="Normal 186 3 2 4" xfId="5607"/>
    <cellStyle name="Normal 186 3 2 5" xfId="2716"/>
    <cellStyle name="Normal 186 3 3" xfId="3569"/>
    <cellStyle name="Normal 186 3 3 2" xfId="9379"/>
    <cellStyle name="Normal 186 3 3 3" xfId="6457"/>
    <cellStyle name="Normal 186 3 4" xfId="7906"/>
    <cellStyle name="Normal 186 3 5" xfId="5013"/>
    <cellStyle name="Normal 186 3 6" xfId="2122"/>
    <cellStyle name="Normal 186 4" xfId="1318"/>
    <cellStyle name="Normal 186 4 2" xfId="3988"/>
    <cellStyle name="Normal 186 4 2 2" xfId="9798"/>
    <cellStyle name="Normal 186 4 2 3" xfId="6876"/>
    <cellStyle name="Normal 186 4 3" xfId="8333"/>
    <cellStyle name="Normal 186 4 4" xfId="5432"/>
    <cellStyle name="Normal 186 4 5" xfId="2541"/>
    <cellStyle name="Normal 186 5" xfId="3224"/>
    <cellStyle name="Normal 186 5 2" xfId="4668"/>
    <cellStyle name="Normal 186 5 2 2" xfId="10478"/>
    <cellStyle name="Normal 186 5 2 3" xfId="7556"/>
    <cellStyle name="Normal 186 5 3" xfId="9034"/>
    <cellStyle name="Normal 186 5 4" xfId="6112"/>
    <cellStyle name="Normal 186 6" xfId="3394"/>
    <cellStyle name="Normal 186 6 2" xfId="9204"/>
    <cellStyle name="Normal 186 6 3" xfId="6282"/>
    <cellStyle name="Normal 186 7" xfId="7731"/>
    <cellStyle name="Normal 186 8" xfId="4838"/>
    <cellStyle name="Normal 186 9" xfId="1947"/>
    <cellStyle name="Normal 187" xfId="410"/>
    <cellStyle name="Normal 187 2" xfId="1052"/>
    <cellStyle name="Normal 187 2 2" xfId="1738"/>
    <cellStyle name="Normal 187 2 2 2" xfId="4388"/>
    <cellStyle name="Normal 187 2 2 2 2" xfId="10198"/>
    <cellStyle name="Normal 187 2 2 2 3" xfId="7276"/>
    <cellStyle name="Normal 187 2 2 3" xfId="8753"/>
    <cellStyle name="Normal 187 2 2 4" xfId="5832"/>
    <cellStyle name="Normal 187 2 2 5" xfId="2941"/>
    <cellStyle name="Normal 187 2 3" xfId="3794"/>
    <cellStyle name="Normal 187 2 3 2" xfId="9604"/>
    <cellStyle name="Normal 187 2 3 3" xfId="6682"/>
    <cellStyle name="Normal 187 2 4" xfId="8131"/>
    <cellStyle name="Normal 187 2 5" xfId="5238"/>
    <cellStyle name="Normal 187 2 6" xfId="2347"/>
    <cellStyle name="Normal 187 3" xfId="592"/>
    <cellStyle name="Normal 187 3 2" xfId="1496"/>
    <cellStyle name="Normal 187 3 2 2" xfId="4166"/>
    <cellStyle name="Normal 187 3 2 2 2" xfId="9976"/>
    <cellStyle name="Normal 187 3 2 2 3" xfId="7054"/>
    <cellStyle name="Normal 187 3 2 3" xfId="8511"/>
    <cellStyle name="Normal 187 3 2 4" xfId="5610"/>
    <cellStyle name="Normal 187 3 2 5" xfId="2719"/>
    <cellStyle name="Normal 187 3 3" xfId="3572"/>
    <cellStyle name="Normal 187 3 3 2" xfId="9382"/>
    <cellStyle name="Normal 187 3 3 3" xfId="6460"/>
    <cellStyle name="Normal 187 3 4" xfId="7909"/>
    <cellStyle name="Normal 187 3 5" xfId="5016"/>
    <cellStyle name="Normal 187 3 6" xfId="2125"/>
    <cellStyle name="Normal 187 4" xfId="1321"/>
    <cellStyle name="Normal 187 4 2" xfId="3991"/>
    <cellStyle name="Normal 187 4 2 2" xfId="9801"/>
    <cellStyle name="Normal 187 4 2 3" xfId="6879"/>
    <cellStyle name="Normal 187 4 3" xfId="8336"/>
    <cellStyle name="Normal 187 4 4" xfId="5435"/>
    <cellStyle name="Normal 187 4 5" xfId="2544"/>
    <cellStyle name="Normal 187 5" xfId="3225"/>
    <cellStyle name="Normal 187 5 2" xfId="4669"/>
    <cellStyle name="Normal 187 5 2 2" xfId="10479"/>
    <cellStyle name="Normal 187 5 2 3" xfId="7557"/>
    <cellStyle name="Normal 187 5 3" xfId="9035"/>
    <cellStyle name="Normal 187 5 4" xfId="6113"/>
    <cellStyle name="Normal 187 6" xfId="3397"/>
    <cellStyle name="Normal 187 6 2" xfId="9207"/>
    <cellStyle name="Normal 187 6 3" xfId="6285"/>
    <cellStyle name="Normal 187 7" xfId="7734"/>
    <cellStyle name="Normal 187 8" xfId="4841"/>
    <cellStyle name="Normal 187 9" xfId="1950"/>
    <cellStyle name="Normal 188" xfId="411"/>
    <cellStyle name="Normal 188 2" xfId="1053"/>
    <cellStyle name="Normal 188 2 2" xfId="1739"/>
    <cellStyle name="Normal 188 2 2 2" xfId="4389"/>
    <cellStyle name="Normal 188 2 2 2 2" xfId="10199"/>
    <cellStyle name="Normal 188 2 2 2 3" xfId="7277"/>
    <cellStyle name="Normal 188 2 2 3" xfId="8754"/>
    <cellStyle name="Normal 188 2 2 4" xfId="5833"/>
    <cellStyle name="Normal 188 2 2 5" xfId="2942"/>
    <cellStyle name="Normal 188 2 3" xfId="3795"/>
    <cellStyle name="Normal 188 2 3 2" xfId="9605"/>
    <cellStyle name="Normal 188 2 3 3" xfId="6683"/>
    <cellStyle name="Normal 188 2 4" xfId="8132"/>
    <cellStyle name="Normal 188 2 5" xfId="5239"/>
    <cellStyle name="Normal 188 2 6" xfId="2348"/>
    <cellStyle name="Normal 188 3" xfId="593"/>
    <cellStyle name="Normal 188 3 2" xfId="1497"/>
    <cellStyle name="Normal 188 3 2 2" xfId="4167"/>
    <cellStyle name="Normal 188 3 2 2 2" xfId="9977"/>
    <cellStyle name="Normal 188 3 2 2 3" xfId="7055"/>
    <cellStyle name="Normal 188 3 2 3" xfId="8512"/>
    <cellStyle name="Normal 188 3 2 4" xfId="5611"/>
    <cellStyle name="Normal 188 3 2 5" xfId="2720"/>
    <cellStyle name="Normal 188 3 3" xfId="3573"/>
    <cellStyle name="Normal 188 3 3 2" xfId="9383"/>
    <cellStyle name="Normal 188 3 3 3" xfId="6461"/>
    <cellStyle name="Normal 188 3 4" xfId="7910"/>
    <cellStyle name="Normal 188 3 5" xfId="5017"/>
    <cellStyle name="Normal 188 3 6" xfId="2126"/>
    <cellStyle name="Normal 188 4" xfId="1322"/>
    <cellStyle name="Normal 188 4 2" xfId="3992"/>
    <cellStyle name="Normal 188 4 2 2" xfId="9802"/>
    <cellStyle name="Normal 188 4 2 3" xfId="6880"/>
    <cellStyle name="Normal 188 4 3" xfId="8337"/>
    <cellStyle name="Normal 188 4 4" xfId="5436"/>
    <cellStyle name="Normal 188 4 5" xfId="2545"/>
    <cellStyle name="Normal 188 5" xfId="3226"/>
    <cellStyle name="Normal 188 5 2" xfId="4670"/>
    <cellStyle name="Normal 188 5 2 2" xfId="10480"/>
    <cellStyle name="Normal 188 5 2 3" xfId="7558"/>
    <cellStyle name="Normal 188 5 3" xfId="9036"/>
    <cellStyle name="Normal 188 5 4" xfId="6114"/>
    <cellStyle name="Normal 188 6" xfId="3398"/>
    <cellStyle name="Normal 188 6 2" xfId="9208"/>
    <cellStyle name="Normal 188 6 3" xfId="6286"/>
    <cellStyle name="Normal 188 7" xfId="7735"/>
    <cellStyle name="Normal 188 8" xfId="4842"/>
    <cellStyle name="Normal 188 9" xfId="1951"/>
    <cellStyle name="Normal 189" xfId="412"/>
    <cellStyle name="Normal 189 2" xfId="1054"/>
    <cellStyle name="Normal 189 2 2" xfId="1740"/>
    <cellStyle name="Normal 189 2 2 2" xfId="4390"/>
    <cellStyle name="Normal 189 2 2 2 2" xfId="10200"/>
    <cellStyle name="Normal 189 2 2 2 3" xfId="7278"/>
    <cellStyle name="Normal 189 2 2 3" xfId="8755"/>
    <cellStyle name="Normal 189 2 2 4" xfId="5834"/>
    <cellStyle name="Normal 189 2 2 5" xfId="2943"/>
    <cellStyle name="Normal 189 2 3" xfId="3796"/>
    <cellStyle name="Normal 189 2 3 2" xfId="9606"/>
    <cellStyle name="Normal 189 2 3 3" xfId="6684"/>
    <cellStyle name="Normal 189 2 4" xfId="8133"/>
    <cellStyle name="Normal 189 2 5" xfId="5240"/>
    <cellStyle name="Normal 189 2 6" xfId="2349"/>
    <cellStyle name="Normal 189 3" xfId="594"/>
    <cellStyle name="Normal 189 3 2" xfId="1498"/>
    <cellStyle name="Normal 189 3 2 2" xfId="4168"/>
    <cellStyle name="Normal 189 3 2 2 2" xfId="9978"/>
    <cellStyle name="Normal 189 3 2 2 3" xfId="7056"/>
    <cellStyle name="Normal 189 3 2 3" xfId="8513"/>
    <cellStyle name="Normal 189 3 2 4" xfId="5612"/>
    <cellStyle name="Normal 189 3 2 5" xfId="2721"/>
    <cellStyle name="Normal 189 3 3" xfId="3574"/>
    <cellStyle name="Normal 189 3 3 2" xfId="9384"/>
    <cellStyle name="Normal 189 3 3 3" xfId="6462"/>
    <cellStyle name="Normal 189 3 4" xfId="7911"/>
    <cellStyle name="Normal 189 3 5" xfId="5018"/>
    <cellStyle name="Normal 189 3 6" xfId="2127"/>
    <cellStyle name="Normal 189 4" xfId="1323"/>
    <cellStyle name="Normal 189 4 2" xfId="3993"/>
    <cellStyle name="Normal 189 4 2 2" xfId="9803"/>
    <cellStyle name="Normal 189 4 2 3" xfId="6881"/>
    <cellStyle name="Normal 189 4 3" xfId="8338"/>
    <cellStyle name="Normal 189 4 4" xfId="5437"/>
    <cellStyle name="Normal 189 4 5" xfId="2546"/>
    <cellStyle name="Normal 189 5" xfId="3227"/>
    <cellStyle name="Normal 189 5 2" xfId="4671"/>
    <cellStyle name="Normal 189 5 2 2" xfId="10481"/>
    <cellStyle name="Normal 189 5 2 3" xfId="7559"/>
    <cellStyle name="Normal 189 5 3" xfId="9037"/>
    <cellStyle name="Normal 189 5 4" xfId="6115"/>
    <cellStyle name="Normal 189 6" xfId="3399"/>
    <cellStyle name="Normal 189 6 2" xfId="9209"/>
    <cellStyle name="Normal 189 6 3" xfId="6287"/>
    <cellStyle name="Normal 189 7" xfId="7736"/>
    <cellStyle name="Normal 189 8" xfId="4843"/>
    <cellStyle name="Normal 189 9" xfId="1952"/>
    <cellStyle name="Normal 19" xfId="174"/>
    <cellStyle name="Normal 19 2" xfId="1055"/>
    <cellStyle name="Normal 19 2 2" xfId="1056"/>
    <cellStyle name="Normal 19 2 2 2" xfId="1742"/>
    <cellStyle name="Normal 19 2 2 2 2" xfId="4392"/>
    <cellStyle name="Normal 19 2 2 2 2 2" xfId="10202"/>
    <cellStyle name="Normal 19 2 2 2 2 3" xfId="7280"/>
    <cellStyle name="Normal 19 2 2 2 3" xfId="8757"/>
    <cellStyle name="Normal 19 2 2 2 4" xfId="5836"/>
    <cellStyle name="Normal 19 2 2 2 5" xfId="2945"/>
    <cellStyle name="Normal 19 2 2 3" xfId="3229"/>
    <cellStyle name="Normal 19 2 2 3 2" xfId="4673"/>
    <cellStyle name="Normal 19 2 2 3 2 2" xfId="10483"/>
    <cellStyle name="Normal 19 2 2 3 2 3" xfId="7561"/>
    <cellStyle name="Normal 19 2 2 3 3" xfId="9039"/>
    <cellStyle name="Normal 19 2 2 3 4" xfId="6117"/>
    <cellStyle name="Normal 19 2 2 4" xfId="3798"/>
    <cellStyle name="Normal 19 2 2 4 2" xfId="9608"/>
    <cellStyle name="Normal 19 2 2 4 3" xfId="6686"/>
    <cellStyle name="Normal 19 2 2 5" xfId="8135"/>
    <cellStyle name="Normal 19 2 2 6" xfId="5242"/>
    <cellStyle name="Normal 19 2 2 7" xfId="2351"/>
    <cellStyle name="Normal 19 2 3" xfId="1741"/>
    <cellStyle name="Normal 19 2 3 2" xfId="4391"/>
    <cellStyle name="Normal 19 2 3 2 2" xfId="10201"/>
    <cellStyle name="Normal 19 2 3 2 3" xfId="7279"/>
    <cellStyle name="Normal 19 2 3 3" xfId="8756"/>
    <cellStyle name="Normal 19 2 3 4" xfId="5835"/>
    <cellStyle name="Normal 19 2 3 5" xfId="2944"/>
    <cellStyle name="Normal 19 2 4" xfId="3228"/>
    <cellStyle name="Normal 19 2 4 2" xfId="4672"/>
    <cellStyle name="Normal 19 2 4 2 2" xfId="10482"/>
    <cellStyle name="Normal 19 2 4 2 3" xfId="7560"/>
    <cellStyle name="Normal 19 2 4 3" xfId="9038"/>
    <cellStyle name="Normal 19 2 4 4" xfId="6116"/>
    <cellStyle name="Normal 19 2 5" xfId="3797"/>
    <cellStyle name="Normal 19 2 5 2" xfId="9607"/>
    <cellStyle name="Normal 19 2 5 3" xfId="6685"/>
    <cellStyle name="Normal 19 2 6" xfId="8134"/>
    <cellStyle name="Normal 19 2 7" xfId="5241"/>
    <cellStyle name="Normal 19 2 8" xfId="2350"/>
    <cellStyle name="Normal 19 3" xfId="1057"/>
    <cellStyle name="Normal 19 3 2" xfId="1743"/>
    <cellStyle name="Normal 19 3 2 2" xfId="4393"/>
    <cellStyle name="Normal 19 3 2 2 2" xfId="10203"/>
    <cellStyle name="Normal 19 3 2 2 3" xfId="7281"/>
    <cellStyle name="Normal 19 3 2 3" xfId="8758"/>
    <cellStyle name="Normal 19 3 2 4" xfId="5837"/>
    <cellStyle name="Normal 19 3 2 5" xfId="2946"/>
    <cellStyle name="Normal 19 3 3" xfId="3230"/>
    <cellStyle name="Normal 19 3 3 2" xfId="4674"/>
    <cellStyle name="Normal 19 3 3 2 2" xfId="10484"/>
    <cellStyle name="Normal 19 3 3 2 3" xfId="7562"/>
    <cellStyle name="Normal 19 3 3 3" xfId="9040"/>
    <cellStyle name="Normal 19 3 3 4" xfId="6118"/>
    <cellStyle name="Normal 19 3 4" xfId="3799"/>
    <cellStyle name="Normal 19 3 4 2" xfId="9609"/>
    <cellStyle name="Normal 19 3 4 3" xfId="6687"/>
    <cellStyle name="Normal 19 3 5" xfId="8136"/>
    <cellStyle name="Normal 19 3 6" xfId="5243"/>
    <cellStyle name="Normal 19 3 7" xfId="2352"/>
    <cellStyle name="Normal 19 4" xfId="1058"/>
    <cellStyle name="Normal 19 4 2" xfId="1744"/>
    <cellStyle name="Normal 19 4 2 2" xfId="4394"/>
    <cellStyle name="Normal 19 4 2 2 2" xfId="10204"/>
    <cellStyle name="Normal 19 4 2 2 3" xfId="7282"/>
    <cellStyle name="Normal 19 4 2 3" xfId="8759"/>
    <cellStyle name="Normal 19 4 2 4" xfId="5838"/>
    <cellStyle name="Normal 19 4 2 5" xfId="2947"/>
    <cellStyle name="Normal 19 4 3" xfId="3231"/>
    <cellStyle name="Normal 19 4 3 2" xfId="4675"/>
    <cellStyle name="Normal 19 4 3 2 2" xfId="10485"/>
    <cellStyle name="Normal 19 4 3 2 3" xfId="7563"/>
    <cellStyle name="Normal 19 4 3 3" xfId="9041"/>
    <cellStyle name="Normal 19 4 3 4" xfId="6119"/>
    <cellStyle name="Normal 19 4 4" xfId="3800"/>
    <cellStyle name="Normal 19 4 4 2" xfId="9610"/>
    <cellStyle name="Normal 19 4 4 3" xfId="6688"/>
    <cellStyle name="Normal 19 4 5" xfId="8137"/>
    <cellStyle name="Normal 19 4 6" xfId="5244"/>
    <cellStyle name="Normal 19 4 7" xfId="2353"/>
    <cellStyle name="Normal 190" xfId="413"/>
    <cellStyle name="Normal 190 2" xfId="1059"/>
    <cellStyle name="Normal 190 2 2" xfId="1745"/>
    <cellStyle name="Normal 190 2 2 2" xfId="4395"/>
    <cellStyle name="Normal 190 2 2 2 2" xfId="10205"/>
    <cellStyle name="Normal 190 2 2 2 3" xfId="7283"/>
    <cellStyle name="Normal 190 2 2 3" xfId="8760"/>
    <cellStyle name="Normal 190 2 2 4" xfId="5839"/>
    <cellStyle name="Normal 190 2 2 5" xfId="2948"/>
    <cellStyle name="Normal 190 2 3" xfId="3801"/>
    <cellStyle name="Normal 190 2 3 2" xfId="9611"/>
    <cellStyle name="Normal 190 2 3 3" xfId="6689"/>
    <cellStyle name="Normal 190 2 4" xfId="8138"/>
    <cellStyle name="Normal 190 2 5" xfId="5245"/>
    <cellStyle name="Normal 190 2 6" xfId="2354"/>
    <cellStyle name="Normal 190 3" xfId="595"/>
    <cellStyle name="Normal 190 3 2" xfId="1499"/>
    <cellStyle name="Normal 190 3 2 2" xfId="4169"/>
    <cellStyle name="Normal 190 3 2 2 2" xfId="9979"/>
    <cellStyle name="Normal 190 3 2 2 3" xfId="7057"/>
    <cellStyle name="Normal 190 3 2 3" xfId="8514"/>
    <cellStyle name="Normal 190 3 2 4" xfId="5613"/>
    <cellStyle name="Normal 190 3 2 5" xfId="2722"/>
    <cellStyle name="Normal 190 3 3" xfId="3575"/>
    <cellStyle name="Normal 190 3 3 2" xfId="9385"/>
    <cellStyle name="Normal 190 3 3 3" xfId="6463"/>
    <cellStyle name="Normal 190 3 4" xfId="7912"/>
    <cellStyle name="Normal 190 3 5" xfId="5019"/>
    <cellStyle name="Normal 190 3 6" xfId="2128"/>
    <cellStyle name="Normal 190 4" xfId="1324"/>
    <cellStyle name="Normal 190 4 2" xfId="3994"/>
    <cellStyle name="Normal 190 4 2 2" xfId="9804"/>
    <cellStyle name="Normal 190 4 2 3" xfId="6882"/>
    <cellStyle name="Normal 190 4 3" xfId="8339"/>
    <cellStyle name="Normal 190 4 4" xfId="5438"/>
    <cellStyle name="Normal 190 4 5" xfId="2547"/>
    <cellStyle name="Normal 190 5" xfId="3232"/>
    <cellStyle name="Normal 190 5 2" xfId="4676"/>
    <cellStyle name="Normal 190 5 2 2" xfId="10486"/>
    <cellStyle name="Normal 190 5 2 3" xfId="7564"/>
    <cellStyle name="Normal 190 5 3" xfId="9042"/>
    <cellStyle name="Normal 190 5 4" xfId="6120"/>
    <cellStyle name="Normal 190 6" xfId="3400"/>
    <cellStyle name="Normal 190 6 2" xfId="9210"/>
    <cellStyle name="Normal 190 6 3" xfId="6288"/>
    <cellStyle name="Normal 190 7" xfId="7737"/>
    <cellStyle name="Normal 190 8" xfId="4844"/>
    <cellStyle name="Normal 190 9" xfId="1953"/>
    <cellStyle name="Normal 191" xfId="414"/>
    <cellStyle name="Normal 191 2" xfId="1060"/>
    <cellStyle name="Normal 191 2 2" xfId="1746"/>
    <cellStyle name="Normal 191 2 2 2" xfId="4396"/>
    <cellStyle name="Normal 191 2 2 2 2" xfId="10206"/>
    <cellStyle name="Normal 191 2 2 2 3" xfId="7284"/>
    <cellStyle name="Normal 191 2 2 3" xfId="8761"/>
    <cellStyle name="Normal 191 2 2 4" xfId="5840"/>
    <cellStyle name="Normal 191 2 2 5" xfId="2949"/>
    <cellStyle name="Normal 191 2 3" xfId="3802"/>
    <cellStyle name="Normal 191 2 3 2" xfId="9612"/>
    <cellStyle name="Normal 191 2 3 3" xfId="6690"/>
    <cellStyle name="Normal 191 2 4" xfId="8139"/>
    <cellStyle name="Normal 191 2 5" xfId="5246"/>
    <cellStyle name="Normal 191 2 6" xfId="2355"/>
    <cellStyle name="Normal 191 3" xfId="596"/>
    <cellStyle name="Normal 191 3 2" xfId="1500"/>
    <cellStyle name="Normal 191 3 2 2" xfId="4170"/>
    <cellStyle name="Normal 191 3 2 2 2" xfId="9980"/>
    <cellStyle name="Normal 191 3 2 2 3" xfId="7058"/>
    <cellStyle name="Normal 191 3 2 3" xfId="8515"/>
    <cellStyle name="Normal 191 3 2 4" xfId="5614"/>
    <cellStyle name="Normal 191 3 2 5" xfId="2723"/>
    <cellStyle name="Normal 191 3 3" xfId="3576"/>
    <cellStyle name="Normal 191 3 3 2" xfId="9386"/>
    <cellStyle name="Normal 191 3 3 3" xfId="6464"/>
    <cellStyle name="Normal 191 3 4" xfId="7913"/>
    <cellStyle name="Normal 191 3 5" xfId="5020"/>
    <cellStyle name="Normal 191 3 6" xfId="2129"/>
    <cellStyle name="Normal 191 4" xfId="1325"/>
    <cellStyle name="Normal 191 4 2" xfId="3995"/>
    <cellStyle name="Normal 191 4 2 2" xfId="9805"/>
    <cellStyle name="Normal 191 4 2 3" xfId="6883"/>
    <cellStyle name="Normal 191 4 3" xfId="8340"/>
    <cellStyle name="Normal 191 4 4" xfId="5439"/>
    <cellStyle name="Normal 191 4 5" xfId="2548"/>
    <cellStyle name="Normal 191 5" xfId="3233"/>
    <cellStyle name="Normal 191 5 2" xfId="4677"/>
    <cellStyle name="Normal 191 5 2 2" xfId="10487"/>
    <cellStyle name="Normal 191 5 2 3" xfId="7565"/>
    <cellStyle name="Normal 191 5 3" xfId="9043"/>
    <cellStyle name="Normal 191 5 4" xfId="6121"/>
    <cellStyle name="Normal 191 6" xfId="3401"/>
    <cellStyle name="Normal 191 6 2" xfId="9211"/>
    <cellStyle name="Normal 191 6 3" xfId="6289"/>
    <cellStyle name="Normal 191 7" xfId="7738"/>
    <cellStyle name="Normal 191 8" xfId="4845"/>
    <cellStyle name="Normal 191 9" xfId="1954"/>
    <cellStyle name="Normal 192" xfId="428"/>
    <cellStyle name="Normal 192 2" xfId="1061"/>
    <cellStyle name="Normal 192 2 2" xfId="1747"/>
    <cellStyle name="Normal 192 2 2 2" xfId="4397"/>
    <cellStyle name="Normal 192 2 2 2 2" xfId="10207"/>
    <cellStyle name="Normal 192 2 2 2 3" xfId="7285"/>
    <cellStyle name="Normal 192 2 2 3" xfId="8762"/>
    <cellStyle name="Normal 192 2 2 4" xfId="5841"/>
    <cellStyle name="Normal 192 2 2 5" xfId="2950"/>
    <cellStyle name="Normal 192 2 3" xfId="3803"/>
    <cellStyle name="Normal 192 2 3 2" xfId="9613"/>
    <cellStyle name="Normal 192 2 3 3" xfId="6691"/>
    <cellStyle name="Normal 192 2 4" xfId="8140"/>
    <cellStyle name="Normal 192 2 5" xfId="5247"/>
    <cellStyle name="Normal 192 2 6" xfId="2356"/>
    <cellStyle name="Normal 192 3" xfId="610"/>
    <cellStyle name="Normal 192 3 2" xfId="1514"/>
    <cellStyle name="Normal 192 3 2 2" xfId="4184"/>
    <cellStyle name="Normal 192 3 2 2 2" xfId="9994"/>
    <cellStyle name="Normal 192 3 2 2 3" xfId="7072"/>
    <cellStyle name="Normal 192 3 2 3" xfId="8529"/>
    <cellStyle name="Normal 192 3 2 4" xfId="5628"/>
    <cellStyle name="Normal 192 3 2 5" xfId="2737"/>
    <cellStyle name="Normal 192 3 3" xfId="3590"/>
    <cellStyle name="Normal 192 3 3 2" xfId="9400"/>
    <cellStyle name="Normal 192 3 3 3" xfId="6478"/>
    <cellStyle name="Normal 192 3 4" xfId="7927"/>
    <cellStyle name="Normal 192 3 5" xfId="5034"/>
    <cellStyle name="Normal 192 3 6" xfId="2143"/>
    <cellStyle name="Normal 192 4" xfId="1339"/>
    <cellStyle name="Normal 192 4 2" xfId="4009"/>
    <cellStyle name="Normal 192 4 2 2" xfId="9819"/>
    <cellStyle name="Normal 192 4 2 3" xfId="6897"/>
    <cellStyle name="Normal 192 4 3" xfId="8354"/>
    <cellStyle name="Normal 192 4 4" xfId="5453"/>
    <cellStyle name="Normal 192 4 5" xfId="2562"/>
    <cellStyle name="Normal 192 5" xfId="3234"/>
    <cellStyle name="Normal 192 5 2" xfId="4678"/>
    <cellStyle name="Normal 192 5 2 2" xfId="10488"/>
    <cellStyle name="Normal 192 5 2 3" xfId="7566"/>
    <cellStyle name="Normal 192 5 3" xfId="9044"/>
    <cellStyle name="Normal 192 5 4" xfId="6122"/>
    <cellStyle name="Normal 192 6" xfId="3415"/>
    <cellStyle name="Normal 192 6 2" xfId="9225"/>
    <cellStyle name="Normal 192 6 3" xfId="6303"/>
    <cellStyle name="Normal 192 7" xfId="7752"/>
    <cellStyle name="Normal 192 8" xfId="4859"/>
    <cellStyle name="Normal 192 9" xfId="1968"/>
    <cellStyle name="Normal 193" xfId="429"/>
    <cellStyle name="Normal 193 2" xfId="1062"/>
    <cellStyle name="Normal 193 2 2" xfId="1748"/>
    <cellStyle name="Normal 193 2 2 2" xfId="4398"/>
    <cellStyle name="Normal 193 2 2 2 2" xfId="10208"/>
    <cellStyle name="Normal 193 2 2 2 3" xfId="7286"/>
    <cellStyle name="Normal 193 2 2 3" xfId="8763"/>
    <cellStyle name="Normal 193 2 2 4" xfId="5842"/>
    <cellStyle name="Normal 193 2 2 5" xfId="2951"/>
    <cellStyle name="Normal 193 2 3" xfId="3804"/>
    <cellStyle name="Normal 193 2 3 2" xfId="9614"/>
    <cellStyle name="Normal 193 2 3 3" xfId="6692"/>
    <cellStyle name="Normal 193 2 4" xfId="8141"/>
    <cellStyle name="Normal 193 2 5" xfId="5248"/>
    <cellStyle name="Normal 193 2 6" xfId="2357"/>
    <cellStyle name="Normal 193 3" xfId="611"/>
    <cellStyle name="Normal 193 3 2" xfId="1515"/>
    <cellStyle name="Normal 193 3 2 2" xfId="4185"/>
    <cellStyle name="Normal 193 3 2 2 2" xfId="9995"/>
    <cellStyle name="Normal 193 3 2 2 3" xfId="7073"/>
    <cellStyle name="Normal 193 3 2 3" xfId="8530"/>
    <cellStyle name="Normal 193 3 2 4" xfId="5629"/>
    <cellStyle name="Normal 193 3 2 5" xfId="2738"/>
    <cellStyle name="Normal 193 3 3" xfId="3591"/>
    <cellStyle name="Normal 193 3 3 2" xfId="9401"/>
    <cellStyle name="Normal 193 3 3 3" xfId="6479"/>
    <cellStyle name="Normal 193 3 4" xfId="7928"/>
    <cellStyle name="Normal 193 3 5" xfId="5035"/>
    <cellStyle name="Normal 193 3 6" xfId="2144"/>
    <cellStyle name="Normal 193 4" xfId="1340"/>
    <cellStyle name="Normal 193 4 2" xfId="4010"/>
    <cellStyle name="Normal 193 4 2 2" xfId="9820"/>
    <cellStyle name="Normal 193 4 2 3" xfId="6898"/>
    <cellStyle name="Normal 193 4 3" xfId="8355"/>
    <cellStyle name="Normal 193 4 4" xfId="5454"/>
    <cellStyle name="Normal 193 4 5" xfId="2563"/>
    <cellStyle name="Normal 193 5" xfId="3235"/>
    <cellStyle name="Normal 193 5 2" xfId="4679"/>
    <cellStyle name="Normal 193 5 2 2" xfId="10489"/>
    <cellStyle name="Normal 193 5 2 3" xfId="7567"/>
    <cellStyle name="Normal 193 5 3" xfId="9045"/>
    <cellStyle name="Normal 193 5 4" xfId="6123"/>
    <cellStyle name="Normal 193 6" xfId="3416"/>
    <cellStyle name="Normal 193 6 2" xfId="9226"/>
    <cellStyle name="Normal 193 6 3" xfId="6304"/>
    <cellStyle name="Normal 193 7" xfId="7753"/>
    <cellStyle name="Normal 193 8" xfId="4860"/>
    <cellStyle name="Normal 193 9" xfId="1969"/>
    <cellStyle name="Normal 194" xfId="443"/>
    <cellStyle name="Normal 194 2" xfId="1063"/>
    <cellStyle name="Normal 194 2 2" xfId="1749"/>
    <cellStyle name="Normal 194 2 2 2" xfId="4399"/>
    <cellStyle name="Normal 194 2 2 2 2" xfId="10209"/>
    <cellStyle name="Normal 194 2 2 2 3" xfId="7287"/>
    <cellStyle name="Normal 194 2 2 3" xfId="8764"/>
    <cellStyle name="Normal 194 2 2 4" xfId="5843"/>
    <cellStyle name="Normal 194 2 2 5" xfId="2952"/>
    <cellStyle name="Normal 194 2 3" xfId="3805"/>
    <cellStyle name="Normal 194 2 3 2" xfId="9615"/>
    <cellStyle name="Normal 194 2 3 3" xfId="6693"/>
    <cellStyle name="Normal 194 2 4" xfId="8142"/>
    <cellStyle name="Normal 194 2 5" xfId="5249"/>
    <cellStyle name="Normal 194 2 6" xfId="2358"/>
    <cellStyle name="Normal 194 3" xfId="625"/>
    <cellStyle name="Normal 194 3 2" xfId="1529"/>
    <cellStyle name="Normal 194 3 2 2" xfId="4199"/>
    <cellStyle name="Normal 194 3 2 2 2" xfId="10009"/>
    <cellStyle name="Normal 194 3 2 2 3" xfId="7087"/>
    <cellStyle name="Normal 194 3 2 3" xfId="8544"/>
    <cellStyle name="Normal 194 3 2 4" xfId="5643"/>
    <cellStyle name="Normal 194 3 2 5" xfId="2752"/>
    <cellStyle name="Normal 194 3 3" xfId="3605"/>
    <cellStyle name="Normal 194 3 3 2" xfId="9415"/>
    <cellStyle name="Normal 194 3 3 3" xfId="6493"/>
    <cellStyle name="Normal 194 3 4" xfId="7942"/>
    <cellStyle name="Normal 194 3 5" xfId="5049"/>
    <cellStyle name="Normal 194 3 6" xfId="2158"/>
    <cellStyle name="Normal 194 4" xfId="1354"/>
    <cellStyle name="Normal 194 4 2" xfId="4024"/>
    <cellStyle name="Normal 194 4 2 2" xfId="9834"/>
    <cellStyle name="Normal 194 4 2 3" xfId="6912"/>
    <cellStyle name="Normal 194 4 3" xfId="8369"/>
    <cellStyle name="Normal 194 4 4" xfId="5468"/>
    <cellStyle name="Normal 194 4 5" xfId="2577"/>
    <cellStyle name="Normal 194 5" xfId="3236"/>
    <cellStyle name="Normal 194 5 2" xfId="4680"/>
    <cellStyle name="Normal 194 5 2 2" xfId="10490"/>
    <cellStyle name="Normal 194 5 2 3" xfId="7568"/>
    <cellStyle name="Normal 194 5 3" xfId="9046"/>
    <cellStyle name="Normal 194 5 4" xfId="6124"/>
    <cellStyle name="Normal 194 6" xfId="3430"/>
    <cellStyle name="Normal 194 6 2" xfId="9240"/>
    <cellStyle name="Normal 194 6 3" xfId="6318"/>
    <cellStyle name="Normal 194 7" xfId="7767"/>
    <cellStyle name="Normal 194 8" xfId="4874"/>
    <cellStyle name="Normal 194 9" xfId="1983"/>
    <cellStyle name="Normal 195" xfId="457"/>
    <cellStyle name="Normal 195 2" xfId="1064"/>
    <cellStyle name="Normal 195 2 2" xfId="1750"/>
    <cellStyle name="Normal 195 2 2 2" xfId="4400"/>
    <cellStyle name="Normal 195 2 2 2 2" xfId="10210"/>
    <cellStyle name="Normal 195 2 2 2 3" xfId="7288"/>
    <cellStyle name="Normal 195 2 2 3" xfId="8765"/>
    <cellStyle name="Normal 195 2 2 4" xfId="5844"/>
    <cellStyle name="Normal 195 2 2 5" xfId="2953"/>
    <cellStyle name="Normal 195 2 3" xfId="3806"/>
    <cellStyle name="Normal 195 2 3 2" xfId="9616"/>
    <cellStyle name="Normal 195 2 3 3" xfId="6694"/>
    <cellStyle name="Normal 195 2 4" xfId="8143"/>
    <cellStyle name="Normal 195 2 5" xfId="5250"/>
    <cellStyle name="Normal 195 2 6" xfId="2359"/>
    <cellStyle name="Normal 195 3" xfId="639"/>
    <cellStyle name="Normal 195 3 2" xfId="1543"/>
    <cellStyle name="Normal 195 3 2 2" xfId="4213"/>
    <cellStyle name="Normal 195 3 2 2 2" xfId="10023"/>
    <cellStyle name="Normal 195 3 2 2 3" xfId="7101"/>
    <cellStyle name="Normal 195 3 2 3" xfId="8558"/>
    <cellStyle name="Normal 195 3 2 4" xfId="5657"/>
    <cellStyle name="Normal 195 3 2 5" xfId="2766"/>
    <cellStyle name="Normal 195 3 3" xfId="3619"/>
    <cellStyle name="Normal 195 3 3 2" xfId="9429"/>
    <cellStyle name="Normal 195 3 3 3" xfId="6507"/>
    <cellStyle name="Normal 195 3 4" xfId="7956"/>
    <cellStyle name="Normal 195 3 5" xfId="5063"/>
    <cellStyle name="Normal 195 3 6" xfId="2172"/>
    <cellStyle name="Normal 195 4" xfId="1368"/>
    <cellStyle name="Normal 195 4 2" xfId="4038"/>
    <cellStyle name="Normal 195 4 2 2" xfId="9848"/>
    <cellStyle name="Normal 195 4 2 3" xfId="6926"/>
    <cellStyle name="Normal 195 4 3" xfId="8383"/>
    <cellStyle name="Normal 195 4 4" xfId="5482"/>
    <cellStyle name="Normal 195 4 5" xfId="2591"/>
    <cellStyle name="Normal 195 5" xfId="3237"/>
    <cellStyle name="Normal 195 5 2" xfId="4681"/>
    <cellStyle name="Normal 195 5 2 2" xfId="10491"/>
    <cellStyle name="Normal 195 5 2 3" xfId="7569"/>
    <cellStyle name="Normal 195 5 3" xfId="9047"/>
    <cellStyle name="Normal 195 5 4" xfId="6125"/>
    <cellStyle name="Normal 195 6" xfId="3444"/>
    <cellStyle name="Normal 195 6 2" xfId="9254"/>
    <cellStyle name="Normal 195 6 3" xfId="6332"/>
    <cellStyle name="Normal 195 7" xfId="7781"/>
    <cellStyle name="Normal 195 8" xfId="4888"/>
    <cellStyle name="Normal 195 9" xfId="1997"/>
    <cellStyle name="Normal 196" xfId="460"/>
    <cellStyle name="Normal 196 2" xfId="1065"/>
    <cellStyle name="Normal 196 2 2" xfId="1751"/>
    <cellStyle name="Normal 196 2 2 2" xfId="4401"/>
    <cellStyle name="Normal 196 2 2 2 2" xfId="10211"/>
    <cellStyle name="Normal 196 2 2 2 3" xfId="7289"/>
    <cellStyle name="Normal 196 2 2 3" xfId="8766"/>
    <cellStyle name="Normal 196 2 2 4" xfId="5845"/>
    <cellStyle name="Normal 196 2 2 5" xfId="2954"/>
    <cellStyle name="Normal 196 2 3" xfId="3807"/>
    <cellStyle name="Normal 196 2 3 2" xfId="9617"/>
    <cellStyle name="Normal 196 2 3 3" xfId="6695"/>
    <cellStyle name="Normal 196 2 4" xfId="8144"/>
    <cellStyle name="Normal 196 2 5" xfId="5251"/>
    <cellStyle name="Normal 196 2 6" xfId="2360"/>
    <cellStyle name="Normal 196 3" xfId="642"/>
    <cellStyle name="Normal 196 3 2" xfId="1546"/>
    <cellStyle name="Normal 196 3 2 2" xfId="4216"/>
    <cellStyle name="Normal 196 3 2 2 2" xfId="10026"/>
    <cellStyle name="Normal 196 3 2 2 3" xfId="7104"/>
    <cellStyle name="Normal 196 3 2 3" xfId="8561"/>
    <cellStyle name="Normal 196 3 2 4" xfId="5660"/>
    <cellStyle name="Normal 196 3 2 5" xfId="2769"/>
    <cellStyle name="Normal 196 3 3" xfId="3622"/>
    <cellStyle name="Normal 196 3 3 2" xfId="9432"/>
    <cellStyle name="Normal 196 3 3 3" xfId="6510"/>
    <cellStyle name="Normal 196 3 4" xfId="7959"/>
    <cellStyle name="Normal 196 3 5" xfId="5066"/>
    <cellStyle name="Normal 196 3 6" xfId="2175"/>
    <cellStyle name="Normal 196 4" xfId="1371"/>
    <cellStyle name="Normal 196 4 2" xfId="4041"/>
    <cellStyle name="Normal 196 4 2 2" xfId="9851"/>
    <cellStyle name="Normal 196 4 2 3" xfId="6929"/>
    <cellStyle name="Normal 196 4 3" xfId="8386"/>
    <cellStyle name="Normal 196 4 4" xfId="5485"/>
    <cellStyle name="Normal 196 4 5" xfId="2594"/>
    <cellStyle name="Normal 196 5" xfId="3238"/>
    <cellStyle name="Normal 196 5 2" xfId="4682"/>
    <cellStyle name="Normal 196 5 2 2" xfId="10492"/>
    <cellStyle name="Normal 196 5 2 3" xfId="7570"/>
    <cellStyle name="Normal 196 5 3" xfId="9048"/>
    <cellStyle name="Normal 196 5 4" xfId="6126"/>
    <cellStyle name="Normal 196 6" xfId="3447"/>
    <cellStyle name="Normal 196 6 2" xfId="9257"/>
    <cellStyle name="Normal 196 6 3" xfId="6335"/>
    <cellStyle name="Normal 196 7" xfId="7784"/>
    <cellStyle name="Normal 196 8" xfId="4891"/>
    <cellStyle name="Normal 196 9" xfId="2000"/>
    <cellStyle name="Normal 197" xfId="470"/>
    <cellStyle name="Normal 197 2" xfId="1066"/>
    <cellStyle name="Normal 197 2 2" xfId="1752"/>
    <cellStyle name="Normal 197 2 2 2" xfId="4402"/>
    <cellStyle name="Normal 197 2 2 2 2" xfId="10212"/>
    <cellStyle name="Normal 197 2 2 2 3" xfId="7290"/>
    <cellStyle name="Normal 197 2 2 3" xfId="8767"/>
    <cellStyle name="Normal 197 2 2 4" xfId="5846"/>
    <cellStyle name="Normal 197 2 2 5" xfId="2955"/>
    <cellStyle name="Normal 197 2 3" xfId="3808"/>
    <cellStyle name="Normal 197 2 3 2" xfId="9618"/>
    <cellStyle name="Normal 197 2 3 3" xfId="6696"/>
    <cellStyle name="Normal 197 2 4" xfId="8145"/>
    <cellStyle name="Normal 197 2 5" xfId="5252"/>
    <cellStyle name="Normal 197 2 6" xfId="2361"/>
    <cellStyle name="Normal 197 3" xfId="652"/>
    <cellStyle name="Normal 197 3 2" xfId="1556"/>
    <cellStyle name="Normal 197 3 2 2" xfId="4226"/>
    <cellStyle name="Normal 197 3 2 2 2" xfId="10036"/>
    <cellStyle name="Normal 197 3 2 2 3" xfId="7114"/>
    <cellStyle name="Normal 197 3 2 3" xfId="8571"/>
    <cellStyle name="Normal 197 3 2 4" xfId="5670"/>
    <cellStyle name="Normal 197 3 2 5" xfId="2779"/>
    <cellStyle name="Normal 197 3 3" xfId="3632"/>
    <cellStyle name="Normal 197 3 3 2" xfId="9442"/>
    <cellStyle name="Normal 197 3 3 3" xfId="6520"/>
    <cellStyle name="Normal 197 3 4" xfId="7969"/>
    <cellStyle name="Normal 197 3 5" xfId="5076"/>
    <cellStyle name="Normal 197 3 6" xfId="2185"/>
    <cellStyle name="Normal 197 4" xfId="1381"/>
    <cellStyle name="Normal 197 4 2" xfId="4051"/>
    <cellStyle name="Normal 197 4 2 2" xfId="9861"/>
    <cellStyle name="Normal 197 4 2 3" xfId="6939"/>
    <cellStyle name="Normal 197 4 3" xfId="8396"/>
    <cellStyle name="Normal 197 4 4" xfId="5495"/>
    <cellStyle name="Normal 197 4 5" xfId="2604"/>
    <cellStyle name="Normal 197 5" xfId="3239"/>
    <cellStyle name="Normal 197 5 2" xfId="4683"/>
    <cellStyle name="Normal 197 5 2 2" xfId="10493"/>
    <cellStyle name="Normal 197 5 2 3" xfId="7571"/>
    <cellStyle name="Normal 197 5 3" xfId="9049"/>
    <cellStyle name="Normal 197 5 4" xfId="6127"/>
    <cellStyle name="Normal 197 6" xfId="3457"/>
    <cellStyle name="Normal 197 6 2" xfId="9267"/>
    <cellStyle name="Normal 197 6 3" xfId="6345"/>
    <cellStyle name="Normal 197 7" xfId="7794"/>
    <cellStyle name="Normal 197 8" xfId="4901"/>
    <cellStyle name="Normal 197 9" xfId="2010"/>
    <cellStyle name="Normal 198" xfId="477"/>
    <cellStyle name="Normal 198 2" xfId="1067"/>
    <cellStyle name="Normal 198 2 2" xfId="1753"/>
    <cellStyle name="Normal 198 2 2 2" xfId="4403"/>
    <cellStyle name="Normal 198 2 2 2 2" xfId="10213"/>
    <cellStyle name="Normal 198 2 2 2 3" xfId="7291"/>
    <cellStyle name="Normal 198 2 2 3" xfId="8768"/>
    <cellStyle name="Normal 198 2 2 4" xfId="5847"/>
    <cellStyle name="Normal 198 2 2 5" xfId="2956"/>
    <cellStyle name="Normal 198 2 3" xfId="3809"/>
    <cellStyle name="Normal 198 2 3 2" xfId="9619"/>
    <cellStyle name="Normal 198 2 3 3" xfId="6697"/>
    <cellStyle name="Normal 198 2 4" xfId="8146"/>
    <cellStyle name="Normal 198 2 5" xfId="5253"/>
    <cellStyle name="Normal 198 2 6" xfId="2362"/>
    <cellStyle name="Normal 198 3" xfId="659"/>
    <cellStyle name="Normal 198 3 2" xfId="1563"/>
    <cellStyle name="Normal 198 3 2 2" xfId="4233"/>
    <cellStyle name="Normal 198 3 2 2 2" xfId="10043"/>
    <cellStyle name="Normal 198 3 2 2 3" xfId="7121"/>
    <cellStyle name="Normal 198 3 2 3" xfId="8578"/>
    <cellStyle name="Normal 198 3 2 4" xfId="5677"/>
    <cellStyle name="Normal 198 3 2 5" xfId="2786"/>
    <cellStyle name="Normal 198 3 3" xfId="3639"/>
    <cellStyle name="Normal 198 3 3 2" xfId="9449"/>
    <cellStyle name="Normal 198 3 3 3" xfId="6527"/>
    <cellStyle name="Normal 198 3 4" xfId="7976"/>
    <cellStyle name="Normal 198 3 5" xfId="5083"/>
    <cellStyle name="Normal 198 3 6" xfId="2192"/>
    <cellStyle name="Normal 198 4" xfId="1388"/>
    <cellStyle name="Normal 198 4 2" xfId="4058"/>
    <cellStyle name="Normal 198 4 2 2" xfId="9868"/>
    <cellStyle name="Normal 198 4 2 3" xfId="6946"/>
    <cellStyle name="Normal 198 4 3" xfId="8403"/>
    <cellStyle name="Normal 198 4 4" xfId="5502"/>
    <cellStyle name="Normal 198 4 5" xfId="2611"/>
    <cellStyle name="Normal 198 5" xfId="3240"/>
    <cellStyle name="Normal 198 5 2" xfId="4684"/>
    <cellStyle name="Normal 198 5 2 2" xfId="10494"/>
    <cellStyle name="Normal 198 5 2 3" xfId="7572"/>
    <cellStyle name="Normal 198 5 3" xfId="9050"/>
    <cellStyle name="Normal 198 5 4" xfId="6128"/>
    <cellStyle name="Normal 198 6" xfId="3464"/>
    <cellStyle name="Normal 198 6 2" xfId="9274"/>
    <cellStyle name="Normal 198 6 3" xfId="6352"/>
    <cellStyle name="Normal 198 7" xfId="7801"/>
    <cellStyle name="Normal 198 8" xfId="4908"/>
    <cellStyle name="Normal 198 9" xfId="2017"/>
    <cellStyle name="Normal 199" xfId="484"/>
    <cellStyle name="Normal 199 2" xfId="1068"/>
    <cellStyle name="Normal 199 2 2" xfId="1754"/>
    <cellStyle name="Normal 199 2 2 2" xfId="4404"/>
    <cellStyle name="Normal 199 2 2 2 2" xfId="10214"/>
    <cellStyle name="Normal 199 2 2 2 3" xfId="7292"/>
    <cellStyle name="Normal 199 2 2 3" xfId="8769"/>
    <cellStyle name="Normal 199 2 2 4" xfId="5848"/>
    <cellStyle name="Normal 199 2 2 5" xfId="2957"/>
    <cellStyle name="Normal 199 2 3" xfId="3810"/>
    <cellStyle name="Normal 199 2 3 2" xfId="9620"/>
    <cellStyle name="Normal 199 2 3 3" xfId="6698"/>
    <cellStyle name="Normal 199 2 4" xfId="8147"/>
    <cellStyle name="Normal 199 2 5" xfId="5254"/>
    <cellStyle name="Normal 199 2 6" xfId="2363"/>
    <cellStyle name="Normal 199 3" xfId="663"/>
    <cellStyle name="Normal 199 3 2" xfId="1567"/>
    <cellStyle name="Normal 199 3 2 2" xfId="4237"/>
    <cellStyle name="Normal 199 3 2 2 2" xfId="10047"/>
    <cellStyle name="Normal 199 3 2 2 3" xfId="7125"/>
    <cellStyle name="Normal 199 3 2 3" xfId="8582"/>
    <cellStyle name="Normal 199 3 2 4" xfId="5681"/>
    <cellStyle name="Normal 199 3 2 5" xfId="2790"/>
    <cellStyle name="Normal 199 3 3" xfId="3643"/>
    <cellStyle name="Normal 199 3 3 2" xfId="9453"/>
    <cellStyle name="Normal 199 3 3 3" xfId="6531"/>
    <cellStyle name="Normal 199 3 4" xfId="7980"/>
    <cellStyle name="Normal 199 3 5" xfId="5087"/>
    <cellStyle name="Normal 199 3 6" xfId="2196"/>
    <cellStyle name="Normal 199 4" xfId="1392"/>
    <cellStyle name="Normal 199 4 2" xfId="4062"/>
    <cellStyle name="Normal 199 4 2 2" xfId="9872"/>
    <cellStyle name="Normal 199 4 2 3" xfId="6950"/>
    <cellStyle name="Normal 199 4 3" xfId="8407"/>
    <cellStyle name="Normal 199 4 4" xfId="5506"/>
    <cellStyle name="Normal 199 4 5" xfId="2615"/>
    <cellStyle name="Normal 199 5" xfId="3241"/>
    <cellStyle name="Normal 199 5 2" xfId="4685"/>
    <cellStyle name="Normal 199 5 2 2" xfId="10495"/>
    <cellStyle name="Normal 199 5 2 3" xfId="7573"/>
    <cellStyle name="Normal 199 5 3" xfId="9051"/>
    <cellStyle name="Normal 199 5 4" xfId="6129"/>
    <cellStyle name="Normal 199 6" xfId="3468"/>
    <cellStyle name="Normal 199 6 2" xfId="9278"/>
    <cellStyle name="Normal 199 6 3" xfId="6356"/>
    <cellStyle name="Normal 199 7" xfId="7805"/>
    <cellStyle name="Normal 199 8" xfId="4912"/>
    <cellStyle name="Normal 199 9" xfId="2021"/>
    <cellStyle name="Normal 2" xfId="175"/>
    <cellStyle name="Normal 2 2" xfId="176"/>
    <cellStyle name="Normal 2 2 2" xfId="1069"/>
    <cellStyle name="Normal 2 2 2 2" xfId="1070"/>
    <cellStyle name="Normal 2 2 2 2 2" xfId="1756"/>
    <cellStyle name="Normal 2 2 2 2 2 2" xfId="4406"/>
    <cellStyle name="Normal 2 2 2 2 2 2 2" xfId="10216"/>
    <cellStyle name="Normal 2 2 2 2 2 2 3" xfId="7294"/>
    <cellStyle name="Normal 2 2 2 2 2 3" xfId="8771"/>
    <cellStyle name="Normal 2 2 2 2 2 4" xfId="5850"/>
    <cellStyle name="Normal 2 2 2 2 2 5" xfId="2959"/>
    <cellStyle name="Normal 2 2 2 2 3" xfId="3243"/>
    <cellStyle name="Normal 2 2 2 2 3 2" xfId="4687"/>
    <cellStyle name="Normal 2 2 2 2 3 2 2" xfId="10497"/>
    <cellStyle name="Normal 2 2 2 2 3 2 3" xfId="7575"/>
    <cellStyle name="Normal 2 2 2 2 3 3" xfId="9053"/>
    <cellStyle name="Normal 2 2 2 2 3 4" xfId="6131"/>
    <cellStyle name="Normal 2 2 2 2 4" xfId="3812"/>
    <cellStyle name="Normal 2 2 2 2 4 2" xfId="9622"/>
    <cellStyle name="Normal 2 2 2 2 4 3" xfId="6700"/>
    <cellStyle name="Normal 2 2 2 2 5" xfId="8149"/>
    <cellStyle name="Normal 2 2 2 2 6" xfId="5256"/>
    <cellStyle name="Normal 2 2 2 2 7" xfId="2365"/>
    <cellStyle name="Normal 2 2 2 3" xfId="1755"/>
    <cellStyle name="Normal 2 2 2 3 2" xfId="4405"/>
    <cellStyle name="Normal 2 2 2 3 2 2" xfId="10215"/>
    <cellStyle name="Normal 2 2 2 3 2 3" xfId="7293"/>
    <cellStyle name="Normal 2 2 2 3 3" xfId="8770"/>
    <cellStyle name="Normal 2 2 2 3 4" xfId="5849"/>
    <cellStyle name="Normal 2 2 2 3 5" xfId="2958"/>
    <cellStyle name="Normal 2 2 2 4" xfId="3101"/>
    <cellStyle name="Normal 2 2 2 4 2" xfId="4546"/>
    <cellStyle name="Normal 2 2 2 4 2 2" xfId="10356"/>
    <cellStyle name="Normal 2 2 2 4 2 3" xfId="7434"/>
    <cellStyle name="Normal 2 2 2 4 3" xfId="8912"/>
    <cellStyle name="Normal 2 2 2 4 4" xfId="5990"/>
    <cellStyle name="Normal 2 2 2 5" xfId="3242"/>
    <cellStyle name="Normal 2 2 2 5 2" xfId="4686"/>
    <cellStyle name="Normal 2 2 2 5 2 2" xfId="10496"/>
    <cellStyle name="Normal 2 2 2 5 2 3" xfId="7574"/>
    <cellStyle name="Normal 2 2 2 5 3" xfId="9052"/>
    <cellStyle name="Normal 2 2 2 5 4" xfId="6130"/>
    <cellStyle name="Normal 2 2 2 6" xfId="3811"/>
    <cellStyle name="Normal 2 2 2 6 2" xfId="9621"/>
    <cellStyle name="Normal 2 2 2 6 3" xfId="6699"/>
    <cellStyle name="Normal 2 2 2 7" xfId="8148"/>
    <cellStyle name="Normal 2 2 2 8" xfId="5255"/>
    <cellStyle name="Normal 2 2 2 9" xfId="2364"/>
    <cellStyle name="Normal 2 2 3" xfId="1071"/>
    <cellStyle name="Normal 2 2 3 2" xfId="1757"/>
    <cellStyle name="Normal 2 2 3 2 2" xfId="4407"/>
    <cellStyle name="Normal 2 2 3 2 2 2" xfId="10217"/>
    <cellStyle name="Normal 2 2 3 2 2 3" xfId="7295"/>
    <cellStyle name="Normal 2 2 3 2 3" xfId="8772"/>
    <cellStyle name="Normal 2 2 3 2 4" xfId="5851"/>
    <cellStyle name="Normal 2 2 3 2 5" xfId="2960"/>
    <cellStyle name="Normal 2 2 3 3" xfId="3244"/>
    <cellStyle name="Normal 2 2 3 3 2" xfId="4688"/>
    <cellStyle name="Normal 2 2 3 3 2 2" xfId="10498"/>
    <cellStyle name="Normal 2 2 3 3 2 3" xfId="7576"/>
    <cellStyle name="Normal 2 2 3 3 3" xfId="9054"/>
    <cellStyle name="Normal 2 2 3 3 4" xfId="6132"/>
    <cellStyle name="Normal 2 2 3 4" xfId="3813"/>
    <cellStyle name="Normal 2 2 3 4 2" xfId="9623"/>
    <cellStyle name="Normal 2 2 3 4 3" xfId="6701"/>
    <cellStyle name="Normal 2 2 3 5" xfId="8150"/>
    <cellStyle name="Normal 2 2 3 6" xfId="5257"/>
    <cellStyle name="Normal 2 2 3 7" xfId="2366"/>
    <cellStyle name="Normal 2 2 4" xfId="1072"/>
    <cellStyle name="Normal 2 2 4 2" xfId="1758"/>
    <cellStyle name="Normal 2 2 4 2 2" xfId="4408"/>
    <cellStyle name="Normal 2 2 4 2 2 2" xfId="10218"/>
    <cellStyle name="Normal 2 2 4 2 2 3" xfId="7296"/>
    <cellStyle name="Normal 2 2 4 2 3" xfId="8773"/>
    <cellStyle name="Normal 2 2 4 2 4" xfId="5852"/>
    <cellStyle name="Normal 2 2 4 2 5" xfId="2961"/>
    <cellStyle name="Normal 2 2 4 3" xfId="3245"/>
    <cellStyle name="Normal 2 2 4 3 2" xfId="4689"/>
    <cellStyle name="Normal 2 2 4 3 2 2" xfId="10499"/>
    <cellStyle name="Normal 2 2 4 3 2 3" xfId="7577"/>
    <cellStyle name="Normal 2 2 4 3 3" xfId="9055"/>
    <cellStyle name="Normal 2 2 4 3 4" xfId="6133"/>
    <cellStyle name="Normal 2 2 4 4" xfId="3814"/>
    <cellStyle name="Normal 2 2 4 4 2" xfId="9624"/>
    <cellStyle name="Normal 2 2 4 4 3" xfId="6702"/>
    <cellStyle name="Normal 2 2 4 5" xfId="8151"/>
    <cellStyle name="Normal 2 2 4 6" xfId="5258"/>
    <cellStyle name="Normal 2 2 4 7" xfId="2367"/>
    <cellStyle name="Normal 2 2 5" xfId="3095"/>
    <cellStyle name="Normal 2 2 5 2" xfId="4540"/>
    <cellStyle name="Normal 2 2 5 2 2" xfId="10350"/>
    <cellStyle name="Normal 2 2 5 2 3" xfId="7428"/>
    <cellStyle name="Normal 2 2 5 3" xfId="8906"/>
    <cellStyle name="Normal 2 2 5 4" xfId="5984"/>
    <cellStyle name="Normal 2 3" xfId="177"/>
    <cellStyle name="Normal 2 3 2" xfId="1073"/>
    <cellStyle name="Normal 2 3 2 2" xfId="1074"/>
    <cellStyle name="Normal 2 3 2 2 2" xfId="1760"/>
    <cellStyle name="Normal 2 3 2 2 2 2" xfId="4410"/>
    <cellStyle name="Normal 2 3 2 2 2 2 2" xfId="10220"/>
    <cellStyle name="Normal 2 3 2 2 2 2 3" xfId="7298"/>
    <cellStyle name="Normal 2 3 2 2 2 3" xfId="8775"/>
    <cellStyle name="Normal 2 3 2 2 2 4" xfId="5854"/>
    <cellStyle name="Normal 2 3 2 2 2 5" xfId="2963"/>
    <cellStyle name="Normal 2 3 2 2 3" xfId="3247"/>
    <cellStyle name="Normal 2 3 2 2 3 2" xfId="4691"/>
    <cellStyle name="Normal 2 3 2 2 3 2 2" xfId="10501"/>
    <cellStyle name="Normal 2 3 2 2 3 2 3" xfId="7579"/>
    <cellStyle name="Normal 2 3 2 2 3 3" xfId="9057"/>
    <cellStyle name="Normal 2 3 2 2 3 4" xfId="6135"/>
    <cellStyle name="Normal 2 3 2 2 4" xfId="3816"/>
    <cellStyle name="Normal 2 3 2 2 4 2" xfId="9626"/>
    <cellStyle name="Normal 2 3 2 2 4 3" xfId="6704"/>
    <cellStyle name="Normal 2 3 2 2 5" xfId="8153"/>
    <cellStyle name="Normal 2 3 2 2 6" xfId="5260"/>
    <cellStyle name="Normal 2 3 2 2 7" xfId="2369"/>
    <cellStyle name="Normal 2 3 2 3" xfId="1759"/>
    <cellStyle name="Normal 2 3 2 3 2" xfId="4409"/>
    <cellStyle name="Normal 2 3 2 3 2 2" xfId="10219"/>
    <cellStyle name="Normal 2 3 2 3 2 3" xfId="7297"/>
    <cellStyle name="Normal 2 3 2 3 3" xfId="8774"/>
    <cellStyle name="Normal 2 3 2 3 4" xfId="5853"/>
    <cellStyle name="Normal 2 3 2 3 5" xfId="2962"/>
    <cellStyle name="Normal 2 3 2 4" xfId="3103"/>
    <cellStyle name="Normal 2 3 2 4 2" xfId="4548"/>
    <cellStyle name="Normal 2 3 2 4 2 2" xfId="10358"/>
    <cellStyle name="Normal 2 3 2 4 2 3" xfId="7436"/>
    <cellStyle name="Normal 2 3 2 4 3" xfId="8914"/>
    <cellStyle name="Normal 2 3 2 4 4" xfId="5992"/>
    <cellStyle name="Normal 2 3 2 5" xfId="3246"/>
    <cellStyle name="Normal 2 3 2 5 2" xfId="4690"/>
    <cellStyle name="Normal 2 3 2 5 2 2" xfId="10500"/>
    <cellStyle name="Normal 2 3 2 5 2 3" xfId="7578"/>
    <cellStyle name="Normal 2 3 2 5 3" xfId="9056"/>
    <cellStyle name="Normal 2 3 2 5 4" xfId="6134"/>
    <cellStyle name="Normal 2 3 2 6" xfId="3815"/>
    <cellStyle name="Normal 2 3 2 6 2" xfId="9625"/>
    <cellStyle name="Normal 2 3 2 6 3" xfId="6703"/>
    <cellStyle name="Normal 2 3 2 7" xfId="8152"/>
    <cellStyle name="Normal 2 3 2 8" xfId="5259"/>
    <cellStyle name="Normal 2 3 2 9" xfId="2368"/>
    <cellStyle name="Normal 2 3 3" xfId="1075"/>
    <cellStyle name="Normal 2 3 3 2" xfId="1761"/>
    <cellStyle name="Normal 2 3 3 2 2" xfId="4411"/>
    <cellStyle name="Normal 2 3 3 2 2 2" xfId="10221"/>
    <cellStyle name="Normal 2 3 3 2 2 3" xfId="7299"/>
    <cellStyle name="Normal 2 3 3 2 3" xfId="8776"/>
    <cellStyle name="Normal 2 3 3 2 4" xfId="5855"/>
    <cellStyle name="Normal 2 3 3 2 5" xfId="2964"/>
    <cellStyle name="Normal 2 3 3 3" xfId="3248"/>
    <cellStyle name="Normal 2 3 3 3 2" xfId="4692"/>
    <cellStyle name="Normal 2 3 3 3 2 2" xfId="10502"/>
    <cellStyle name="Normal 2 3 3 3 2 3" xfId="7580"/>
    <cellStyle name="Normal 2 3 3 3 3" xfId="9058"/>
    <cellStyle name="Normal 2 3 3 3 4" xfId="6136"/>
    <cellStyle name="Normal 2 3 3 4" xfId="3817"/>
    <cellStyle name="Normal 2 3 3 4 2" xfId="9627"/>
    <cellStyle name="Normal 2 3 3 4 3" xfId="6705"/>
    <cellStyle name="Normal 2 3 3 5" xfId="8154"/>
    <cellStyle name="Normal 2 3 3 6" xfId="5261"/>
    <cellStyle name="Normal 2 3 3 7" xfId="2370"/>
    <cellStyle name="Normal 2 3 4" xfId="1076"/>
    <cellStyle name="Normal 2 3 4 2" xfId="1762"/>
    <cellStyle name="Normal 2 3 4 2 2" xfId="4412"/>
    <cellStyle name="Normal 2 3 4 2 2 2" xfId="10222"/>
    <cellStyle name="Normal 2 3 4 2 2 3" xfId="7300"/>
    <cellStyle name="Normal 2 3 4 2 3" xfId="8777"/>
    <cellStyle name="Normal 2 3 4 2 4" xfId="5856"/>
    <cellStyle name="Normal 2 3 4 2 5" xfId="2965"/>
    <cellStyle name="Normal 2 3 4 3" xfId="3249"/>
    <cellStyle name="Normal 2 3 4 3 2" xfId="4693"/>
    <cellStyle name="Normal 2 3 4 3 2 2" xfId="10503"/>
    <cellStyle name="Normal 2 3 4 3 2 3" xfId="7581"/>
    <cellStyle name="Normal 2 3 4 3 3" xfId="9059"/>
    <cellStyle name="Normal 2 3 4 3 4" xfId="6137"/>
    <cellStyle name="Normal 2 3 4 4" xfId="3818"/>
    <cellStyle name="Normal 2 3 4 4 2" xfId="9628"/>
    <cellStyle name="Normal 2 3 4 4 3" xfId="6706"/>
    <cellStyle name="Normal 2 3 4 5" xfId="8155"/>
    <cellStyle name="Normal 2 3 4 6" xfId="5262"/>
    <cellStyle name="Normal 2 3 4 7" xfId="2371"/>
    <cellStyle name="Normal 2 3 5" xfId="3097"/>
    <cellStyle name="Normal 2 3 5 2" xfId="4542"/>
    <cellStyle name="Normal 2 3 5 2 2" xfId="10352"/>
    <cellStyle name="Normal 2 3 5 2 3" xfId="7430"/>
    <cellStyle name="Normal 2 3 5 3" xfId="8908"/>
    <cellStyle name="Normal 2 3 5 4" xfId="5986"/>
    <cellStyle name="Normal 2 4" xfId="178"/>
    <cellStyle name="Normal 2 4 10" xfId="4791"/>
    <cellStyle name="Normal 2 4 11" xfId="1900"/>
    <cellStyle name="Normal 2 4 2" xfId="1078"/>
    <cellStyle name="Normal 2 4 2 2" xfId="1764"/>
    <cellStyle name="Normal 2 4 2 2 2" xfId="4414"/>
    <cellStyle name="Normal 2 4 2 2 2 2" xfId="10224"/>
    <cellStyle name="Normal 2 4 2 2 2 3" xfId="7302"/>
    <cellStyle name="Normal 2 4 2 2 3" xfId="8779"/>
    <cellStyle name="Normal 2 4 2 2 4" xfId="5858"/>
    <cellStyle name="Normal 2 4 2 2 5" xfId="2967"/>
    <cellStyle name="Normal 2 4 2 3" xfId="3251"/>
    <cellStyle name="Normal 2 4 2 3 2" xfId="4695"/>
    <cellStyle name="Normal 2 4 2 3 2 2" xfId="10505"/>
    <cellStyle name="Normal 2 4 2 3 2 3" xfId="7583"/>
    <cellStyle name="Normal 2 4 2 3 3" xfId="9061"/>
    <cellStyle name="Normal 2 4 2 3 4" xfId="6139"/>
    <cellStyle name="Normal 2 4 2 4" xfId="3820"/>
    <cellStyle name="Normal 2 4 2 4 2" xfId="9630"/>
    <cellStyle name="Normal 2 4 2 4 3" xfId="6708"/>
    <cellStyle name="Normal 2 4 2 5" xfId="8157"/>
    <cellStyle name="Normal 2 4 2 6" xfId="5264"/>
    <cellStyle name="Normal 2 4 2 7" xfId="2373"/>
    <cellStyle name="Normal 2 4 3" xfId="1077"/>
    <cellStyle name="Normal 2 4 3 2" xfId="1763"/>
    <cellStyle name="Normal 2 4 3 2 2" xfId="4413"/>
    <cellStyle name="Normal 2 4 3 2 2 2" xfId="10223"/>
    <cellStyle name="Normal 2 4 3 2 2 3" xfId="7301"/>
    <cellStyle name="Normal 2 4 3 2 3" xfId="8778"/>
    <cellStyle name="Normal 2 4 3 2 4" xfId="5857"/>
    <cellStyle name="Normal 2 4 3 2 5" xfId="2966"/>
    <cellStyle name="Normal 2 4 3 3" xfId="3819"/>
    <cellStyle name="Normal 2 4 3 3 2" xfId="9629"/>
    <cellStyle name="Normal 2 4 3 3 3" xfId="6707"/>
    <cellStyle name="Normal 2 4 3 4" xfId="8156"/>
    <cellStyle name="Normal 2 4 3 5" xfId="5263"/>
    <cellStyle name="Normal 2 4 3 6" xfId="2372"/>
    <cellStyle name="Normal 2 4 4" xfId="542"/>
    <cellStyle name="Normal 2 4 4 2" xfId="1446"/>
    <cellStyle name="Normal 2 4 4 2 2" xfId="4116"/>
    <cellStyle name="Normal 2 4 4 2 2 2" xfId="9926"/>
    <cellStyle name="Normal 2 4 4 2 2 3" xfId="7004"/>
    <cellStyle name="Normal 2 4 4 2 3" xfId="8461"/>
    <cellStyle name="Normal 2 4 4 2 4" xfId="5560"/>
    <cellStyle name="Normal 2 4 4 2 5" xfId="2669"/>
    <cellStyle name="Normal 2 4 4 3" xfId="3522"/>
    <cellStyle name="Normal 2 4 4 3 2" xfId="9332"/>
    <cellStyle name="Normal 2 4 4 3 3" xfId="6410"/>
    <cellStyle name="Normal 2 4 4 4" xfId="7859"/>
    <cellStyle name="Normal 2 4 4 5" xfId="4966"/>
    <cellStyle name="Normal 2 4 4 6" xfId="2075"/>
    <cellStyle name="Normal 2 4 5" xfId="1271"/>
    <cellStyle name="Normal 2 4 5 2" xfId="3941"/>
    <cellStyle name="Normal 2 4 5 2 2" xfId="9751"/>
    <cellStyle name="Normal 2 4 5 2 3" xfId="6829"/>
    <cellStyle name="Normal 2 4 5 3" xfId="8286"/>
    <cellStyle name="Normal 2 4 5 4" xfId="5385"/>
    <cellStyle name="Normal 2 4 5 5" xfId="2494"/>
    <cellStyle name="Normal 2 4 6" xfId="3099"/>
    <cellStyle name="Normal 2 4 6 2" xfId="4544"/>
    <cellStyle name="Normal 2 4 6 2 2" xfId="10354"/>
    <cellStyle name="Normal 2 4 6 2 3" xfId="7432"/>
    <cellStyle name="Normal 2 4 6 3" xfId="8910"/>
    <cellStyle name="Normal 2 4 6 4" xfId="5988"/>
    <cellStyle name="Normal 2 4 7" xfId="3250"/>
    <cellStyle name="Normal 2 4 7 2" xfId="4694"/>
    <cellStyle name="Normal 2 4 7 2 2" xfId="10504"/>
    <cellStyle name="Normal 2 4 7 2 3" xfId="7582"/>
    <cellStyle name="Normal 2 4 7 3" xfId="9060"/>
    <cellStyle name="Normal 2 4 7 4" xfId="6138"/>
    <cellStyle name="Normal 2 4 8" xfId="3347"/>
    <cellStyle name="Normal 2 4 8 2" xfId="9157"/>
    <cellStyle name="Normal 2 4 8 3" xfId="6235"/>
    <cellStyle name="Normal 2 4 9" xfId="7679"/>
    <cellStyle name="Normal 2 5" xfId="485"/>
    <cellStyle name="Normal 2 6" xfId="3093"/>
    <cellStyle name="Normal 2 6 2" xfId="4538"/>
    <cellStyle name="Normal 2 6 2 2" xfId="10348"/>
    <cellStyle name="Normal 2 6 2 3" xfId="7426"/>
    <cellStyle name="Normal 2 6 3" xfId="8904"/>
    <cellStyle name="Normal 2 6 4" xfId="5982"/>
    <cellStyle name="Normal 20" xfId="179"/>
    <cellStyle name="Normal 20 2" xfId="1079"/>
    <cellStyle name="Normal 200" xfId="486"/>
    <cellStyle name="Normal 200 2" xfId="1080"/>
    <cellStyle name="Normal 200 2 2" xfId="1765"/>
    <cellStyle name="Normal 200 2 2 2" xfId="4415"/>
    <cellStyle name="Normal 200 2 2 2 2" xfId="10225"/>
    <cellStyle name="Normal 200 2 2 2 3" xfId="7303"/>
    <cellStyle name="Normal 200 2 2 3" xfId="8780"/>
    <cellStyle name="Normal 200 2 2 4" xfId="5859"/>
    <cellStyle name="Normal 200 2 2 5" xfId="2968"/>
    <cellStyle name="Normal 200 2 3" xfId="3821"/>
    <cellStyle name="Normal 200 2 3 2" xfId="9631"/>
    <cellStyle name="Normal 200 2 3 3" xfId="6709"/>
    <cellStyle name="Normal 200 2 4" xfId="8158"/>
    <cellStyle name="Normal 200 2 5" xfId="5265"/>
    <cellStyle name="Normal 200 2 6" xfId="2374"/>
    <cellStyle name="Normal 200 3" xfId="664"/>
    <cellStyle name="Normal 200 3 2" xfId="1568"/>
    <cellStyle name="Normal 200 3 2 2" xfId="4238"/>
    <cellStyle name="Normal 200 3 2 2 2" xfId="10048"/>
    <cellStyle name="Normal 200 3 2 2 3" xfId="7126"/>
    <cellStyle name="Normal 200 3 2 3" xfId="8583"/>
    <cellStyle name="Normal 200 3 2 4" xfId="5682"/>
    <cellStyle name="Normal 200 3 2 5" xfId="2791"/>
    <cellStyle name="Normal 200 3 3" xfId="3644"/>
    <cellStyle name="Normal 200 3 3 2" xfId="9454"/>
    <cellStyle name="Normal 200 3 3 3" xfId="6532"/>
    <cellStyle name="Normal 200 3 4" xfId="7981"/>
    <cellStyle name="Normal 200 3 5" xfId="5088"/>
    <cellStyle name="Normal 200 3 6" xfId="2197"/>
    <cellStyle name="Normal 200 4" xfId="1393"/>
    <cellStyle name="Normal 200 4 2" xfId="4063"/>
    <cellStyle name="Normal 200 4 2 2" xfId="9873"/>
    <cellStyle name="Normal 200 4 2 3" xfId="6951"/>
    <cellStyle name="Normal 200 4 3" xfId="8408"/>
    <cellStyle name="Normal 200 4 4" xfId="5507"/>
    <cellStyle name="Normal 200 4 5" xfId="2616"/>
    <cellStyle name="Normal 200 5" xfId="3252"/>
    <cellStyle name="Normal 200 5 2" xfId="4696"/>
    <cellStyle name="Normal 200 5 2 2" xfId="10506"/>
    <cellStyle name="Normal 200 5 2 3" xfId="7584"/>
    <cellStyle name="Normal 200 5 3" xfId="9062"/>
    <cellStyle name="Normal 200 5 4" xfId="6140"/>
    <cellStyle name="Normal 200 6" xfId="3469"/>
    <cellStyle name="Normal 200 6 2" xfId="9279"/>
    <cellStyle name="Normal 200 6 3" xfId="6357"/>
    <cellStyle name="Normal 200 7" xfId="7806"/>
    <cellStyle name="Normal 200 8" xfId="4913"/>
    <cellStyle name="Normal 200 9" xfId="2022"/>
    <cellStyle name="Normal 201" xfId="489"/>
    <cellStyle name="Normal 201 2" xfId="1081"/>
    <cellStyle name="Normal 201 2 2" xfId="1766"/>
    <cellStyle name="Normal 201 2 2 2" xfId="4416"/>
    <cellStyle name="Normal 201 2 2 2 2" xfId="10226"/>
    <cellStyle name="Normal 201 2 2 2 3" xfId="7304"/>
    <cellStyle name="Normal 201 2 2 3" xfId="8781"/>
    <cellStyle name="Normal 201 2 2 4" xfId="5860"/>
    <cellStyle name="Normal 201 2 2 5" xfId="2969"/>
    <cellStyle name="Normal 201 2 3" xfId="3822"/>
    <cellStyle name="Normal 201 2 3 2" xfId="9632"/>
    <cellStyle name="Normal 201 2 3 3" xfId="6710"/>
    <cellStyle name="Normal 201 2 4" xfId="8159"/>
    <cellStyle name="Normal 201 2 5" xfId="5266"/>
    <cellStyle name="Normal 201 2 6" xfId="2375"/>
    <cellStyle name="Normal 201 3" xfId="667"/>
    <cellStyle name="Normal 201 3 2" xfId="1571"/>
    <cellStyle name="Normal 201 3 2 2" xfId="4241"/>
    <cellStyle name="Normal 201 3 2 2 2" xfId="10051"/>
    <cellStyle name="Normal 201 3 2 2 3" xfId="7129"/>
    <cellStyle name="Normal 201 3 2 3" xfId="8586"/>
    <cellStyle name="Normal 201 3 2 4" xfId="5685"/>
    <cellStyle name="Normal 201 3 2 5" xfId="2794"/>
    <cellStyle name="Normal 201 3 3" xfId="3647"/>
    <cellStyle name="Normal 201 3 3 2" xfId="9457"/>
    <cellStyle name="Normal 201 3 3 3" xfId="6535"/>
    <cellStyle name="Normal 201 3 4" xfId="7984"/>
    <cellStyle name="Normal 201 3 5" xfId="5091"/>
    <cellStyle name="Normal 201 3 6" xfId="2200"/>
    <cellStyle name="Normal 201 4" xfId="1396"/>
    <cellStyle name="Normal 201 4 2" xfId="4066"/>
    <cellStyle name="Normal 201 4 2 2" xfId="9876"/>
    <cellStyle name="Normal 201 4 2 3" xfId="6954"/>
    <cellStyle name="Normal 201 4 3" xfId="8411"/>
    <cellStyle name="Normal 201 4 4" xfId="5510"/>
    <cellStyle name="Normal 201 4 5" xfId="2619"/>
    <cellStyle name="Normal 201 5" xfId="3253"/>
    <cellStyle name="Normal 201 5 2" xfId="4697"/>
    <cellStyle name="Normal 201 5 2 2" xfId="10507"/>
    <cellStyle name="Normal 201 5 2 3" xfId="7585"/>
    <cellStyle name="Normal 201 5 3" xfId="9063"/>
    <cellStyle name="Normal 201 5 4" xfId="6141"/>
    <cellStyle name="Normal 201 6" xfId="3472"/>
    <cellStyle name="Normal 201 6 2" xfId="9282"/>
    <cellStyle name="Normal 201 6 3" xfId="6360"/>
    <cellStyle name="Normal 201 7" xfId="7809"/>
    <cellStyle name="Normal 201 8" xfId="4916"/>
    <cellStyle name="Normal 201 9" xfId="2025"/>
    <cellStyle name="Normal 202" xfId="501"/>
    <cellStyle name="Normal 202 2" xfId="1082"/>
    <cellStyle name="Normal 202 2 2" xfId="1767"/>
    <cellStyle name="Normal 202 2 2 2" xfId="4417"/>
    <cellStyle name="Normal 202 2 2 2 2" xfId="10227"/>
    <cellStyle name="Normal 202 2 2 2 3" xfId="7305"/>
    <cellStyle name="Normal 202 2 2 3" xfId="8782"/>
    <cellStyle name="Normal 202 2 2 4" xfId="5861"/>
    <cellStyle name="Normal 202 2 2 5" xfId="2970"/>
    <cellStyle name="Normal 202 2 3" xfId="3823"/>
    <cellStyle name="Normal 202 2 3 2" xfId="9633"/>
    <cellStyle name="Normal 202 2 3 3" xfId="6711"/>
    <cellStyle name="Normal 202 2 4" xfId="8160"/>
    <cellStyle name="Normal 202 2 5" xfId="5267"/>
    <cellStyle name="Normal 202 2 6" xfId="2376"/>
    <cellStyle name="Normal 202 3" xfId="679"/>
    <cellStyle name="Normal 202 3 2" xfId="1583"/>
    <cellStyle name="Normal 202 3 2 2" xfId="4253"/>
    <cellStyle name="Normal 202 3 2 2 2" xfId="10063"/>
    <cellStyle name="Normal 202 3 2 2 3" xfId="7141"/>
    <cellStyle name="Normal 202 3 2 3" xfId="8598"/>
    <cellStyle name="Normal 202 3 2 4" xfId="5697"/>
    <cellStyle name="Normal 202 3 2 5" xfId="2806"/>
    <cellStyle name="Normal 202 3 3" xfId="3659"/>
    <cellStyle name="Normal 202 3 3 2" xfId="9469"/>
    <cellStyle name="Normal 202 3 3 3" xfId="6547"/>
    <cellStyle name="Normal 202 3 4" xfId="7996"/>
    <cellStyle name="Normal 202 3 5" xfId="5103"/>
    <cellStyle name="Normal 202 3 6" xfId="2212"/>
    <cellStyle name="Normal 202 4" xfId="1408"/>
    <cellStyle name="Normal 202 4 2" xfId="4078"/>
    <cellStyle name="Normal 202 4 2 2" xfId="9888"/>
    <cellStyle name="Normal 202 4 2 3" xfId="6966"/>
    <cellStyle name="Normal 202 4 3" xfId="8423"/>
    <cellStyle name="Normal 202 4 4" xfId="5522"/>
    <cellStyle name="Normal 202 4 5" xfId="2631"/>
    <cellStyle name="Normal 202 5" xfId="3254"/>
    <cellStyle name="Normal 202 5 2" xfId="4698"/>
    <cellStyle name="Normal 202 5 2 2" xfId="10508"/>
    <cellStyle name="Normal 202 5 2 3" xfId="7586"/>
    <cellStyle name="Normal 202 5 3" xfId="9064"/>
    <cellStyle name="Normal 202 5 4" xfId="6142"/>
    <cellStyle name="Normal 202 6" xfId="3484"/>
    <cellStyle name="Normal 202 6 2" xfId="9294"/>
    <cellStyle name="Normal 202 6 3" xfId="6372"/>
    <cellStyle name="Normal 202 7" xfId="7821"/>
    <cellStyle name="Normal 202 8" xfId="4928"/>
    <cellStyle name="Normal 202 9" xfId="2037"/>
    <cellStyle name="Normal 203" xfId="494"/>
    <cellStyle name="Normal 203 2" xfId="1083"/>
    <cellStyle name="Normal 203 2 2" xfId="1768"/>
    <cellStyle name="Normal 203 2 2 2" xfId="4418"/>
    <cellStyle name="Normal 203 2 2 2 2" xfId="10228"/>
    <cellStyle name="Normal 203 2 2 2 3" xfId="7306"/>
    <cellStyle name="Normal 203 2 2 3" xfId="8783"/>
    <cellStyle name="Normal 203 2 2 4" xfId="5862"/>
    <cellStyle name="Normal 203 2 2 5" xfId="2971"/>
    <cellStyle name="Normal 203 2 3" xfId="3824"/>
    <cellStyle name="Normal 203 2 3 2" xfId="9634"/>
    <cellStyle name="Normal 203 2 3 3" xfId="6712"/>
    <cellStyle name="Normal 203 2 4" xfId="8161"/>
    <cellStyle name="Normal 203 2 5" xfId="5268"/>
    <cellStyle name="Normal 203 2 6" xfId="2377"/>
    <cellStyle name="Normal 203 3" xfId="672"/>
    <cellStyle name="Normal 203 3 2" xfId="1576"/>
    <cellStyle name="Normal 203 3 2 2" xfId="4246"/>
    <cellStyle name="Normal 203 3 2 2 2" xfId="10056"/>
    <cellStyle name="Normal 203 3 2 2 3" xfId="7134"/>
    <cellStyle name="Normal 203 3 2 3" xfId="8591"/>
    <cellStyle name="Normal 203 3 2 4" xfId="5690"/>
    <cellStyle name="Normal 203 3 2 5" xfId="2799"/>
    <cellStyle name="Normal 203 3 3" xfId="3652"/>
    <cellStyle name="Normal 203 3 3 2" xfId="9462"/>
    <cellStyle name="Normal 203 3 3 3" xfId="6540"/>
    <cellStyle name="Normal 203 3 4" xfId="7989"/>
    <cellStyle name="Normal 203 3 5" xfId="5096"/>
    <cellStyle name="Normal 203 3 6" xfId="2205"/>
    <cellStyle name="Normal 203 4" xfId="1401"/>
    <cellStyle name="Normal 203 4 2" xfId="4071"/>
    <cellStyle name="Normal 203 4 2 2" xfId="9881"/>
    <cellStyle name="Normal 203 4 2 3" xfId="6959"/>
    <cellStyle name="Normal 203 4 3" xfId="8416"/>
    <cellStyle name="Normal 203 4 4" xfId="5515"/>
    <cellStyle name="Normal 203 4 5" xfId="2624"/>
    <cellStyle name="Normal 203 5" xfId="3255"/>
    <cellStyle name="Normal 203 5 2" xfId="4699"/>
    <cellStyle name="Normal 203 5 2 2" xfId="10509"/>
    <cellStyle name="Normal 203 5 2 3" xfId="7587"/>
    <cellStyle name="Normal 203 5 3" xfId="9065"/>
    <cellStyle name="Normal 203 5 4" xfId="6143"/>
    <cellStyle name="Normal 203 6" xfId="3477"/>
    <cellStyle name="Normal 203 6 2" xfId="9287"/>
    <cellStyle name="Normal 203 6 3" xfId="6365"/>
    <cellStyle name="Normal 203 7" xfId="7814"/>
    <cellStyle name="Normal 203 8" xfId="4921"/>
    <cellStyle name="Normal 203 9" xfId="2030"/>
    <cellStyle name="Normal 204" xfId="497"/>
    <cellStyle name="Normal 204 2" xfId="1084"/>
    <cellStyle name="Normal 204 2 2" xfId="1769"/>
    <cellStyle name="Normal 204 2 2 2" xfId="4419"/>
    <cellStyle name="Normal 204 2 2 2 2" xfId="10229"/>
    <cellStyle name="Normal 204 2 2 2 3" xfId="7307"/>
    <cellStyle name="Normal 204 2 2 3" xfId="8784"/>
    <cellStyle name="Normal 204 2 2 4" xfId="5863"/>
    <cellStyle name="Normal 204 2 2 5" xfId="2972"/>
    <cellStyle name="Normal 204 2 3" xfId="3825"/>
    <cellStyle name="Normal 204 2 3 2" xfId="9635"/>
    <cellStyle name="Normal 204 2 3 3" xfId="6713"/>
    <cellStyle name="Normal 204 2 4" xfId="8162"/>
    <cellStyle name="Normal 204 2 5" xfId="5269"/>
    <cellStyle name="Normal 204 2 6" xfId="2378"/>
    <cellStyle name="Normal 204 3" xfId="675"/>
    <cellStyle name="Normal 204 3 2" xfId="1579"/>
    <cellStyle name="Normal 204 3 2 2" xfId="4249"/>
    <cellStyle name="Normal 204 3 2 2 2" xfId="10059"/>
    <cellStyle name="Normal 204 3 2 2 3" xfId="7137"/>
    <cellStyle name="Normal 204 3 2 3" xfId="8594"/>
    <cellStyle name="Normal 204 3 2 4" xfId="5693"/>
    <cellStyle name="Normal 204 3 2 5" xfId="2802"/>
    <cellStyle name="Normal 204 3 3" xfId="3655"/>
    <cellStyle name="Normal 204 3 3 2" xfId="9465"/>
    <cellStyle name="Normal 204 3 3 3" xfId="6543"/>
    <cellStyle name="Normal 204 3 4" xfId="7992"/>
    <cellStyle name="Normal 204 3 5" xfId="5099"/>
    <cellStyle name="Normal 204 3 6" xfId="2208"/>
    <cellStyle name="Normal 204 4" xfId="1404"/>
    <cellStyle name="Normal 204 4 2" xfId="4074"/>
    <cellStyle name="Normal 204 4 2 2" xfId="9884"/>
    <cellStyle name="Normal 204 4 2 3" xfId="6962"/>
    <cellStyle name="Normal 204 4 3" xfId="8419"/>
    <cellStyle name="Normal 204 4 4" xfId="5518"/>
    <cellStyle name="Normal 204 4 5" xfId="2627"/>
    <cellStyle name="Normal 204 5" xfId="3256"/>
    <cellStyle name="Normal 204 5 2" xfId="4700"/>
    <cellStyle name="Normal 204 5 2 2" xfId="10510"/>
    <cellStyle name="Normal 204 5 2 3" xfId="7588"/>
    <cellStyle name="Normal 204 5 3" xfId="9066"/>
    <cellStyle name="Normal 204 5 4" xfId="6144"/>
    <cellStyle name="Normal 204 6" xfId="3480"/>
    <cellStyle name="Normal 204 6 2" xfId="9290"/>
    <cellStyle name="Normal 204 6 3" xfId="6368"/>
    <cellStyle name="Normal 204 7" xfId="7817"/>
    <cellStyle name="Normal 204 8" xfId="4924"/>
    <cellStyle name="Normal 204 9" xfId="2033"/>
    <cellStyle name="Normal 205" xfId="511"/>
    <cellStyle name="Normal 205 2" xfId="1085"/>
    <cellStyle name="Normal 205 2 2" xfId="1770"/>
    <cellStyle name="Normal 205 2 2 2" xfId="4420"/>
    <cellStyle name="Normal 205 2 2 2 2" xfId="10230"/>
    <cellStyle name="Normal 205 2 2 2 3" xfId="7308"/>
    <cellStyle name="Normal 205 2 2 3" xfId="8785"/>
    <cellStyle name="Normal 205 2 2 4" xfId="5864"/>
    <cellStyle name="Normal 205 2 2 5" xfId="2973"/>
    <cellStyle name="Normal 205 2 3" xfId="3826"/>
    <cellStyle name="Normal 205 2 3 2" xfId="9636"/>
    <cellStyle name="Normal 205 2 3 3" xfId="6714"/>
    <cellStyle name="Normal 205 2 4" xfId="8163"/>
    <cellStyle name="Normal 205 2 5" xfId="5270"/>
    <cellStyle name="Normal 205 2 6" xfId="2379"/>
    <cellStyle name="Normal 205 3" xfId="689"/>
    <cellStyle name="Normal 205 3 2" xfId="1593"/>
    <cellStyle name="Normal 205 3 2 2" xfId="4263"/>
    <cellStyle name="Normal 205 3 2 2 2" xfId="10073"/>
    <cellStyle name="Normal 205 3 2 2 3" xfId="7151"/>
    <cellStyle name="Normal 205 3 2 3" xfId="8608"/>
    <cellStyle name="Normal 205 3 2 4" xfId="5707"/>
    <cellStyle name="Normal 205 3 2 5" xfId="2816"/>
    <cellStyle name="Normal 205 3 3" xfId="3669"/>
    <cellStyle name="Normal 205 3 3 2" xfId="9479"/>
    <cellStyle name="Normal 205 3 3 3" xfId="6557"/>
    <cellStyle name="Normal 205 3 4" xfId="8006"/>
    <cellStyle name="Normal 205 3 5" xfId="5113"/>
    <cellStyle name="Normal 205 3 6" xfId="2222"/>
    <cellStyle name="Normal 205 4" xfId="1418"/>
    <cellStyle name="Normal 205 4 2" xfId="4088"/>
    <cellStyle name="Normal 205 4 2 2" xfId="9898"/>
    <cellStyle name="Normal 205 4 2 3" xfId="6976"/>
    <cellStyle name="Normal 205 4 3" xfId="8433"/>
    <cellStyle name="Normal 205 4 4" xfId="5532"/>
    <cellStyle name="Normal 205 4 5" xfId="2641"/>
    <cellStyle name="Normal 205 5" xfId="3257"/>
    <cellStyle name="Normal 205 5 2" xfId="4701"/>
    <cellStyle name="Normal 205 5 2 2" xfId="10511"/>
    <cellStyle name="Normal 205 5 2 3" xfId="7589"/>
    <cellStyle name="Normal 205 5 3" xfId="9067"/>
    <cellStyle name="Normal 205 5 4" xfId="6145"/>
    <cellStyle name="Normal 205 6" xfId="3494"/>
    <cellStyle name="Normal 205 6 2" xfId="9304"/>
    <cellStyle name="Normal 205 6 3" xfId="6382"/>
    <cellStyle name="Normal 205 7" xfId="7831"/>
    <cellStyle name="Normal 205 8" xfId="4938"/>
    <cellStyle name="Normal 205 9" xfId="2047"/>
    <cellStyle name="Normal 206" xfId="492"/>
    <cellStyle name="Normal 206 10" xfId="2028"/>
    <cellStyle name="Normal 206 2" xfId="1087"/>
    <cellStyle name="Normal 206 3" xfId="1086"/>
    <cellStyle name="Normal 206 3 2" xfId="1771"/>
    <cellStyle name="Normal 206 3 2 2" xfId="4421"/>
    <cellStyle name="Normal 206 3 2 2 2" xfId="10231"/>
    <cellStyle name="Normal 206 3 2 2 3" xfId="7309"/>
    <cellStyle name="Normal 206 3 2 3" xfId="8786"/>
    <cellStyle name="Normal 206 3 2 4" xfId="5865"/>
    <cellStyle name="Normal 206 3 2 5" xfId="2974"/>
    <cellStyle name="Normal 206 3 3" xfId="3827"/>
    <cellStyle name="Normal 206 3 3 2" xfId="9637"/>
    <cellStyle name="Normal 206 3 3 3" xfId="6715"/>
    <cellStyle name="Normal 206 3 4" xfId="8164"/>
    <cellStyle name="Normal 206 3 5" xfId="5271"/>
    <cellStyle name="Normal 206 3 6" xfId="2380"/>
    <cellStyle name="Normal 206 4" xfId="670"/>
    <cellStyle name="Normal 206 4 2" xfId="1574"/>
    <cellStyle name="Normal 206 4 2 2" xfId="4244"/>
    <cellStyle name="Normal 206 4 2 2 2" xfId="10054"/>
    <cellStyle name="Normal 206 4 2 2 3" xfId="7132"/>
    <cellStyle name="Normal 206 4 2 3" xfId="8589"/>
    <cellStyle name="Normal 206 4 2 4" xfId="5688"/>
    <cellStyle name="Normal 206 4 2 5" xfId="2797"/>
    <cellStyle name="Normal 206 4 3" xfId="3650"/>
    <cellStyle name="Normal 206 4 3 2" xfId="9460"/>
    <cellStyle name="Normal 206 4 3 3" xfId="6538"/>
    <cellStyle name="Normal 206 4 4" xfId="7987"/>
    <cellStyle name="Normal 206 4 5" xfId="5094"/>
    <cellStyle name="Normal 206 4 6" xfId="2203"/>
    <cellStyle name="Normal 206 5" xfId="1399"/>
    <cellStyle name="Normal 206 5 2" xfId="4069"/>
    <cellStyle name="Normal 206 5 2 2" xfId="9879"/>
    <cellStyle name="Normal 206 5 2 3" xfId="6957"/>
    <cellStyle name="Normal 206 5 3" xfId="8414"/>
    <cellStyle name="Normal 206 5 4" xfId="5513"/>
    <cellStyle name="Normal 206 5 5" xfId="2622"/>
    <cellStyle name="Normal 206 6" xfId="3258"/>
    <cellStyle name="Normal 206 6 2" xfId="4702"/>
    <cellStyle name="Normal 206 6 2 2" xfId="10512"/>
    <cellStyle name="Normal 206 6 2 3" xfId="7590"/>
    <cellStyle name="Normal 206 6 3" xfId="9068"/>
    <cellStyle name="Normal 206 6 4" xfId="6146"/>
    <cellStyle name="Normal 206 7" xfId="3475"/>
    <cellStyle name="Normal 206 7 2" xfId="9285"/>
    <cellStyle name="Normal 206 7 3" xfId="6363"/>
    <cellStyle name="Normal 206 8" xfId="7812"/>
    <cellStyle name="Normal 206 9" xfId="4919"/>
    <cellStyle name="Normal 207" xfId="490"/>
    <cellStyle name="Normal 207 2" xfId="1088"/>
    <cellStyle name="Normal 207 2 2" xfId="1772"/>
    <cellStyle name="Normal 207 2 2 2" xfId="4422"/>
    <cellStyle name="Normal 207 2 2 2 2" xfId="10232"/>
    <cellStyle name="Normal 207 2 2 2 3" xfId="7310"/>
    <cellStyle name="Normal 207 2 2 3" xfId="8787"/>
    <cellStyle name="Normal 207 2 2 4" xfId="5866"/>
    <cellStyle name="Normal 207 2 2 5" xfId="2975"/>
    <cellStyle name="Normal 207 2 3" xfId="3828"/>
    <cellStyle name="Normal 207 2 3 2" xfId="9638"/>
    <cellStyle name="Normal 207 2 3 3" xfId="6716"/>
    <cellStyle name="Normal 207 2 4" xfId="8165"/>
    <cellStyle name="Normal 207 2 5" xfId="5272"/>
    <cellStyle name="Normal 207 2 6" xfId="2381"/>
    <cellStyle name="Normal 207 3" xfId="668"/>
    <cellStyle name="Normal 207 3 2" xfId="1572"/>
    <cellStyle name="Normal 207 3 2 2" xfId="4242"/>
    <cellStyle name="Normal 207 3 2 2 2" xfId="10052"/>
    <cellStyle name="Normal 207 3 2 2 3" xfId="7130"/>
    <cellStyle name="Normal 207 3 2 3" xfId="8587"/>
    <cellStyle name="Normal 207 3 2 4" xfId="5686"/>
    <cellStyle name="Normal 207 3 2 5" xfId="2795"/>
    <cellStyle name="Normal 207 3 3" xfId="3648"/>
    <cellStyle name="Normal 207 3 3 2" xfId="9458"/>
    <cellStyle name="Normal 207 3 3 3" xfId="6536"/>
    <cellStyle name="Normal 207 3 4" xfId="7985"/>
    <cellStyle name="Normal 207 3 5" xfId="5092"/>
    <cellStyle name="Normal 207 3 6" xfId="2201"/>
    <cellStyle name="Normal 207 4" xfId="1397"/>
    <cellStyle name="Normal 207 4 2" xfId="4067"/>
    <cellStyle name="Normal 207 4 2 2" xfId="9877"/>
    <cellStyle name="Normal 207 4 2 3" xfId="6955"/>
    <cellStyle name="Normal 207 4 3" xfId="8412"/>
    <cellStyle name="Normal 207 4 4" xfId="5511"/>
    <cellStyle name="Normal 207 4 5" xfId="2620"/>
    <cellStyle name="Normal 207 5" xfId="3259"/>
    <cellStyle name="Normal 207 5 2" xfId="4703"/>
    <cellStyle name="Normal 207 5 2 2" xfId="10513"/>
    <cellStyle name="Normal 207 5 2 3" xfId="7591"/>
    <cellStyle name="Normal 207 5 3" xfId="9069"/>
    <cellStyle name="Normal 207 5 4" xfId="6147"/>
    <cellStyle name="Normal 207 6" xfId="3473"/>
    <cellStyle name="Normal 207 6 2" xfId="9283"/>
    <cellStyle name="Normal 207 6 3" xfId="6361"/>
    <cellStyle name="Normal 207 7" xfId="7810"/>
    <cellStyle name="Normal 207 8" xfId="4917"/>
    <cellStyle name="Normal 207 9" xfId="2026"/>
    <cellStyle name="Normal 208" xfId="498"/>
    <cellStyle name="Normal 208 2" xfId="1089"/>
    <cellStyle name="Normal 208 2 2" xfId="1773"/>
    <cellStyle name="Normal 208 2 2 2" xfId="4423"/>
    <cellStyle name="Normal 208 2 2 2 2" xfId="10233"/>
    <cellStyle name="Normal 208 2 2 2 3" xfId="7311"/>
    <cellStyle name="Normal 208 2 2 3" xfId="8788"/>
    <cellStyle name="Normal 208 2 2 4" xfId="5867"/>
    <cellStyle name="Normal 208 2 2 5" xfId="2976"/>
    <cellStyle name="Normal 208 2 3" xfId="3829"/>
    <cellStyle name="Normal 208 2 3 2" xfId="9639"/>
    <cellStyle name="Normal 208 2 3 3" xfId="6717"/>
    <cellStyle name="Normal 208 2 4" xfId="8166"/>
    <cellStyle name="Normal 208 2 5" xfId="5273"/>
    <cellStyle name="Normal 208 2 6" xfId="2382"/>
    <cellStyle name="Normal 208 3" xfId="676"/>
    <cellStyle name="Normal 208 3 2" xfId="1580"/>
    <cellStyle name="Normal 208 3 2 2" xfId="4250"/>
    <cellStyle name="Normal 208 3 2 2 2" xfId="10060"/>
    <cellStyle name="Normal 208 3 2 2 3" xfId="7138"/>
    <cellStyle name="Normal 208 3 2 3" xfId="8595"/>
    <cellStyle name="Normal 208 3 2 4" xfId="5694"/>
    <cellStyle name="Normal 208 3 2 5" xfId="2803"/>
    <cellStyle name="Normal 208 3 3" xfId="3656"/>
    <cellStyle name="Normal 208 3 3 2" xfId="9466"/>
    <cellStyle name="Normal 208 3 3 3" xfId="6544"/>
    <cellStyle name="Normal 208 3 4" xfId="7993"/>
    <cellStyle name="Normal 208 3 5" xfId="5100"/>
    <cellStyle name="Normal 208 3 6" xfId="2209"/>
    <cellStyle name="Normal 208 4" xfId="1405"/>
    <cellStyle name="Normal 208 4 2" xfId="4075"/>
    <cellStyle name="Normal 208 4 2 2" xfId="9885"/>
    <cellStyle name="Normal 208 4 2 3" xfId="6963"/>
    <cellStyle name="Normal 208 4 3" xfId="8420"/>
    <cellStyle name="Normal 208 4 4" xfId="5519"/>
    <cellStyle name="Normal 208 4 5" xfId="2628"/>
    <cellStyle name="Normal 208 5" xfId="3260"/>
    <cellStyle name="Normal 208 5 2" xfId="4704"/>
    <cellStyle name="Normal 208 5 2 2" xfId="10514"/>
    <cellStyle name="Normal 208 5 2 3" xfId="7592"/>
    <cellStyle name="Normal 208 5 3" xfId="9070"/>
    <cellStyle name="Normal 208 5 4" xfId="6148"/>
    <cellStyle name="Normal 208 6" xfId="3481"/>
    <cellStyle name="Normal 208 6 2" xfId="9291"/>
    <cellStyle name="Normal 208 6 3" xfId="6369"/>
    <cellStyle name="Normal 208 7" xfId="7818"/>
    <cellStyle name="Normal 208 8" xfId="4925"/>
    <cellStyle name="Normal 208 9" xfId="2034"/>
    <cellStyle name="Normal 209" xfId="514"/>
    <cellStyle name="Normal 209 2" xfId="1090"/>
    <cellStyle name="Normal 209 2 2" xfId="1774"/>
    <cellStyle name="Normal 209 2 2 2" xfId="4424"/>
    <cellStyle name="Normal 209 2 2 2 2" xfId="10234"/>
    <cellStyle name="Normal 209 2 2 2 3" xfId="7312"/>
    <cellStyle name="Normal 209 2 2 3" xfId="8789"/>
    <cellStyle name="Normal 209 2 2 4" xfId="5868"/>
    <cellStyle name="Normal 209 2 2 5" xfId="2977"/>
    <cellStyle name="Normal 209 2 3" xfId="3830"/>
    <cellStyle name="Normal 209 2 3 2" xfId="9640"/>
    <cellStyle name="Normal 209 2 3 3" xfId="6718"/>
    <cellStyle name="Normal 209 2 4" xfId="8167"/>
    <cellStyle name="Normal 209 2 5" xfId="5274"/>
    <cellStyle name="Normal 209 2 6" xfId="2383"/>
    <cellStyle name="Normal 209 3" xfId="692"/>
    <cellStyle name="Normal 209 3 2" xfId="1596"/>
    <cellStyle name="Normal 209 3 2 2" xfId="4266"/>
    <cellStyle name="Normal 209 3 2 2 2" xfId="10076"/>
    <cellStyle name="Normal 209 3 2 2 3" xfId="7154"/>
    <cellStyle name="Normal 209 3 2 3" xfId="8611"/>
    <cellStyle name="Normal 209 3 2 4" xfId="5710"/>
    <cellStyle name="Normal 209 3 2 5" xfId="2819"/>
    <cellStyle name="Normal 209 3 3" xfId="3672"/>
    <cellStyle name="Normal 209 3 3 2" xfId="9482"/>
    <cellStyle name="Normal 209 3 3 3" xfId="6560"/>
    <cellStyle name="Normal 209 3 4" xfId="8009"/>
    <cellStyle name="Normal 209 3 5" xfId="5116"/>
    <cellStyle name="Normal 209 3 6" xfId="2225"/>
    <cellStyle name="Normal 209 4" xfId="1421"/>
    <cellStyle name="Normal 209 4 2" xfId="4091"/>
    <cellStyle name="Normal 209 4 2 2" xfId="9901"/>
    <cellStyle name="Normal 209 4 2 3" xfId="6979"/>
    <cellStyle name="Normal 209 4 3" xfId="8436"/>
    <cellStyle name="Normal 209 4 4" xfId="5535"/>
    <cellStyle name="Normal 209 4 5" xfId="2644"/>
    <cellStyle name="Normal 209 5" xfId="3261"/>
    <cellStyle name="Normal 209 5 2" xfId="4705"/>
    <cellStyle name="Normal 209 5 2 2" xfId="10515"/>
    <cellStyle name="Normal 209 5 2 3" xfId="7593"/>
    <cellStyle name="Normal 209 5 3" xfId="9071"/>
    <cellStyle name="Normal 209 5 4" xfId="6149"/>
    <cellStyle name="Normal 209 6" xfId="3497"/>
    <cellStyle name="Normal 209 6 2" xfId="9307"/>
    <cellStyle name="Normal 209 6 3" xfId="6385"/>
    <cellStyle name="Normal 209 7" xfId="7834"/>
    <cellStyle name="Normal 209 8" xfId="4941"/>
    <cellStyle name="Normal 209 9" xfId="2050"/>
    <cellStyle name="Normal 21" xfId="180"/>
    <cellStyle name="Normal 21 2" xfId="1091"/>
    <cellStyle name="Normal 210" xfId="500"/>
    <cellStyle name="Normal 210 2" xfId="1092"/>
    <cellStyle name="Normal 210 2 2" xfId="1775"/>
    <cellStyle name="Normal 210 2 2 2" xfId="4425"/>
    <cellStyle name="Normal 210 2 2 2 2" xfId="10235"/>
    <cellStyle name="Normal 210 2 2 2 3" xfId="7313"/>
    <cellStyle name="Normal 210 2 2 3" xfId="8790"/>
    <cellStyle name="Normal 210 2 2 4" xfId="5869"/>
    <cellStyle name="Normal 210 2 2 5" xfId="2978"/>
    <cellStyle name="Normal 210 2 3" xfId="3831"/>
    <cellStyle name="Normal 210 2 3 2" xfId="9641"/>
    <cellStyle name="Normal 210 2 3 3" xfId="6719"/>
    <cellStyle name="Normal 210 2 4" xfId="8168"/>
    <cellStyle name="Normal 210 2 5" xfId="5275"/>
    <cellStyle name="Normal 210 2 6" xfId="2384"/>
    <cellStyle name="Normal 210 3" xfId="678"/>
    <cellStyle name="Normal 210 3 2" xfId="1582"/>
    <cellStyle name="Normal 210 3 2 2" xfId="4252"/>
    <cellStyle name="Normal 210 3 2 2 2" xfId="10062"/>
    <cellStyle name="Normal 210 3 2 2 3" xfId="7140"/>
    <cellStyle name="Normal 210 3 2 3" xfId="8597"/>
    <cellStyle name="Normal 210 3 2 4" xfId="5696"/>
    <cellStyle name="Normal 210 3 2 5" xfId="2805"/>
    <cellStyle name="Normal 210 3 3" xfId="3658"/>
    <cellStyle name="Normal 210 3 3 2" xfId="9468"/>
    <cellStyle name="Normal 210 3 3 3" xfId="6546"/>
    <cellStyle name="Normal 210 3 4" xfId="7995"/>
    <cellStyle name="Normal 210 3 5" xfId="5102"/>
    <cellStyle name="Normal 210 3 6" xfId="2211"/>
    <cellStyle name="Normal 210 4" xfId="1407"/>
    <cellStyle name="Normal 210 4 2" xfId="4077"/>
    <cellStyle name="Normal 210 4 2 2" xfId="9887"/>
    <cellStyle name="Normal 210 4 2 3" xfId="6965"/>
    <cellStyle name="Normal 210 4 3" xfId="8422"/>
    <cellStyle name="Normal 210 4 4" xfId="5521"/>
    <cellStyle name="Normal 210 4 5" xfId="2630"/>
    <cellStyle name="Normal 210 5" xfId="3262"/>
    <cellStyle name="Normal 210 5 2" xfId="4706"/>
    <cellStyle name="Normal 210 5 2 2" xfId="10516"/>
    <cellStyle name="Normal 210 5 2 3" xfId="7594"/>
    <cellStyle name="Normal 210 5 3" xfId="9072"/>
    <cellStyle name="Normal 210 5 4" xfId="6150"/>
    <cellStyle name="Normal 210 6" xfId="3483"/>
    <cellStyle name="Normal 210 6 2" xfId="9293"/>
    <cellStyle name="Normal 210 6 3" xfId="6371"/>
    <cellStyle name="Normal 210 7" xfId="7820"/>
    <cellStyle name="Normal 210 8" xfId="4927"/>
    <cellStyle name="Normal 210 9" xfId="2036"/>
    <cellStyle name="Normal 211" xfId="491"/>
    <cellStyle name="Normal 211 2" xfId="1093"/>
    <cellStyle name="Normal 211 2 2" xfId="1776"/>
    <cellStyle name="Normal 211 2 2 2" xfId="4426"/>
    <cellStyle name="Normal 211 2 2 2 2" xfId="10236"/>
    <cellStyle name="Normal 211 2 2 2 3" xfId="7314"/>
    <cellStyle name="Normal 211 2 2 3" xfId="8791"/>
    <cellStyle name="Normal 211 2 2 4" xfId="5870"/>
    <cellStyle name="Normal 211 2 2 5" xfId="2979"/>
    <cellStyle name="Normal 211 2 3" xfId="3832"/>
    <cellStyle name="Normal 211 2 3 2" xfId="9642"/>
    <cellStyle name="Normal 211 2 3 3" xfId="6720"/>
    <cellStyle name="Normal 211 2 4" xfId="8169"/>
    <cellStyle name="Normal 211 2 5" xfId="5276"/>
    <cellStyle name="Normal 211 2 6" xfId="2385"/>
    <cellStyle name="Normal 211 3" xfId="669"/>
    <cellStyle name="Normal 211 3 2" xfId="1573"/>
    <cellStyle name="Normal 211 3 2 2" xfId="4243"/>
    <cellStyle name="Normal 211 3 2 2 2" xfId="10053"/>
    <cellStyle name="Normal 211 3 2 2 3" xfId="7131"/>
    <cellStyle name="Normal 211 3 2 3" xfId="8588"/>
    <cellStyle name="Normal 211 3 2 4" xfId="5687"/>
    <cellStyle name="Normal 211 3 2 5" xfId="2796"/>
    <cellStyle name="Normal 211 3 3" xfId="3649"/>
    <cellStyle name="Normal 211 3 3 2" xfId="9459"/>
    <cellStyle name="Normal 211 3 3 3" xfId="6537"/>
    <cellStyle name="Normal 211 3 4" xfId="7986"/>
    <cellStyle name="Normal 211 3 5" xfId="5093"/>
    <cellStyle name="Normal 211 3 6" xfId="2202"/>
    <cellStyle name="Normal 211 4" xfId="1398"/>
    <cellStyle name="Normal 211 4 2" xfId="4068"/>
    <cellStyle name="Normal 211 4 2 2" xfId="9878"/>
    <cellStyle name="Normal 211 4 2 3" xfId="6956"/>
    <cellStyle name="Normal 211 4 3" xfId="8413"/>
    <cellStyle name="Normal 211 4 4" xfId="5512"/>
    <cellStyle name="Normal 211 4 5" xfId="2621"/>
    <cellStyle name="Normal 211 5" xfId="3263"/>
    <cellStyle name="Normal 211 5 2" xfId="4707"/>
    <cellStyle name="Normal 211 5 2 2" xfId="10517"/>
    <cellStyle name="Normal 211 5 2 3" xfId="7595"/>
    <cellStyle name="Normal 211 5 3" xfId="9073"/>
    <cellStyle name="Normal 211 5 4" xfId="6151"/>
    <cellStyle name="Normal 211 6" xfId="3474"/>
    <cellStyle name="Normal 211 6 2" xfId="9284"/>
    <cellStyle name="Normal 211 6 3" xfId="6362"/>
    <cellStyle name="Normal 211 7" xfId="7811"/>
    <cellStyle name="Normal 211 8" xfId="4918"/>
    <cellStyle name="Normal 211 9" xfId="2027"/>
    <cellStyle name="Normal 212" xfId="518"/>
    <cellStyle name="Normal 212 2" xfId="1094"/>
    <cellStyle name="Normal 212 2 2" xfId="1777"/>
    <cellStyle name="Normal 212 2 2 2" xfId="4427"/>
    <cellStyle name="Normal 212 2 2 2 2" xfId="10237"/>
    <cellStyle name="Normal 212 2 2 2 3" xfId="7315"/>
    <cellStyle name="Normal 212 2 2 3" xfId="8792"/>
    <cellStyle name="Normal 212 2 2 4" xfId="5871"/>
    <cellStyle name="Normal 212 2 2 5" xfId="2980"/>
    <cellStyle name="Normal 212 2 3" xfId="3833"/>
    <cellStyle name="Normal 212 2 3 2" xfId="9643"/>
    <cellStyle name="Normal 212 2 3 3" xfId="6721"/>
    <cellStyle name="Normal 212 2 4" xfId="8170"/>
    <cellStyle name="Normal 212 2 5" xfId="5277"/>
    <cellStyle name="Normal 212 2 6" xfId="2386"/>
    <cellStyle name="Normal 212 3" xfId="696"/>
    <cellStyle name="Normal 212 3 2" xfId="1600"/>
    <cellStyle name="Normal 212 3 2 2" xfId="4270"/>
    <cellStyle name="Normal 212 3 2 2 2" xfId="10080"/>
    <cellStyle name="Normal 212 3 2 2 3" xfId="7158"/>
    <cellStyle name="Normal 212 3 2 3" xfId="8615"/>
    <cellStyle name="Normal 212 3 2 4" xfId="5714"/>
    <cellStyle name="Normal 212 3 2 5" xfId="2823"/>
    <cellStyle name="Normal 212 3 3" xfId="3676"/>
    <cellStyle name="Normal 212 3 3 2" xfId="9486"/>
    <cellStyle name="Normal 212 3 3 3" xfId="6564"/>
    <cellStyle name="Normal 212 3 4" xfId="8013"/>
    <cellStyle name="Normal 212 3 5" xfId="5120"/>
    <cellStyle name="Normal 212 3 6" xfId="2229"/>
    <cellStyle name="Normal 212 4" xfId="1425"/>
    <cellStyle name="Normal 212 4 2" xfId="4095"/>
    <cellStyle name="Normal 212 4 2 2" xfId="9905"/>
    <cellStyle name="Normal 212 4 2 3" xfId="6983"/>
    <cellStyle name="Normal 212 4 3" xfId="8440"/>
    <cellStyle name="Normal 212 4 4" xfId="5539"/>
    <cellStyle name="Normal 212 4 5" xfId="2648"/>
    <cellStyle name="Normal 212 5" xfId="3264"/>
    <cellStyle name="Normal 212 5 2" xfId="4708"/>
    <cellStyle name="Normal 212 5 2 2" xfId="10518"/>
    <cellStyle name="Normal 212 5 2 3" xfId="7596"/>
    <cellStyle name="Normal 212 5 3" xfId="9074"/>
    <cellStyle name="Normal 212 5 4" xfId="6152"/>
    <cellStyle name="Normal 212 6" xfId="3501"/>
    <cellStyle name="Normal 212 6 2" xfId="9311"/>
    <cellStyle name="Normal 212 6 3" xfId="6389"/>
    <cellStyle name="Normal 212 7" xfId="7838"/>
    <cellStyle name="Normal 212 8" xfId="4945"/>
    <cellStyle name="Normal 212 9" xfId="2054"/>
    <cellStyle name="Normal 213" xfId="519"/>
    <cellStyle name="Normal 213 2" xfId="1095"/>
    <cellStyle name="Normal 213 2 2" xfId="1778"/>
    <cellStyle name="Normal 213 2 2 2" xfId="4428"/>
    <cellStyle name="Normal 213 2 2 2 2" xfId="10238"/>
    <cellStyle name="Normal 213 2 2 2 3" xfId="7316"/>
    <cellStyle name="Normal 213 2 2 3" xfId="8793"/>
    <cellStyle name="Normal 213 2 2 4" xfId="5872"/>
    <cellStyle name="Normal 213 2 2 5" xfId="2981"/>
    <cellStyle name="Normal 213 2 3" xfId="3834"/>
    <cellStyle name="Normal 213 2 3 2" xfId="9644"/>
    <cellStyle name="Normal 213 2 3 3" xfId="6722"/>
    <cellStyle name="Normal 213 2 4" xfId="8171"/>
    <cellStyle name="Normal 213 2 5" xfId="5278"/>
    <cellStyle name="Normal 213 2 6" xfId="2387"/>
    <cellStyle name="Normal 213 3" xfId="697"/>
    <cellStyle name="Normal 213 3 2" xfId="1601"/>
    <cellStyle name="Normal 213 3 2 2" xfId="4271"/>
    <cellStyle name="Normal 213 3 2 2 2" xfId="10081"/>
    <cellStyle name="Normal 213 3 2 2 3" xfId="7159"/>
    <cellStyle name="Normal 213 3 2 3" xfId="8616"/>
    <cellStyle name="Normal 213 3 2 4" xfId="5715"/>
    <cellStyle name="Normal 213 3 2 5" xfId="2824"/>
    <cellStyle name="Normal 213 3 3" xfId="3677"/>
    <cellStyle name="Normal 213 3 3 2" xfId="9487"/>
    <cellStyle name="Normal 213 3 3 3" xfId="6565"/>
    <cellStyle name="Normal 213 3 4" xfId="8014"/>
    <cellStyle name="Normal 213 3 5" xfId="5121"/>
    <cellStyle name="Normal 213 3 6" xfId="2230"/>
    <cellStyle name="Normal 213 4" xfId="1426"/>
    <cellStyle name="Normal 213 4 2" xfId="4096"/>
    <cellStyle name="Normal 213 4 2 2" xfId="9906"/>
    <cellStyle name="Normal 213 4 2 3" xfId="6984"/>
    <cellStyle name="Normal 213 4 3" xfId="8441"/>
    <cellStyle name="Normal 213 4 4" xfId="5540"/>
    <cellStyle name="Normal 213 4 5" xfId="2649"/>
    <cellStyle name="Normal 213 5" xfId="3265"/>
    <cellStyle name="Normal 213 5 2" xfId="4709"/>
    <cellStyle name="Normal 213 5 2 2" xfId="10519"/>
    <cellStyle name="Normal 213 5 2 3" xfId="7597"/>
    <cellStyle name="Normal 213 5 3" xfId="9075"/>
    <cellStyle name="Normal 213 5 4" xfId="6153"/>
    <cellStyle name="Normal 213 6" xfId="3502"/>
    <cellStyle name="Normal 213 6 2" xfId="9312"/>
    <cellStyle name="Normal 213 6 3" xfId="6390"/>
    <cellStyle name="Normal 213 7" xfId="7839"/>
    <cellStyle name="Normal 213 8" xfId="4946"/>
    <cellStyle name="Normal 213 9" xfId="2055"/>
    <cellStyle name="Normal 214" xfId="517"/>
    <cellStyle name="Normal 214 2" xfId="1096"/>
    <cellStyle name="Normal 214 2 2" xfId="1779"/>
    <cellStyle name="Normal 214 2 2 2" xfId="4429"/>
    <cellStyle name="Normal 214 2 2 2 2" xfId="10239"/>
    <cellStyle name="Normal 214 2 2 2 3" xfId="7317"/>
    <cellStyle name="Normal 214 2 2 3" xfId="8794"/>
    <cellStyle name="Normal 214 2 2 4" xfId="5873"/>
    <cellStyle name="Normal 214 2 2 5" xfId="2982"/>
    <cellStyle name="Normal 214 2 3" xfId="3835"/>
    <cellStyle name="Normal 214 2 3 2" xfId="9645"/>
    <cellStyle name="Normal 214 2 3 3" xfId="6723"/>
    <cellStyle name="Normal 214 2 4" xfId="8172"/>
    <cellStyle name="Normal 214 2 5" xfId="5279"/>
    <cellStyle name="Normal 214 2 6" xfId="2388"/>
    <cellStyle name="Normal 214 3" xfId="695"/>
    <cellStyle name="Normal 214 3 2" xfId="1599"/>
    <cellStyle name="Normal 214 3 2 2" xfId="4269"/>
    <cellStyle name="Normal 214 3 2 2 2" xfId="10079"/>
    <cellStyle name="Normal 214 3 2 2 3" xfId="7157"/>
    <cellStyle name="Normal 214 3 2 3" xfId="8614"/>
    <cellStyle name="Normal 214 3 2 4" xfId="5713"/>
    <cellStyle name="Normal 214 3 2 5" xfId="2822"/>
    <cellStyle name="Normal 214 3 3" xfId="3675"/>
    <cellStyle name="Normal 214 3 3 2" xfId="9485"/>
    <cellStyle name="Normal 214 3 3 3" xfId="6563"/>
    <cellStyle name="Normal 214 3 4" xfId="8012"/>
    <cellStyle name="Normal 214 3 5" xfId="5119"/>
    <cellStyle name="Normal 214 3 6" xfId="2228"/>
    <cellStyle name="Normal 214 4" xfId="1424"/>
    <cellStyle name="Normal 214 4 2" xfId="4094"/>
    <cellStyle name="Normal 214 4 2 2" xfId="9904"/>
    <cellStyle name="Normal 214 4 2 3" xfId="6982"/>
    <cellStyle name="Normal 214 4 3" xfId="8439"/>
    <cellStyle name="Normal 214 4 4" xfId="5538"/>
    <cellStyle name="Normal 214 4 5" xfId="2647"/>
    <cellStyle name="Normal 214 5" xfId="3266"/>
    <cellStyle name="Normal 214 5 2" xfId="4710"/>
    <cellStyle name="Normal 214 5 2 2" xfId="10520"/>
    <cellStyle name="Normal 214 5 2 3" xfId="7598"/>
    <cellStyle name="Normal 214 5 3" xfId="9076"/>
    <cellStyle name="Normal 214 5 4" xfId="6154"/>
    <cellStyle name="Normal 214 6" xfId="3500"/>
    <cellStyle name="Normal 214 6 2" xfId="9310"/>
    <cellStyle name="Normal 214 6 3" xfId="6388"/>
    <cellStyle name="Normal 214 7" xfId="7837"/>
    <cellStyle name="Normal 214 8" xfId="4944"/>
    <cellStyle name="Normal 214 9" xfId="2053"/>
    <cellStyle name="Normal 215" xfId="520"/>
    <cellStyle name="Normal 215 2" xfId="1097"/>
    <cellStyle name="Normal 215 2 2" xfId="1780"/>
    <cellStyle name="Normal 215 2 2 2" xfId="4430"/>
    <cellStyle name="Normal 215 2 2 2 2" xfId="10240"/>
    <cellStyle name="Normal 215 2 2 2 3" xfId="7318"/>
    <cellStyle name="Normal 215 2 2 3" xfId="8795"/>
    <cellStyle name="Normal 215 2 2 4" xfId="5874"/>
    <cellStyle name="Normal 215 2 2 5" xfId="2983"/>
    <cellStyle name="Normal 215 2 3" xfId="3836"/>
    <cellStyle name="Normal 215 2 3 2" xfId="9646"/>
    <cellStyle name="Normal 215 2 3 3" xfId="6724"/>
    <cellStyle name="Normal 215 2 4" xfId="8173"/>
    <cellStyle name="Normal 215 2 5" xfId="5280"/>
    <cellStyle name="Normal 215 2 6" xfId="2389"/>
    <cellStyle name="Normal 215 3" xfId="698"/>
    <cellStyle name="Normal 215 3 2" xfId="1602"/>
    <cellStyle name="Normal 215 3 2 2" xfId="4272"/>
    <cellStyle name="Normal 215 3 2 2 2" xfId="10082"/>
    <cellStyle name="Normal 215 3 2 2 3" xfId="7160"/>
    <cellStyle name="Normal 215 3 2 3" xfId="8617"/>
    <cellStyle name="Normal 215 3 2 4" xfId="5716"/>
    <cellStyle name="Normal 215 3 2 5" xfId="2825"/>
    <cellStyle name="Normal 215 3 3" xfId="3678"/>
    <cellStyle name="Normal 215 3 3 2" xfId="9488"/>
    <cellStyle name="Normal 215 3 3 3" xfId="6566"/>
    <cellStyle name="Normal 215 3 4" xfId="8015"/>
    <cellStyle name="Normal 215 3 5" xfId="5122"/>
    <cellStyle name="Normal 215 3 6" xfId="2231"/>
    <cellStyle name="Normal 215 4" xfId="1427"/>
    <cellStyle name="Normal 215 4 2" xfId="4097"/>
    <cellStyle name="Normal 215 4 2 2" xfId="9907"/>
    <cellStyle name="Normal 215 4 2 3" xfId="6985"/>
    <cellStyle name="Normal 215 4 3" xfId="8442"/>
    <cellStyle name="Normal 215 4 4" xfId="5541"/>
    <cellStyle name="Normal 215 4 5" xfId="2650"/>
    <cellStyle name="Normal 215 5" xfId="3267"/>
    <cellStyle name="Normal 215 5 2" xfId="4711"/>
    <cellStyle name="Normal 215 5 2 2" xfId="10521"/>
    <cellStyle name="Normal 215 5 2 3" xfId="7599"/>
    <cellStyle name="Normal 215 5 3" xfId="9077"/>
    <cellStyle name="Normal 215 5 4" xfId="6155"/>
    <cellStyle name="Normal 215 6" xfId="3503"/>
    <cellStyle name="Normal 215 6 2" xfId="9313"/>
    <cellStyle name="Normal 215 6 3" xfId="6391"/>
    <cellStyle name="Normal 215 7" xfId="7840"/>
    <cellStyle name="Normal 215 8" xfId="4947"/>
    <cellStyle name="Normal 215 9" xfId="2056"/>
    <cellStyle name="Normal 216" xfId="495"/>
    <cellStyle name="Normal 216 2" xfId="1098"/>
    <cellStyle name="Normal 216 2 2" xfId="1781"/>
    <cellStyle name="Normal 216 2 2 2" xfId="4431"/>
    <cellStyle name="Normal 216 2 2 2 2" xfId="10241"/>
    <cellStyle name="Normal 216 2 2 2 3" xfId="7319"/>
    <cellStyle name="Normal 216 2 2 3" xfId="8796"/>
    <cellStyle name="Normal 216 2 2 4" xfId="5875"/>
    <cellStyle name="Normal 216 2 2 5" xfId="2984"/>
    <cellStyle name="Normal 216 2 3" xfId="3837"/>
    <cellStyle name="Normal 216 2 3 2" xfId="9647"/>
    <cellStyle name="Normal 216 2 3 3" xfId="6725"/>
    <cellStyle name="Normal 216 2 4" xfId="8174"/>
    <cellStyle name="Normal 216 2 5" xfId="5281"/>
    <cellStyle name="Normal 216 2 6" xfId="2390"/>
    <cellStyle name="Normal 216 3" xfId="673"/>
    <cellStyle name="Normal 216 3 2" xfId="1577"/>
    <cellStyle name="Normal 216 3 2 2" xfId="4247"/>
    <cellStyle name="Normal 216 3 2 2 2" xfId="10057"/>
    <cellStyle name="Normal 216 3 2 2 3" xfId="7135"/>
    <cellStyle name="Normal 216 3 2 3" xfId="8592"/>
    <cellStyle name="Normal 216 3 2 4" xfId="5691"/>
    <cellStyle name="Normal 216 3 2 5" xfId="2800"/>
    <cellStyle name="Normal 216 3 3" xfId="3653"/>
    <cellStyle name="Normal 216 3 3 2" xfId="9463"/>
    <cellStyle name="Normal 216 3 3 3" xfId="6541"/>
    <cellStyle name="Normal 216 3 4" xfId="7990"/>
    <cellStyle name="Normal 216 3 5" xfId="5097"/>
    <cellStyle name="Normal 216 3 6" xfId="2206"/>
    <cellStyle name="Normal 216 4" xfId="1402"/>
    <cellStyle name="Normal 216 4 2" xfId="4072"/>
    <cellStyle name="Normal 216 4 2 2" xfId="9882"/>
    <cellStyle name="Normal 216 4 2 3" xfId="6960"/>
    <cellStyle name="Normal 216 4 3" xfId="8417"/>
    <cellStyle name="Normal 216 4 4" xfId="5516"/>
    <cellStyle name="Normal 216 4 5" xfId="2625"/>
    <cellStyle name="Normal 216 5" xfId="3268"/>
    <cellStyle name="Normal 216 5 2" xfId="4712"/>
    <cellStyle name="Normal 216 5 2 2" xfId="10522"/>
    <cellStyle name="Normal 216 5 2 3" xfId="7600"/>
    <cellStyle name="Normal 216 5 3" xfId="9078"/>
    <cellStyle name="Normal 216 5 4" xfId="6156"/>
    <cellStyle name="Normal 216 6" xfId="3478"/>
    <cellStyle name="Normal 216 6 2" xfId="9288"/>
    <cellStyle name="Normal 216 6 3" xfId="6366"/>
    <cellStyle name="Normal 216 7" xfId="7815"/>
    <cellStyle name="Normal 216 8" xfId="4922"/>
    <cellStyle name="Normal 216 9" xfId="2031"/>
    <cellStyle name="Normal 217" xfId="496"/>
    <cellStyle name="Normal 217 2" xfId="1099"/>
    <cellStyle name="Normal 217 2 2" xfId="1782"/>
    <cellStyle name="Normal 217 2 2 2" xfId="4432"/>
    <cellStyle name="Normal 217 2 2 2 2" xfId="10242"/>
    <cellStyle name="Normal 217 2 2 2 3" xfId="7320"/>
    <cellStyle name="Normal 217 2 2 3" xfId="8797"/>
    <cellStyle name="Normal 217 2 2 4" xfId="5876"/>
    <cellStyle name="Normal 217 2 2 5" xfId="2985"/>
    <cellStyle name="Normal 217 2 3" xfId="3838"/>
    <cellStyle name="Normal 217 2 3 2" xfId="9648"/>
    <cellStyle name="Normal 217 2 3 3" xfId="6726"/>
    <cellStyle name="Normal 217 2 4" xfId="8175"/>
    <cellStyle name="Normal 217 2 5" xfId="5282"/>
    <cellStyle name="Normal 217 2 6" xfId="2391"/>
    <cellStyle name="Normal 217 3" xfId="674"/>
    <cellStyle name="Normal 217 3 2" xfId="1578"/>
    <cellStyle name="Normal 217 3 2 2" xfId="4248"/>
    <cellStyle name="Normal 217 3 2 2 2" xfId="10058"/>
    <cellStyle name="Normal 217 3 2 2 3" xfId="7136"/>
    <cellStyle name="Normal 217 3 2 3" xfId="8593"/>
    <cellStyle name="Normal 217 3 2 4" xfId="5692"/>
    <cellStyle name="Normal 217 3 2 5" xfId="2801"/>
    <cellStyle name="Normal 217 3 3" xfId="3654"/>
    <cellStyle name="Normal 217 3 3 2" xfId="9464"/>
    <cellStyle name="Normal 217 3 3 3" xfId="6542"/>
    <cellStyle name="Normal 217 3 4" xfId="7991"/>
    <cellStyle name="Normal 217 3 5" xfId="5098"/>
    <cellStyle name="Normal 217 3 6" xfId="2207"/>
    <cellStyle name="Normal 217 4" xfId="1403"/>
    <cellStyle name="Normal 217 4 2" xfId="4073"/>
    <cellStyle name="Normal 217 4 2 2" xfId="9883"/>
    <cellStyle name="Normal 217 4 2 3" xfId="6961"/>
    <cellStyle name="Normal 217 4 3" xfId="8418"/>
    <cellStyle name="Normal 217 4 4" xfId="5517"/>
    <cellStyle name="Normal 217 4 5" xfId="2626"/>
    <cellStyle name="Normal 217 5" xfId="3269"/>
    <cellStyle name="Normal 217 5 2" xfId="4713"/>
    <cellStyle name="Normal 217 5 2 2" xfId="10523"/>
    <cellStyle name="Normal 217 5 2 3" xfId="7601"/>
    <cellStyle name="Normal 217 5 3" xfId="9079"/>
    <cellStyle name="Normal 217 5 4" xfId="6157"/>
    <cellStyle name="Normal 217 6" xfId="3479"/>
    <cellStyle name="Normal 217 6 2" xfId="9289"/>
    <cellStyle name="Normal 217 6 3" xfId="6367"/>
    <cellStyle name="Normal 217 7" xfId="7816"/>
    <cellStyle name="Normal 217 8" xfId="4923"/>
    <cellStyle name="Normal 217 9" xfId="2032"/>
    <cellStyle name="Normal 218" xfId="508"/>
    <cellStyle name="Normal 218 2" xfId="1100"/>
    <cellStyle name="Normal 218 2 2" xfId="1783"/>
    <cellStyle name="Normal 218 2 2 2" xfId="4433"/>
    <cellStyle name="Normal 218 2 2 2 2" xfId="10243"/>
    <cellStyle name="Normal 218 2 2 2 3" xfId="7321"/>
    <cellStyle name="Normal 218 2 2 3" xfId="8798"/>
    <cellStyle name="Normal 218 2 2 4" xfId="5877"/>
    <cellStyle name="Normal 218 2 2 5" xfId="2986"/>
    <cellStyle name="Normal 218 2 3" xfId="3839"/>
    <cellStyle name="Normal 218 2 3 2" xfId="9649"/>
    <cellStyle name="Normal 218 2 3 3" xfId="6727"/>
    <cellStyle name="Normal 218 2 4" xfId="8176"/>
    <cellStyle name="Normal 218 2 5" xfId="5283"/>
    <cellStyle name="Normal 218 2 6" xfId="2392"/>
    <cellStyle name="Normal 218 3" xfId="686"/>
    <cellStyle name="Normal 218 3 2" xfId="1590"/>
    <cellStyle name="Normal 218 3 2 2" xfId="4260"/>
    <cellStyle name="Normal 218 3 2 2 2" xfId="10070"/>
    <cellStyle name="Normal 218 3 2 2 3" xfId="7148"/>
    <cellStyle name="Normal 218 3 2 3" xfId="8605"/>
    <cellStyle name="Normal 218 3 2 4" xfId="5704"/>
    <cellStyle name="Normal 218 3 2 5" xfId="2813"/>
    <cellStyle name="Normal 218 3 3" xfId="3666"/>
    <cellStyle name="Normal 218 3 3 2" xfId="9476"/>
    <cellStyle name="Normal 218 3 3 3" xfId="6554"/>
    <cellStyle name="Normal 218 3 4" xfId="8003"/>
    <cellStyle name="Normal 218 3 5" xfId="5110"/>
    <cellStyle name="Normal 218 3 6" xfId="2219"/>
    <cellStyle name="Normal 218 4" xfId="1415"/>
    <cellStyle name="Normal 218 4 2" xfId="4085"/>
    <cellStyle name="Normal 218 4 2 2" xfId="9895"/>
    <cellStyle name="Normal 218 4 2 3" xfId="6973"/>
    <cellStyle name="Normal 218 4 3" xfId="8430"/>
    <cellStyle name="Normal 218 4 4" xfId="5529"/>
    <cellStyle name="Normal 218 4 5" xfId="2638"/>
    <cellStyle name="Normal 218 5" xfId="3270"/>
    <cellStyle name="Normal 218 5 2" xfId="4714"/>
    <cellStyle name="Normal 218 5 2 2" xfId="10524"/>
    <cellStyle name="Normal 218 5 2 3" xfId="7602"/>
    <cellStyle name="Normal 218 5 3" xfId="9080"/>
    <cellStyle name="Normal 218 5 4" xfId="6158"/>
    <cellStyle name="Normal 218 6" xfId="3491"/>
    <cellStyle name="Normal 218 6 2" xfId="9301"/>
    <cellStyle name="Normal 218 6 3" xfId="6379"/>
    <cellStyle name="Normal 218 7" xfId="7828"/>
    <cellStyle name="Normal 218 8" xfId="4935"/>
    <cellStyle name="Normal 218 9" xfId="2044"/>
    <cellStyle name="Normal 219" xfId="493"/>
    <cellStyle name="Normal 219 2" xfId="1101"/>
    <cellStyle name="Normal 219 2 2" xfId="1784"/>
    <cellStyle name="Normal 219 2 2 2" xfId="4434"/>
    <cellStyle name="Normal 219 2 2 2 2" xfId="10244"/>
    <cellStyle name="Normal 219 2 2 2 3" xfId="7322"/>
    <cellStyle name="Normal 219 2 2 3" xfId="8799"/>
    <cellStyle name="Normal 219 2 2 4" xfId="5878"/>
    <cellStyle name="Normal 219 2 2 5" xfId="2987"/>
    <cellStyle name="Normal 219 2 3" xfId="3840"/>
    <cellStyle name="Normal 219 2 3 2" xfId="9650"/>
    <cellStyle name="Normal 219 2 3 3" xfId="6728"/>
    <cellStyle name="Normal 219 2 4" xfId="8177"/>
    <cellStyle name="Normal 219 2 5" xfId="5284"/>
    <cellStyle name="Normal 219 2 6" xfId="2393"/>
    <cellStyle name="Normal 219 3" xfId="671"/>
    <cellStyle name="Normal 219 3 2" xfId="1575"/>
    <cellStyle name="Normal 219 3 2 2" xfId="4245"/>
    <cellStyle name="Normal 219 3 2 2 2" xfId="10055"/>
    <cellStyle name="Normal 219 3 2 2 3" xfId="7133"/>
    <cellStyle name="Normal 219 3 2 3" xfId="8590"/>
    <cellStyle name="Normal 219 3 2 4" xfId="5689"/>
    <cellStyle name="Normal 219 3 2 5" xfId="2798"/>
    <cellStyle name="Normal 219 3 3" xfId="3651"/>
    <cellStyle name="Normal 219 3 3 2" xfId="9461"/>
    <cellStyle name="Normal 219 3 3 3" xfId="6539"/>
    <cellStyle name="Normal 219 3 4" xfId="7988"/>
    <cellStyle name="Normal 219 3 5" xfId="5095"/>
    <cellStyle name="Normal 219 3 6" xfId="2204"/>
    <cellStyle name="Normal 219 4" xfId="1400"/>
    <cellStyle name="Normal 219 4 2" xfId="4070"/>
    <cellStyle name="Normal 219 4 2 2" xfId="9880"/>
    <cellStyle name="Normal 219 4 2 3" xfId="6958"/>
    <cellStyle name="Normal 219 4 3" xfId="8415"/>
    <cellStyle name="Normal 219 4 4" xfId="5514"/>
    <cellStyle name="Normal 219 4 5" xfId="2623"/>
    <cellStyle name="Normal 219 5" xfId="3271"/>
    <cellStyle name="Normal 219 5 2" xfId="4715"/>
    <cellStyle name="Normal 219 5 2 2" xfId="10525"/>
    <cellStyle name="Normal 219 5 2 3" xfId="7603"/>
    <cellStyle name="Normal 219 5 3" xfId="9081"/>
    <cellStyle name="Normal 219 5 4" xfId="6159"/>
    <cellStyle name="Normal 219 6" xfId="3476"/>
    <cellStyle name="Normal 219 6 2" xfId="9286"/>
    <cellStyle name="Normal 219 6 3" xfId="6364"/>
    <cellStyle name="Normal 219 7" xfId="7813"/>
    <cellStyle name="Normal 219 8" xfId="4920"/>
    <cellStyle name="Normal 219 9" xfId="2029"/>
    <cellStyle name="Normal 22" xfId="181"/>
    <cellStyle name="Normal 22 2" xfId="1102"/>
    <cellStyle name="Normal 220" xfId="1103"/>
    <cellStyle name="Normal 220 2" xfId="1785"/>
    <cellStyle name="Normal 220 2 2" xfId="4435"/>
    <cellStyle name="Normal 220 2 2 2" xfId="10245"/>
    <cellStyle name="Normal 220 2 2 3" xfId="7323"/>
    <cellStyle name="Normal 220 2 3" xfId="8800"/>
    <cellStyle name="Normal 220 2 4" xfId="5879"/>
    <cellStyle name="Normal 220 2 5" xfId="2988"/>
    <cellStyle name="Normal 220 3" xfId="3272"/>
    <cellStyle name="Normal 220 3 2" xfId="4716"/>
    <cellStyle name="Normal 220 3 2 2" xfId="10526"/>
    <cellStyle name="Normal 220 3 2 3" xfId="7604"/>
    <cellStyle name="Normal 220 3 3" xfId="9082"/>
    <cellStyle name="Normal 220 3 4" xfId="6160"/>
    <cellStyle name="Normal 220 4" xfId="3841"/>
    <cellStyle name="Normal 220 4 2" xfId="9651"/>
    <cellStyle name="Normal 220 4 3" xfId="6729"/>
    <cellStyle name="Normal 220 5" xfId="8178"/>
    <cellStyle name="Normal 220 6" xfId="5285"/>
    <cellStyle name="Normal 220 7" xfId="2394"/>
    <cellStyle name="Normal 221" xfId="1104"/>
    <cellStyle name="Normal 221 2" xfId="1786"/>
    <cellStyle name="Normal 221 2 2" xfId="4436"/>
    <cellStyle name="Normal 221 2 2 2" xfId="10246"/>
    <cellStyle name="Normal 221 2 2 3" xfId="7324"/>
    <cellStyle name="Normal 221 2 3" xfId="8801"/>
    <cellStyle name="Normal 221 2 4" xfId="5880"/>
    <cellStyle name="Normal 221 2 5" xfId="2989"/>
    <cellStyle name="Normal 221 3" xfId="3273"/>
    <cellStyle name="Normal 221 3 2" xfId="4717"/>
    <cellStyle name="Normal 221 3 2 2" xfId="10527"/>
    <cellStyle name="Normal 221 3 2 3" xfId="7605"/>
    <cellStyle name="Normal 221 3 3" xfId="9083"/>
    <cellStyle name="Normal 221 3 4" xfId="6161"/>
    <cellStyle name="Normal 221 4" xfId="3842"/>
    <cellStyle name="Normal 221 4 2" xfId="9652"/>
    <cellStyle name="Normal 221 4 3" xfId="6730"/>
    <cellStyle name="Normal 221 5" xfId="8179"/>
    <cellStyle name="Normal 221 6" xfId="5286"/>
    <cellStyle name="Normal 221 7" xfId="2395"/>
    <cellStyle name="Normal 222" xfId="1105"/>
    <cellStyle name="Normal 222 2" xfId="1787"/>
    <cellStyle name="Normal 222 2 2" xfId="4437"/>
    <cellStyle name="Normal 222 2 2 2" xfId="10247"/>
    <cellStyle name="Normal 222 2 2 3" xfId="7325"/>
    <cellStyle name="Normal 222 2 3" xfId="8802"/>
    <cellStyle name="Normal 222 2 4" xfId="5881"/>
    <cellStyle name="Normal 222 2 5" xfId="2990"/>
    <cellStyle name="Normal 222 3" xfId="3274"/>
    <cellStyle name="Normal 222 3 2" xfId="4718"/>
    <cellStyle name="Normal 222 3 2 2" xfId="10528"/>
    <cellStyle name="Normal 222 3 2 3" xfId="7606"/>
    <cellStyle name="Normal 222 3 3" xfId="9084"/>
    <cellStyle name="Normal 222 3 4" xfId="6162"/>
    <cellStyle name="Normal 222 4" xfId="3843"/>
    <cellStyle name="Normal 222 4 2" xfId="9653"/>
    <cellStyle name="Normal 222 4 3" xfId="6731"/>
    <cellStyle name="Normal 222 5" xfId="8180"/>
    <cellStyle name="Normal 222 6" xfId="5287"/>
    <cellStyle name="Normal 222 7" xfId="2396"/>
    <cellStyle name="Normal 223" xfId="1106"/>
    <cellStyle name="Normal 223 2" xfId="1788"/>
    <cellStyle name="Normal 223 2 2" xfId="4438"/>
    <cellStyle name="Normal 223 2 2 2" xfId="10248"/>
    <cellStyle name="Normal 223 2 2 3" xfId="7326"/>
    <cellStyle name="Normal 223 2 3" xfId="8803"/>
    <cellStyle name="Normal 223 2 4" xfId="5882"/>
    <cellStyle name="Normal 223 2 5" xfId="2991"/>
    <cellStyle name="Normal 223 3" xfId="3275"/>
    <cellStyle name="Normal 223 3 2" xfId="4719"/>
    <cellStyle name="Normal 223 3 2 2" xfId="10529"/>
    <cellStyle name="Normal 223 3 2 3" xfId="7607"/>
    <cellStyle name="Normal 223 3 3" xfId="9085"/>
    <cellStyle name="Normal 223 3 4" xfId="6163"/>
    <cellStyle name="Normal 223 4" xfId="3844"/>
    <cellStyle name="Normal 223 4 2" xfId="9654"/>
    <cellStyle name="Normal 223 4 3" xfId="6732"/>
    <cellStyle name="Normal 223 5" xfId="8181"/>
    <cellStyle name="Normal 223 6" xfId="5288"/>
    <cellStyle name="Normal 223 7" xfId="2397"/>
    <cellStyle name="Normal 224" xfId="1107"/>
    <cellStyle name="Normal 224 2" xfId="1789"/>
    <cellStyle name="Normal 224 2 2" xfId="4439"/>
    <cellStyle name="Normal 224 2 2 2" xfId="10249"/>
    <cellStyle name="Normal 224 2 2 3" xfId="7327"/>
    <cellStyle name="Normal 224 2 3" xfId="8804"/>
    <cellStyle name="Normal 224 2 4" xfId="5883"/>
    <cellStyle name="Normal 224 2 5" xfId="2992"/>
    <cellStyle name="Normal 224 3" xfId="3276"/>
    <cellStyle name="Normal 224 3 2" xfId="4720"/>
    <cellStyle name="Normal 224 3 2 2" xfId="10530"/>
    <cellStyle name="Normal 224 3 2 3" xfId="7608"/>
    <cellStyle name="Normal 224 3 3" xfId="9086"/>
    <cellStyle name="Normal 224 3 4" xfId="6164"/>
    <cellStyle name="Normal 224 4" xfId="3845"/>
    <cellStyle name="Normal 224 4 2" xfId="9655"/>
    <cellStyle name="Normal 224 4 3" xfId="6733"/>
    <cellStyle name="Normal 224 5" xfId="8182"/>
    <cellStyle name="Normal 224 6" xfId="5289"/>
    <cellStyle name="Normal 224 7" xfId="2398"/>
    <cellStyle name="Normal 225" xfId="1108"/>
    <cellStyle name="Normal 225 2" xfId="1790"/>
    <cellStyle name="Normal 225 2 2" xfId="4440"/>
    <cellStyle name="Normal 225 2 2 2" xfId="10250"/>
    <cellStyle name="Normal 225 2 2 3" xfId="7328"/>
    <cellStyle name="Normal 225 2 3" xfId="8805"/>
    <cellStyle name="Normal 225 2 4" xfId="5884"/>
    <cellStyle name="Normal 225 2 5" xfId="2993"/>
    <cellStyle name="Normal 225 3" xfId="3277"/>
    <cellStyle name="Normal 225 3 2" xfId="4721"/>
    <cellStyle name="Normal 225 3 2 2" xfId="10531"/>
    <cellStyle name="Normal 225 3 2 3" xfId="7609"/>
    <cellStyle name="Normal 225 3 3" xfId="9087"/>
    <cellStyle name="Normal 225 3 4" xfId="6165"/>
    <cellStyle name="Normal 225 4" xfId="3846"/>
    <cellStyle name="Normal 225 4 2" xfId="9656"/>
    <cellStyle name="Normal 225 4 3" xfId="6734"/>
    <cellStyle name="Normal 225 5" xfId="8183"/>
    <cellStyle name="Normal 225 6" xfId="5290"/>
    <cellStyle name="Normal 225 7" xfId="2399"/>
    <cellStyle name="Normal 226" xfId="1109"/>
    <cellStyle name="Normal 226 2" xfId="1791"/>
    <cellStyle name="Normal 226 2 2" xfId="4441"/>
    <cellStyle name="Normal 226 2 2 2" xfId="10251"/>
    <cellStyle name="Normal 226 2 2 3" xfId="7329"/>
    <cellStyle name="Normal 226 2 3" xfId="8806"/>
    <cellStyle name="Normal 226 2 4" xfId="5885"/>
    <cellStyle name="Normal 226 2 5" xfId="2994"/>
    <cellStyle name="Normal 226 3" xfId="3278"/>
    <cellStyle name="Normal 226 3 2" xfId="4722"/>
    <cellStyle name="Normal 226 3 2 2" xfId="10532"/>
    <cellStyle name="Normal 226 3 2 3" xfId="7610"/>
    <cellStyle name="Normal 226 3 3" xfId="9088"/>
    <cellStyle name="Normal 226 3 4" xfId="6166"/>
    <cellStyle name="Normal 226 4" xfId="3847"/>
    <cellStyle name="Normal 226 4 2" xfId="9657"/>
    <cellStyle name="Normal 226 4 3" xfId="6735"/>
    <cellStyle name="Normal 226 5" xfId="8184"/>
    <cellStyle name="Normal 226 6" xfId="5291"/>
    <cellStyle name="Normal 226 7" xfId="2400"/>
    <cellStyle name="Normal 227" xfId="1110"/>
    <cellStyle name="Normal 227 2" xfId="1792"/>
    <cellStyle name="Normal 227 2 2" xfId="4442"/>
    <cellStyle name="Normal 227 2 2 2" xfId="10252"/>
    <cellStyle name="Normal 227 2 2 3" xfId="7330"/>
    <cellStyle name="Normal 227 2 3" xfId="8807"/>
    <cellStyle name="Normal 227 2 4" xfId="5886"/>
    <cellStyle name="Normal 227 2 5" xfId="2995"/>
    <cellStyle name="Normal 227 3" xfId="3279"/>
    <cellStyle name="Normal 227 3 2" xfId="4723"/>
    <cellStyle name="Normal 227 3 2 2" xfId="10533"/>
    <cellStyle name="Normal 227 3 2 3" xfId="7611"/>
    <cellStyle name="Normal 227 3 3" xfId="9089"/>
    <cellStyle name="Normal 227 3 4" xfId="6167"/>
    <cellStyle name="Normal 227 4" xfId="3848"/>
    <cellStyle name="Normal 227 4 2" xfId="9658"/>
    <cellStyle name="Normal 227 4 3" xfId="6736"/>
    <cellStyle name="Normal 227 5" xfId="8185"/>
    <cellStyle name="Normal 227 6" xfId="5292"/>
    <cellStyle name="Normal 227 7" xfId="2401"/>
    <cellStyle name="Normal 228" xfId="1111"/>
    <cellStyle name="Normal 228 2" xfId="1793"/>
    <cellStyle name="Normal 228 2 2" xfId="4443"/>
    <cellStyle name="Normal 228 2 2 2" xfId="10253"/>
    <cellStyle name="Normal 228 2 2 3" xfId="7331"/>
    <cellStyle name="Normal 228 2 3" xfId="8808"/>
    <cellStyle name="Normal 228 2 4" xfId="5887"/>
    <cellStyle name="Normal 228 2 5" xfId="2996"/>
    <cellStyle name="Normal 228 3" xfId="3280"/>
    <cellStyle name="Normal 228 3 2" xfId="4724"/>
    <cellStyle name="Normal 228 3 2 2" xfId="10534"/>
    <cellStyle name="Normal 228 3 2 3" xfId="7612"/>
    <cellStyle name="Normal 228 3 3" xfId="9090"/>
    <cellStyle name="Normal 228 3 4" xfId="6168"/>
    <cellStyle name="Normal 228 4" xfId="3849"/>
    <cellStyle name="Normal 228 4 2" xfId="9659"/>
    <cellStyle name="Normal 228 4 3" xfId="6737"/>
    <cellStyle name="Normal 228 5" xfId="8186"/>
    <cellStyle name="Normal 228 6" xfId="5293"/>
    <cellStyle name="Normal 228 7" xfId="2402"/>
    <cellStyle name="Normal 229" xfId="1112"/>
    <cellStyle name="Normal 229 2" xfId="1794"/>
    <cellStyle name="Normal 229 2 2" xfId="4444"/>
    <cellStyle name="Normal 229 2 2 2" xfId="10254"/>
    <cellStyle name="Normal 229 2 2 3" xfId="7332"/>
    <cellStyle name="Normal 229 2 3" xfId="8809"/>
    <cellStyle name="Normal 229 2 4" xfId="5888"/>
    <cellStyle name="Normal 229 2 5" xfId="2997"/>
    <cellStyle name="Normal 229 3" xfId="3281"/>
    <cellStyle name="Normal 229 3 2" xfId="4725"/>
    <cellStyle name="Normal 229 3 2 2" xfId="10535"/>
    <cellStyle name="Normal 229 3 2 3" xfId="7613"/>
    <cellStyle name="Normal 229 3 3" xfId="9091"/>
    <cellStyle name="Normal 229 3 4" xfId="6169"/>
    <cellStyle name="Normal 229 4" xfId="3850"/>
    <cellStyle name="Normal 229 4 2" xfId="9660"/>
    <cellStyle name="Normal 229 4 3" xfId="6738"/>
    <cellStyle name="Normal 229 5" xfId="8187"/>
    <cellStyle name="Normal 229 6" xfId="5294"/>
    <cellStyle name="Normal 229 7" xfId="2403"/>
    <cellStyle name="Normal 23" xfId="182"/>
    <cellStyle name="Normal 23 2" xfId="1113"/>
    <cellStyle name="Normal 230" xfId="1114"/>
    <cellStyle name="Normal 230 2" xfId="1795"/>
    <cellStyle name="Normal 230 2 2" xfId="4445"/>
    <cellStyle name="Normal 230 2 2 2" xfId="10255"/>
    <cellStyle name="Normal 230 2 2 3" xfId="7333"/>
    <cellStyle name="Normal 230 2 3" xfId="8810"/>
    <cellStyle name="Normal 230 2 4" xfId="5889"/>
    <cellStyle name="Normal 230 2 5" xfId="2998"/>
    <cellStyle name="Normal 230 3" xfId="3282"/>
    <cellStyle name="Normal 230 3 2" xfId="4726"/>
    <cellStyle name="Normal 230 3 2 2" xfId="10536"/>
    <cellStyle name="Normal 230 3 2 3" xfId="7614"/>
    <cellStyle name="Normal 230 3 3" xfId="9092"/>
    <cellStyle name="Normal 230 3 4" xfId="6170"/>
    <cellStyle name="Normal 230 4" xfId="3851"/>
    <cellStyle name="Normal 230 4 2" xfId="9661"/>
    <cellStyle name="Normal 230 4 3" xfId="6739"/>
    <cellStyle name="Normal 230 5" xfId="8188"/>
    <cellStyle name="Normal 230 6" xfId="5295"/>
    <cellStyle name="Normal 230 7" xfId="2404"/>
    <cellStyle name="Normal 231" xfId="1115"/>
    <cellStyle name="Normal 231 2" xfId="1796"/>
    <cellStyle name="Normal 231 2 2" xfId="4446"/>
    <cellStyle name="Normal 231 2 2 2" xfId="10256"/>
    <cellStyle name="Normal 231 2 2 3" xfId="7334"/>
    <cellStyle name="Normal 231 2 3" xfId="8811"/>
    <cellStyle name="Normal 231 2 4" xfId="5890"/>
    <cellStyle name="Normal 231 2 5" xfId="2999"/>
    <cellStyle name="Normal 231 3" xfId="3283"/>
    <cellStyle name="Normal 231 3 2" xfId="4727"/>
    <cellStyle name="Normal 231 3 2 2" xfId="10537"/>
    <cellStyle name="Normal 231 3 2 3" xfId="7615"/>
    <cellStyle name="Normal 231 3 3" xfId="9093"/>
    <cellStyle name="Normal 231 3 4" xfId="6171"/>
    <cellStyle name="Normal 231 4" xfId="3852"/>
    <cellStyle name="Normal 231 4 2" xfId="9662"/>
    <cellStyle name="Normal 231 4 3" xfId="6740"/>
    <cellStyle name="Normal 231 5" xfId="8189"/>
    <cellStyle name="Normal 231 6" xfId="5296"/>
    <cellStyle name="Normal 231 7" xfId="2405"/>
    <cellStyle name="Normal 232" xfId="1116"/>
    <cellStyle name="Normal 232 2" xfId="1797"/>
    <cellStyle name="Normal 232 2 2" xfId="4447"/>
    <cellStyle name="Normal 232 2 2 2" xfId="10257"/>
    <cellStyle name="Normal 232 2 2 3" xfId="7335"/>
    <cellStyle name="Normal 232 2 3" xfId="8812"/>
    <cellStyle name="Normal 232 2 4" xfId="5891"/>
    <cellStyle name="Normal 232 2 5" xfId="3000"/>
    <cellStyle name="Normal 232 3" xfId="3284"/>
    <cellStyle name="Normal 232 3 2" xfId="4728"/>
    <cellStyle name="Normal 232 3 2 2" xfId="10538"/>
    <cellStyle name="Normal 232 3 2 3" xfId="7616"/>
    <cellStyle name="Normal 232 3 3" xfId="9094"/>
    <cellStyle name="Normal 232 3 4" xfId="6172"/>
    <cellStyle name="Normal 232 4" xfId="3853"/>
    <cellStyle name="Normal 232 4 2" xfId="9663"/>
    <cellStyle name="Normal 232 4 3" xfId="6741"/>
    <cellStyle name="Normal 232 5" xfId="8190"/>
    <cellStyle name="Normal 232 6" xfId="5297"/>
    <cellStyle name="Normal 232 7" xfId="2406"/>
    <cellStyle name="Normal 233" xfId="1117"/>
    <cellStyle name="Normal 233 2" xfId="1798"/>
    <cellStyle name="Normal 233 2 2" xfId="4448"/>
    <cellStyle name="Normal 233 2 2 2" xfId="10258"/>
    <cellStyle name="Normal 233 2 2 3" xfId="7336"/>
    <cellStyle name="Normal 233 2 3" xfId="8813"/>
    <cellStyle name="Normal 233 2 4" xfId="5892"/>
    <cellStyle name="Normal 233 2 5" xfId="3001"/>
    <cellStyle name="Normal 233 3" xfId="3285"/>
    <cellStyle name="Normal 233 3 2" xfId="4729"/>
    <cellStyle name="Normal 233 3 2 2" xfId="10539"/>
    <cellStyle name="Normal 233 3 2 3" xfId="7617"/>
    <cellStyle name="Normal 233 3 3" xfId="9095"/>
    <cellStyle name="Normal 233 3 4" xfId="6173"/>
    <cellStyle name="Normal 233 4" xfId="3854"/>
    <cellStyle name="Normal 233 4 2" xfId="9664"/>
    <cellStyle name="Normal 233 4 3" xfId="6742"/>
    <cellStyle name="Normal 233 5" xfId="8191"/>
    <cellStyle name="Normal 233 6" xfId="5298"/>
    <cellStyle name="Normal 233 7" xfId="2407"/>
    <cellStyle name="Normal 234" xfId="1118"/>
    <cellStyle name="Normal 234 2" xfId="1799"/>
    <cellStyle name="Normal 234 2 2" xfId="4449"/>
    <cellStyle name="Normal 234 2 2 2" xfId="10259"/>
    <cellStyle name="Normal 234 2 2 3" xfId="7337"/>
    <cellStyle name="Normal 234 2 3" xfId="8814"/>
    <cellStyle name="Normal 234 2 4" xfId="5893"/>
    <cellStyle name="Normal 234 2 5" xfId="3002"/>
    <cellStyle name="Normal 234 3" xfId="3286"/>
    <cellStyle name="Normal 234 3 2" xfId="4730"/>
    <cellStyle name="Normal 234 3 2 2" xfId="10540"/>
    <cellStyle name="Normal 234 3 2 3" xfId="7618"/>
    <cellStyle name="Normal 234 3 3" xfId="9096"/>
    <cellStyle name="Normal 234 3 4" xfId="6174"/>
    <cellStyle name="Normal 234 4" xfId="3855"/>
    <cellStyle name="Normal 234 4 2" xfId="9665"/>
    <cellStyle name="Normal 234 4 3" xfId="6743"/>
    <cellStyle name="Normal 234 5" xfId="8192"/>
    <cellStyle name="Normal 234 6" xfId="5299"/>
    <cellStyle name="Normal 234 7" xfId="2408"/>
    <cellStyle name="Normal 235" xfId="1223"/>
    <cellStyle name="Normal 235 2" xfId="1841"/>
    <cellStyle name="Normal 235 2 2" xfId="4491"/>
    <cellStyle name="Normal 235 2 2 2" xfId="10301"/>
    <cellStyle name="Normal 235 2 2 3" xfId="7379"/>
    <cellStyle name="Normal 235 2 3" xfId="8856"/>
    <cellStyle name="Normal 235 2 4" xfId="5935"/>
    <cellStyle name="Normal 235 2 5" xfId="3044"/>
    <cellStyle name="Normal 235 3" xfId="3897"/>
    <cellStyle name="Normal 235 3 2" xfId="9707"/>
    <cellStyle name="Normal 235 3 3" xfId="6785"/>
    <cellStyle name="Normal 235 4" xfId="8238"/>
    <cellStyle name="Normal 235 5" xfId="5341"/>
    <cellStyle name="Normal 235 6" xfId="2450"/>
    <cellStyle name="Normal 236" xfId="1224"/>
    <cellStyle name="Normal 236 2" xfId="1842"/>
    <cellStyle name="Normal 236 2 2" xfId="4492"/>
    <cellStyle name="Normal 236 2 2 2" xfId="10302"/>
    <cellStyle name="Normal 236 2 2 3" xfId="7380"/>
    <cellStyle name="Normal 236 2 3" xfId="8857"/>
    <cellStyle name="Normal 236 2 4" xfId="5936"/>
    <cellStyle name="Normal 236 2 5" xfId="3045"/>
    <cellStyle name="Normal 236 3" xfId="3898"/>
    <cellStyle name="Normal 236 3 2" xfId="9708"/>
    <cellStyle name="Normal 236 3 3" xfId="6786"/>
    <cellStyle name="Normal 236 4" xfId="8239"/>
    <cellStyle name="Normal 236 5" xfId="5342"/>
    <cellStyle name="Normal 236 6" xfId="2451"/>
    <cellStyle name="Normal 237" xfId="1227"/>
    <cellStyle name="Normal 237 2" xfId="1845"/>
    <cellStyle name="Normal 237 2 2" xfId="4495"/>
    <cellStyle name="Normal 237 2 2 2" xfId="10305"/>
    <cellStyle name="Normal 237 2 2 3" xfId="7383"/>
    <cellStyle name="Normal 237 2 3" xfId="8860"/>
    <cellStyle name="Normal 237 2 4" xfId="5939"/>
    <cellStyle name="Normal 237 2 5" xfId="3048"/>
    <cellStyle name="Normal 237 3" xfId="3901"/>
    <cellStyle name="Normal 237 3 2" xfId="9711"/>
    <cellStyle name="Normal 237 3 3" xfId="6789"/>
    <cellStyle name="Normal 237 4" xfId="8242"/>
    <cellStyle name="Normal 237 5" xfId="5345"/>
    <cellStyle name="Normal 237 6" xfId="2454"/>
    <cellStyle name="Normal 238" xfId="1230"/>
    <cellStyle name="Normal 238 2" xfId="1848"/>
    <cellStyle name="Normal 238 2 2" xfId="4498"/>
    <cellStyle name="Normal 238 2 2 2" xfId="10308"/>
    <cellStyle name="Normal 238 2 2 3" xfId="7386"/>
    <cellStyle name="Normal 238 2 3" xfId="8863"/>
    <cellStyle name="Normal 238 2 4" xfId="5942"/>
    <cellStyle name="Normal 238 2 5" xfId="3051"/>
    <cellStyle name="Normal 238 3" xfId="3904"/>
    <cellStyle name="Normal 238 3 2" xfId="9714"/>
    <cellStyle name="Normal 238 3 3" xfId="6792"/>
    <cellStyle name="Normal 238 4" xfId="8245"/>
    <cellStyle name="Normal 238 5" xfId="5348"/>
    <cellStyle name="Normal 238 6" xfId="2457"/>
    <cellStyle name="Normal 239" xfId="1234"/>
    <cellStyle name="Normal 239 2" xfId="1852"/>
    <cellStyle name="Normal 239 2 2" xfId="4502"/>
    <cellStyle name="Normal 239 2 2 2" xfId="10312"/>
    <cellStyle name="Normal 239 2 2 3" xfId="7390"/>
    <cellStyle name="Normal 239 2 3" xfId="8867"/>
    <cellStyle name="Normal 239 2 4" xfId="5946"/>
    <cellStyle name="Normal 239 2 5" xfId="3055"/>
    <cellStyle name="Normal 239 3" xfId="3908"/>
    <cellStyle name="Normal 239 3 2" xfId="9718"/>
    <cellStyle name="Normal 239 3 3" xfId="6796"/>
    <cellStyle name="Normal 239 4" xfId="8249"/>
    <cellStyle name="Normal 239 5" xfId="5352"/>
    <cellStyle name="Normal 239 6" xfId="2461"/>
    <cellStyle name="Normal 24" xfId="183"/>
    <cellStyle name="Normal 24 2" xfId="1119"/>
    <cellStyle name="Normal 240" xfId="1235"/>
    <cellStyle name="Normal 240 2" xfId="1853"/>
    <cellStyle name="Normal 240 2 2" xfId="4503"/>
    <cellStyle name="Normal 240 2 2 2" xfId="10313"/>
    <cellStyle name="Normal 240 2 2 3" xfId="7391"/>
    <cellStyle name="Normal 240 2 3" xfId="8868"/>
    <cellStyle name="Normal 240 2 4" xfId="5947"/>
    <cellStyle name="Normal 240 2 5" xfId="3056"/>
    <cellStyle name="Normal 240 3" xfId="3909"/>
    <cellStyle name="Normal 240 3 2" xfId="9719"/>
    <cellStyle name="Normal 240 3 3" xfId="6797"/>
    <cellStyle name="Normal 240 4" xfId="8250"/>
    <cellStyle name="Normal 240 5" xfId="5353"/>
    <cellStyle name="Normal 240 6" xfId="2462"/>
    <cellStyle name="Normal 241" xfId="1867"/>
    <cellStyle name="Normal 241 2" xfId="4517"/>
    <cellStyle name="Normal 241 2 2" xfId="10327"/>
    <cellStyle name="Normal 241 2 3" xfId="7405"/>
    <cellStyle name="Normal 241 3" xfId="8882"/>
    <cellStyle name="Normal 241 4" xfId="5961"/>
    <cellStyle name="Normal 241 5" xfId="3070"/>
    <cellStyle name="Normal 242" xfId="1881"/>
    <cellStyle name="Normal 242 2" xfId="4520"/>
    <cellStyle name="Normal 242 2 2" xfId="10330"/>
    <cellStyle name="Normal 242 2 3" xfId="7408"/>
    <cellStyle name="Normal 242 3" xfId="8885"/>
    <cellStyle name="Normal 242 4" xfId="5964"/>
    <cellStyle name="Normal 243" xfId="3071"/>
    <cellStyle name="Normal 243 2" xfId="4518"/>
    <cellStyle name="Normal 243 2 2" xfId="10328"/>
    <cellStyle name="Normal 243 2 3" xfId="7406"/>
    <cellStyle name="Normal 243 3" xfId="8883"/>
    <cellStyle name="Normal 243 4" xfId="5962"/>
    <cellStyle name="Normal 244" xfId="3072"/>
    <cellStyle name="Normal 244 2" xfId="4519"/>
    <cellStyle name="Normal 244 2 2" xfId="10329"/>
    <cellStyle name="Normal 244 2 3" xfId="7407"/>
    <cellStyle name="Normal 244 3" xfId="8884"/>
    <cellStyle name="Normal 244 4" xfId="5963"/>
    <cellStyle name="Normal 245" xfId="3085"/>
    <cellStyle name="Normal 245 2" xfId="4533"/>
    <cellStyle name="Normal 245 2 2" xfId="10343"/>
    <cellStyle name="Normal 245 2 3" xfId="7421"/>
    <cellStyle name="Normal 245 3" xfId="8898"/>
    <cellStyle name="Normal 245 4" xfId="5977"/>
    <cellStyle name="Normal 246" xfId="3088"/>
    <cellStyle name="Normal 247" xfId="3089"/>
    <cellStyle name="Normal 247 2" xfId="4536"/>
    <cellStyle name="Normal 247 2 2" xfId="10346"/>
    <cellStyle name="Normal 247 2 3" xfId="7424"/>
    <cellStyle name="Normal 247 3" xfId="8901"/>
    <cellStyle name="Normal 247 4" xfId="5980"/>
    <cellStyle name="Normal 248" xfId="3106"/>
    <cellStyle name="Normal 248 2" xfId="4551"/>
    <cellStyle name="Normal 248 2 2" xfId="10361"/>
    <cellStyle name="Normal 248 2 3" xfId="7439"/>
    <cellStyle name="Normal 248 3" xfId="8917"/>
    <cellStyle name="Normal 248 4" xfId="5995"/>
    <cellStyle name="Normal 249" xfId="3328"/>
    <cellStyle name="Normal 249 2" xfId="4772"/>
    <cellStyle name="Normal 249 2 2" xfId="10582"/>
    <cellStyle name="Normal 249 2 3" xfId="7660"/>
    <cellStyle name="Normal 249 3" xfId="9138"/>
    <cellStyle name="Normal 249 4" xfId="6216"/>
    <cellStyle name="Normal 25" xfId="184"/>
    <cellStyle name="Normal 25 2" xfId="1120"/>
    <cellStyle name="Normal 250" xfId="10606"/>
    <cellStyle name="Normal 251" xfId="10608"/>
    <cellStyle name="Normal 252" xfId="10607"/>
    <cellStyle name="Normal 253" xfId="10622"/>
    <cellStyle name="Normal 254" xfId="10625"/>
    <cellStyle name="Normal 255" xfId="10623"/>
    <cellStyle name="Normal 256" xfId="10624"/>
    <cellStyle name="Normal 257" xfId="10639"/>
    <cellStyle name="Normal 26" xfId="185"/>
    <cellStyle name="Normal 26 2" xfId="1121"/>
    <cellStyle name="Normal 27" xfId="186"/>
    <cellStyle name="Normal 27 2" xfId="1122"/>
    <cellStyle name="Normal 28" xfId="187"/>
    <cellStyle name="Normal 28 2" xfId="1123"/>
    <cellStyle name="Normal 29" xfId="188"/>
    <cellStyle name="Normal 29 2" xfId="1124"/>
    <cellStyle name="Normal 3" xfId="189"/>
    <cellStyle name="Normal 3 2" xfId="190"/>
    <cellStyle name="Normal 3 2 2" xfId="1125"/>
    <cellStyle name="Normal 3 2 2 2" xfId="1126"/>
    <cellStyle name="Normal 3 2 2 2 2" xfId="1801"/>
    <cellStyle name="Normal 3 2 2 2 2 2" xfId="4451"/>
    <cellStyle name="Normal 3 2 2 2 2 2 2" xfId="10261"/>
    <cellStyle name="Normal 3 2 2 2 2 2 3" xfId="7339"/>
    <cellStyle name="Normal 3 2 2 2 2 3" xfId="8816"/>
    <cellStyle name="Normal 3 2 2 2 2 4" xfId="5895"/>
    <cellStyle name="Normal 3 2 2 2 2 5" xfId="3004"/>
    <cellStyle name="Normal 3 2 2 2 3" xfId="3288"/>
    <cellStyle name="Normal 3 2 2 2 3 2" xfId="4732"/>
    <cellStyle name="Normal 3 2 2 2 3 2 2" xfId="10542"/>
    <cellStyle name="Normal 3 2 2 2 3 2 3" xfId="7620"/>
    <cellStyle name="Normal 3 2 2 2 3 3" xfId="9098"/>
    <cellStyle name="Normal 3 2 2 2 3 4" xfId="6176"/>
    <cellStyle name="Normal 3 2 2 2 4" xfId="3857"/>
    <cellStyle name="Normal 3 2 2 2 4 2" xfId="9667"/>
    <cellStyle name="Normal 3 2 2 2 4 3" xfId="6745"/>
    <cellStyle name="Normal 3 2 2 2 5" xfId="8194"/>
    <cellStyle name="Normal 3 2 2 2 6" xfId="5301"/>
    <cellStyle name="Normal 3 2 2 2 7" xfId="2410"/>
    <cellStyle name="Normal 3 2 2 3" xfId="1800"/>
    <cellStyle name="Normal 3 2 2 3 2" xfId="4450"/>
    <cellStyle name="Normal 3 2 2 3 2 2" xfId="10260"/>
    <cellStyle name="Normal 3 2 2 3 2 3" xfId="7338"/>
    <cellStyle name="Normal 3 2 2 3 3" xfId="8815"/>
    <cellStyle name="Normal 3 2 2 3 4" xfId="5894"/>
    <cellStyle name="Normal 3 2 2 3 5" xfId="3003"/>
    <cellStyle name="Normal 3 2 2 4" xfId="3287"/>
    <cellStyle name="Normal 3 2 2 4 2" xfId="4731"/>
    <cellStyle name="Normal 3 2 2 4 2 2" xfId="10541"/>
    <cellStyle name="Normal 3 2 2 4 2 3" xfId="7619"/>
    <cellStyle name="Normal 3 2 2 4 3" xfId="9097"/>
    <cellStyle name="Normal 3 2 2 4 4" xfId="6175"/>
    <cellStyle name="Normal 3 2 2 5" xfId="3856"/>
    <cellStyle name="Normal 3 2 2 5 2" xfId="9666"/>
    <cellStyle name="Normal 3 2 2 5 3" xfId="6744"/>
    <cellStyle name="Normal 3 2 2 6" xfId="8193"/>
    <cellStyle name="Normal 3 2 2 7" xfId="5300"/>
    <cellStyle name="Normal 3 2 2 8" xfId="2409"/>
    <cellStyle name="Normal 3 2 3" xfId="1127"/>
    <cellStyle name="Normal 3 2 3 2" xfId="1802"/>
    <cellStyle name="Normal 3 2 3 2 2" xfId="4452"/>
    <cellStyle name="Normal 3 2 3 2 2 2" xfId="10262"/>
    <cellStyle name="Normal 3 2 3 2 2 3" xfId="7340"/>
    <cellStyle name="Normal 3 2 3 2 3" xfId="8817"/>
    <cellStyle name="Normal 3 2 3 2 4" xfId="5896"/>
    <cellStyle name="Normal 3 2 3 2 5" xfId="3005"/>
    <cellStyle name="Normal 3 2 3 3" xfId="3289"/>
    <cellStyle name="Normal 3 2 3 3 2" xfId="4733"/>
    <cellStyle name="Normal 3 2 3 3 2 2" xfId="10543"/>
    <cellStyle name="Normal 3 2 3 3 2 3" xfId="7621"/>
    <cellStyle name="Normal 3 2 3 3 3" xfId="9099"/>
    <cellStyle name="Normal 3 2 3 3 4" xfId="6177"/>
    <cellStyle name="Normal 3 2 3 4" xfId="3858"/>
    <cellStyle name="Normal 3 2 3 4 2" xfId="9668"/>
    <cellStyle name="Normal 3 2 3 4 3" xfId="6746"/>
    <cellStyle name="Normal 3 2 3 5" xfId="8195"/>
    <cellStyle name="Normal 3 2 3 6" xfId="5302"/>
    <cellStyle name="Normal 3 2 3 7" xfId="2411"/>
    <cellStyle name="Normal 3 2 4" xfId="1128"/>
    <cellStyle name="Normal 3 2 4 2" xfId="1803"/>
    <cellStyle name="Normal 3 2 4 2 2" xfId="4453"/>
    <cellStyle name="Normal 3 2 4 2 2 2" xfId="10263"/>
    <cellStyle name="Normal 3 2 4 2 2 3" xfId="7341"/>
    <cellStyle name="Normal 3 2 4 2 3" xfId="8818"/>
    <cellStyle name="Normal 3 2 4 2 4" xfId="5897"/>
    <cellStyle name="Normal 3 2 4 2 5" xfId="3006"/>
    <cellStyle name="Normal 3 2 4 3" xfId="3290"/>
    <cellStyle name="Normal 3 2 4 3 2" xfId="4734"/>
    <cellStyle name="Normal 3 2 4 3 2 2" xfId="10544"/>
    <cellStyle name="Normal 3 2 4 3 2 3" xfId="7622"/>
    <cellStyle name="Normal 3 2 4 3 3" xfId="9100"/>
    <cellStyle name="Normal 3 2 4 3 4" xfId="6178"/>
    <cellStyle name="Normal 3 2 4 4" xfId="3859"/>
    <cellStyle name="Normal 3 2 4 4 2" xfId="9669"/>
    <cellStyle name="Normal 3 2 4 4 3" xfId="6747"/>
    <cellStyle name="Normal 3 2 4 5" xfId="8196"/>
    <cellStyle name="Normal 3 2 4 6" xfId="5303"/>
    <cellStyle name="Normal 3 2 4 7" xfId="2412"/>
    <cellStyle name="Normal 3 3" xfId="191"/>
    <cellStyle name="Normal 3 3 10" xfId="1901"/>
    <cellStyle name="Normal 3 3 2" xfId="1130"/>
    <cellStyle name="Normal 3 3 3" xfId="1129"/>
    <cellStyle name="Normal 3 3 3 2" xfId="1804"/>
    <cellStyle name="Normal 3 3 3 2 2" xfId="4454"/>
    <cellStyle name="Normal 3 3 3 2 2 2" xfId="10264"/>
    <cellStyle name="Normal 3 3 3 2 2 3" xfId="7342"/>
    <cellStyle name="Normal 3 3 3 2 3" xfId="8819"/>
    <cellStyle name="Normal 3 3 3 2 4" xfId="5898"/>
    <cellStyle name="Normal 3 3 3 2 5" xfId="3007"/>
    <cellStyle name="Normal 3 3 3 3" xfId="3860"/>
    <cellStyle name="Normal 3 3 3 3 2" xfId="9670"/>
    <cellStyle name="Normal 3 3 3 3 3" xfId="6748"/>
    <cellStyle name="Normal 3 3 3 4" xfId="8197"/>
    <cellStyle name="Normal 3 3 3 5" xfId="5304"/>
    <cellStyle name="Normal 3 3 3 6" xfId="2413"/>
    <cellStyle name="Normal 3 3 4" xfId="543"/>
    <cellStyle name="Normal 3 3 4 2" xfId="1447"/>
    <cellStyle name="Normal 3 3 4 2 2" xfId="4117"/>
    <cellStyle name="Normal 3 3 4 2 2 2" xfId="9927"/>
    <cellStyle name="Normal 3 3 4 2 2 3" xfId="7005"/>
    <cellStyle name="Normal 3 3 4 2 3" xfId="8462"/>
    <cellStyle name="Normal 3 3 4 2 4" xfId="5561"/>
    <cellStyle name="Normal 3 3 4 2 5" xfId="2670"/>
    <cellStyle name="Normal 3 3 4 3" xfId="3523"/>
    <cellStyle name="Normal 3 3 4 3 2" xfId="9333"/>
    <cellStyle name="Normal 3 3 4 3 3" xfId="6411"/>
    <cellStyle name="Normal 3 3 4 4" xfId="7860"/>
    <cellStyle name="Normal 3 3 4 5" xfId="4967"/>
    <cellStyle name="Normal 3 3 4 6" xfId="2076"/>
    <cellStyle name="Normal 3 3 5" xfId="1272"/>
    <cellStyle name="Normal 3 3 5 2" xfId="3942"/>
    <cellStyle name="Normal 3 3 5 2 2" xfId="9752"/>
    <cellStyle name="Normal 3 3 5 2 3" xfId="6830"/>
    <cellStyle name="Normal 3 3 5 3" xfId="8287"/>
    <cellStyle name="Normal 3 3 5 4" xfId="5386"/>
    <cellStyle name="Normal 3 3 5 5" xfId="2495"/>
    <cellStyle name="Normal 3 3 6" xfId="3291"/>
    <cellStyle name="Normal 3 3 6 2" xfId="4735"/>
    <cellStyle name="Normal 3 3 6 2 2" xfId="10545"/>
    <cellStyle name="Normal 3 3 6 2 3" xfId="7623"/>
    <cellStyle name="Normal 3 3 6 3" xfId="9101"/>
    <cellStyle name="Normal 3 3 6 4" xfId="6179"/>
    <cellStyle name="Normal 3 3 7" xfId="3348"/>
    <cellStyle name="Normal 3 3 7 2" xfId="9158"/>
    <cellStyle name="Normal 3 3 7 3" xfId="6236"/>
    <cellStyle name="Normal 3 3 8" xfId="7680"/>
    <cellStyle name="Normal 3 3 9" xfId="4792"/>
    <cellStyle name="Normal 30" xfId="192"/>
    <cellStyle name="Normal 30 2" xfId="1131"/>
    <cellStyle name="Normal 31" xfId="193"/>
    <cellStyle name="Normal 31 2" xfId="1132"/>
    <cellStyle name="Normal 32" xfId="194"/>
    <cellStyle name="Normal 32 2" xfId="1133"/>
    <cellStyle name="Normal 33" xfId="195"/>
    <cellStyle name="Normal 33 10" xfId="1902"/>
    <cellStyle name="Normal 33 2" xfId="1135"/>
    <cellStyle name="Normal 33 3" xfId="1134"/>
    <cellStyle name="Normal 33 3 2" xfId="1805"/>
    <cellStyle name="Normal 33 3 2 2" xfId="4455"/>
    <cellStyle name="Normal 33 3 2 2 2" xfId="10265"/>
    <cellStyle name="Normal 33 3 2 2 3" xfId="7343"/>
    <cellStyle name="Normal 33 3 2 3" xfId="8820"/>
    <cellStyle name="Normal 33 3 2 4" xfId="5899"/>
    <cellStyle name="Normal 33 3 2 5" xfId="3008"/>
    <cellStyle name="Normal 33 3 3" xfId="3861"/>
    <cellStyle name="Normal 33 3 3 2" xfId="9671"/>
    <cellStyle name="Normal 33 3 3 3" xfId="6749"/>
    <cellStyle name="Normal 33 3 4" xfId="8198"/>
    <cellStyle name="Normal 33 3 5" xfId="5305"/>
    <cellStyle name="Normal 33 3 6" xfId="2414"/>
    <cellStyle name="Normal 33 4" xfId="544"/>
    <cellStyle name="Normal 33 4 2" xfId="1448"/>
    <cellStyle name="Normal 33 4 2 2" xfId="4118"/>
    <cellStyle name="Normal 33 4 2 2 2" xfId="9928"/>
    <cellStyle name="Normal 33 4 2 2 3" xfId="7006"/>
    <cellStyle name="Normal 33 4 2 3" xfId="8463"/>
    <cellStyle name="Normal 33 4 2 4" xfId="5562"/>
    <cellStyle name="Normal 33 4 2 5" xfId="2671"/>
    <cellStyle name="Normal 33 4 3" xfId="3524"/>
    <cellStyle name="Normal 33 4 3 2" xfId="9334"/>
    <cellStyle name="Normal 33 4 3 3" xfId="6412"/>
    <cellStyle name="Normal 33 4 4" xfId="7861"/>
    <cellStyle name="Normal 33 4 5" xfId="4968"/>
    <cellStyle name="Normal 33 4 6" xfId="2077"/>
    <cellStyle name="Normal 33 5" xfId="1273"/>
    <cellStyle name="Normal 33 5 2" xfId="3943"/>
    <cellStyle name="Normal 33 5 2 2" xfId="9753"/>
    <cellStyle name="Normal 33 5 2 3" xfId="6831"/>
    <cellStyle name="Normal 33 5 3" xfId="8288"/>
    <cellStyle name="Normal 33 5 4" xfId="5387"/>
    <cellStyle name="Normal 33 5 5" xfId="2496"/>
    <cellStyle name="Normal 33 6" xfId="3292"/>
    <cellStyle name="Normal 33 6 2" xfId="4736"/>
    <cellStyle name="Normal 33 6 2 2" xfId="10546"/>
    <cellStyle name="Normal 33 6 2 3" xfId="7624"/>
    <cellStyle name="Normal 33 6 3" xfId="9102"/>
    <cellStyle name="Normal 33 6 4" xfId="6180"/>
    <cellStyle name="Normal 33 7" xfId="3349"/>
    <cellStyle name="Normal 33 7 2" xfId="9159"/>
    <cellStyle name="Normal 33 7 3" xfId="6237"/>
    <cellStyle name="Normal 33 8" xfId="7681"/>
    <cellStyle name="Normal 33 9" xfId="4793"/>
    <cellStyle name="Normal 34" xfId="196"/>
    <cellStyle name="Normal 34 2" xfId="1136"/>
    <cellStyle name="Normal 34 2 2" xfId="1806"/>
    <cellStyle name="Normal 34 2 2 2" xfId="4456"/>
    <cellStyle name="Normal 34 2 2 2 2" xfId="10266"/>
    <cellStyle name="Normal 34 2 2 2 3" xfId="7344"/>
    <cellStyle name="Normal 34 2 2 3" xfId="8821"/>
    <cellStyle name="Normal 34 2 2 4" xfId="5900"/>
    <cellStyle name="Normal 34 2 2 5" xfId="3009"/>
    <cellStyle name="Normal 34 2 3" xfId="3293"/>
    <cellStyle name="Normal 34 2 3 2" xfId="4737"/>
    <cellStyle name="Normal 34 2 3 2 2" xfId="10547"/>
    <cellStyle name="Normal 34 2 3 2 3" xfId="7625"/>
    <cellStyle name="Normal 34 2 3 3" xfId="9103"/>
    <cellStyle name="Normal 34 2 3 4" xfId="6181"/>
    <cellStyle name="Normal 34 2 4" xfId="3862"/>
    <cellStyle name="Normal 34 2 4 2" xfId="9672"/>
    <cellStyle name="Normal 34 2 4 3" xfId="6750"/>
    <cellStyle name="Normal 34 2 5" xfId="8199"/>
    <cellStyle name="Normal 34 2 6" xfId="5306"/>
    <cellStyle name="Normal 34 2 7" xfId="2415"/>
    <cellStyle name="Normal 35" xfId="197"/>
    <cellStyle name="Normal 35 2" xfId="1137"/>
    <cellStyle name="Normal 36" xfId="198"/>
    <cellStyle name="Normal 36 2" xfId="1138"/>
    <cellStyle name="Normal 36 2 2" xfId="1807"/>
    <cellStyle name="Normal 36 2 2 2" xfId="4457"/>
    <cellStyle name="Normal 36 2 2 2 2" xfId="10267"/>
    <cellStyle name="Normal 36 2 2 2 3" xfId="7345"/>
    <cellStyle name="Normal 36 2 2 3" xfId="8822"/>
    <cellStyle name="Normal 36 2 2 4" xfId="5901"/>
    <cellStyle name="Normal 36 2 2 5" xfId="3010"/>
    <cellStyle name="Normal 36 2 3" xfId="3294"/>
    <cellStyle name="Normal 36 2 3 2" xfId="4738"/>
    <cellStyle name="Normal 36 2 3 2 2" xfId="10548"/>
    <cellStyle name="Normal 36 2 3 2 3" xfId="7626"/>
    <cellStyle name="Normal 36 2 3 3" xfId="9104"/>
    <cellStyle name="Normal 36 2 3 4" xfId="6182"/>
    <cellStyle name="Normal 36 2 4" xfId="3863"/>
    <cellStyle name="Normal 36 2 4 2" xfId="9673"/>
    <cellStyle name="Normal 36 2 4 3" xfId="6751"/>
    <cellStyle name="Normal 36 2 5" xfId="8200"/>
    <cellStyle name="Normal 36 2 6" xfId="5307"/>
    <cellStyle name="Normal 36 2 7" xfId="2416"/>
    <cellStyle name="Normal 37" xfId="199"/>
    <cellStyle name="Normal 37 2" xfId="1139"/>
    <cellStyle name="Normal 37 2 2" xfId="1808"/>
    <cellStyle name="Normal 37 2 2 2" xfId="4458"/>
    <cellStyle name="Normal 37 2 2 2 2" xfId="10268"/>
    <cellStyle name="Normal 37 2 2 2 3" xfId="7346"/>
    <cellStyle name="Normal 37 2 2 3" xfId="8823"/>
    <cellStyle name="Normal 37 2 2 4" xfId="5902"/>
    <cellStyle name="Normal 37 2 2 5" xfId="3011"/>
    <cellStyle name="Normal 37 2 3" xfId="3295"/>
    <cellStyle name="Normal 37 2 3 2" xfId="4739"/>
    <cellStyle name="Normal 37 2 3 2 2" xfId="10549"/>
    <cellStyle name="Normal 37 2 3 2 3" xfId="7627"/>
    <cellStyle name="Normal 37 2 3 3" xfId="9105"/>
    <cellStyle name="Normal 37 2 3 4" xfId="6183"/>
    <cellStyle name="Normal 37 2 4" xfId="3864"/>
    <cellStyle name="Normal 37 2 4 2" xfId="9674"/>
    <cellStyle name="Normal 37 2 4 3" xfId="6752"/>
    <cellStyle name="Normal 37 2 5" xfId="8201"/>
    <cellStyle name="Normal 37 2 6" xfId="5308"/>
    <cellStyle name="Normal 37 2 7" xfId="2417"/>
    <cellStyle name="Normal 38" xfId="200"/>
    <cellStyle name="Normal 39" xfId="201"/>
    <cellStyle name="Normal 4" xfId="202"/>
    <cellStyle name="Normal 4 2" xfId="203"/>
    <cellStyle name="Normal 4 2 2" xfId="204"/>
    <cellStyle name="Normal 4 3" xfId="205"/>
    <cellStyle name="Normal 4 3 2" xfId="1140"/>
    <cellStyle name="Normal 4 4" xfId="206"/>
    <cellStyle name="Normal 4 4 2" xfId="1141"/>
    <cellStyle name="Normal 4 5" xfId="207"/>
    <cellStyle name="Normal 4 5 2" xfId="1142"/>
    <cellStyle name="Normal 4 5 2 2" xfId="1809"/>
    <cellStyle name="Normal 4 5 2 2 2" xfId="4459"/>
    <cellStyle name="Normal 4 5 2 2 2 2" xfId="10269"/>
    <cellStyle name="Normal 4 5 2 2 2 3" xfId="7347"/>
    <cellStyle name="Normal 4 5 2 2 3" xfId="8824"/>
    <cellStyle name="Normal 4 5 2 2 4" xfId="5903"/>
    <cellStyle name="Normal 4 5 2 2 5" xfId="3012"/>
    <cellStyle name="Normal 4 5 2 3" xfId="3865"/>
    <cellStyle name="Normal 4 5 2 3 2" xfId="9675"/>
    <cellStyle name="Normal 4 5 2 3 3" xfId="6753"/>
    <cellStyle name="Normal 4 5 2 4" xfId="8202"/>
    <cellStyle name="Normal 4 5 2 5" xfId="5309"/>
    <cellStyle name="Normal 4 5 2 6" xfId="2418"/>
    <cellStyle name="Normal 4 5 3" xfId="545"/>
    <cellStyle name="Normal 4 5 3 2" xfId="1449"/>
    <cellStyle name="Normal 4 5 3 2 2" xfId="4119"/>
    <cellStyle name="Normal 4 5 3 2 2 2" xfId="9929"/>
    <cellStyle name="Normal 4 5 3 2 2 3" xfId="7007"/>
    <cellStyle name="Normal 4 5 3 2 3" xfId="8464"/>
    <cellStyle name="Normal 4 5 3 2 4" xfId="5563"/>
    <cellStyle name="Normal 4 5 3 2 5" xfId="2672"/>
    <cellStyle name="Normal 4 5 3 3" xfId="3525"/>
    <cellStyle name="Normal 4 5 3 3 2" xfId="9335"/>
    <cellStyle name="Normal 4 5 3 3 3" xfId="6413"/>
    <cellStyle name="Normal 4 5 3 4" xfId="7862"/>
    <cellStyle name="Normal 4 5 3 5" xfId="4969"/>
    <cellStyle name="Normal 4 5 3 6" xfId="2078"/>
    <cellStyle name="Normal 4 5 4" xfId="1274"/>
    <cellStyle name="Normal 4 5 4 2" xfId="3944"/>
    <cellStyle name="Normal 4 5 4 2 2" xfId="9754"/>
    <cellStyle name="Normal 4 5 4 2 3" xfId="6832"/>
    <cellStyle name="Normal 4 5 4 3" xfId="8289"/>
    <cellStyle name="Normal 4 5 4 4" xfId="5388"/>
    <cellStyle name="Normal 4 5 4 5" xfId="2497"/>
    <cellStyle name="Normal 4 5 5" xfId="3296"/>
    <cellStyle name="Normal 4 5 5 2" xfId="4740"/>
    <cellStyle name="Normal 4 5 5 2 2" xfId="10550"/>
    <cellStyle name="Normal 4 5 5 2 3" xfId="7628"/>
    <cellStyle name="Normal 4 5 5 3" xfId="9106"/>
    <cellStyle name="Normal 4 5 5 4" xfId="6184"/>
    <cellStyle name="Normal 4 5 6" xfId="3350"/>
    <cellStyle name="Normal 4 5 6 2" xfId="9160"/>
    <cellStyle name="Normal 4 5 6 3" xfId="6238"/>
    <cellStyle name="Normal 4 5 7" xfId="7682"/>
    <cellStyle name="Normal 4 5 8" xfId="4794"/>
    <cellStyle name="Normal 4 5 9" xfId="1903"/>
    <cellStyle name="Normal 40" xfId="208"/>
    <cellStyle name="Normal 41" xfId="209"/>
    <cellStyle name="Normal 42" xfId="210"/>
    <cellStyle name="Normal 43" xfId="211"/>
    <cellStyle name="Normal 44" xfId="212"/>
    <cellStyle name="Normal 45" xfId="213"/>
    <cellStyle name="Normal 46" xfId="214"/>
    <cellStyle name="Normal 47" xfId="215"/>
    <cellStyle name="Normal 48" xfId="216"/>
    <cellStyle name="Normal 49" xfId="217"/>
    <cellStyle name="Normal 5" xfId="218"/>
    <cellStyle name="Normal 5 2" xfId="219"/>
    <cellStyle name="Normal 5 2 2" xfId="1143"/>
    <cellStyle name="Normal 5 2 2 2" xfId="1144"/>
    <cellStyle name="Normal 5 2 2 2 2" xfId="1811"/>
    <cellStyle name="Normal 5 2 2 2 2 2" xfId="4461"/>
    <cellStyle name="Normal 5 2 2 2 2 2 2" xfId="10271"/>
    <cellStyle name="Normal 5 2 2 2 2 2 3" xfId="7349"/>
    <cellStyle name="Normal 5 2 2 2 2 3" xfId="8826"/>
    <cellStyle name="Normal 5 2 2 2 2 4" xfId="5905"/>
    <cellStyle name="Normal 5 2 2 2 2 5" xfId="3014"/>
    <cellStyle name="Normal 5 2 2 2 3" xfId="3298"/>
    <cellStyle name="Normal 5 2 2 2 3 2" xfId="4742"/>
    <cellStyle name="Normal 5 2 2 2 3 2 2" xfId="10552"/>
    <cellStyle name="Normal 5 2 2 2 3 2 3" xfId="7630"/>
    <cellStyle name="Normal 5 2 2 2 3 3" xfId="9108"/>
    <cellStyle name="Normal 5 2 2 2 3 4" xfId="6186"/>
    <cellStyle name="Normal 5 2 2 2 4" xfId="3867"/>
    <cellStyle name="Normal 5 2 2 2 4 2" xfId="9677"/>
    <cellStyle name="Normal 5 2 2 2 4 3" xfId="6755"/>
    <cellStyle name="Normal 5 2 2 2 5" xfId="8204"/>
    <cellStyle name="Normal 5 2 2 2 6" xfId="5311"/>
    <cellStyle name="Normal 5 2 2 2 7" xfId="2420"/>
    <cellStyle name="Normal 5 2 2 3" xfId="1810"/>
    <cellStyle name="Normal 5 2 2 3 2" xfId="4460"/>
    <cellStyle name="Normal 5 2 2 3 2 2" xfId="10270"/>
    <cellStyle name="Normal 5 2 2 3 2 3" xfId="7348"/>
    <cellStyle name="Normal 5 2 2 3 3" xfId="8825"/>
    <cellStyle name="Normal 5 2 2 3 4" xfId="5904"/>
    <cellStyle name="Normal 5 2 2 3 5" xfId="3013"/>
    <cellStyle name="Normal 5 2 2 4" xfId="3297"/>
    <cellStyle name="Normal 5 2 2 4 2" xfId="4741"/>
    <cellStyle name="Normal 5 2 2 4 2 2" xfId="10551"/>
    <cellStyle name="Normal 5 2 2 4 2 3" xfId="7629"/>
    <cellStyle name="Normal 5 2 2 4 3" xfId="9107"/>
    <cellStyle name="Normal 5 2 2 4 4" xfId="6185"/>
    <cellStyle name="Normal 5 2 2 5" xfId="3866"/>
    <cellStyle name="Normal 5 2 2 5 2" xfId="9676"/>
    <cellStyle name="Normal 5 2 2 5 3" xfId="6754"/>
    <cellStyle name="Normal 5 2 2 6" xfId="8203"/>
    <cellStyle name="Normal 5 2 2 7" xfId="5310"/>
    <cellStyle name="Normal 5 2 2 8" xfId="2419"/>
    <cellStyle name="Normal 5 2 3" xfId="1145"/>
    <cellStyle name="Normal 5 2 3 2" xfId="1812"/>
    <cellStyle name="Normal 5 2 3 2 2" xfId="4462"/>
    <cellStyle name="Normal 5 2 3 2 2 2" xfId="10272"/>
    <cellStyle name="Normal 5 2 3 2 2 3" xfId="7350"/>
    <cellStyle name="Normal 5 2 3 2 3" xfId="8827"/>
    <cellStyle name="Normal 5 2 3 2 4" xfId="5906"/>
    <cellStyle name="Normal 5 2 3 2 5" xfId="3015"/>
    <cellStyle name="Normal 5 2 3 3" xfId="3299"/>
    <cellStyle name="Normal 5 2 3 3 2" xfId="4743"/>
    <cellStyle name="Normal 5 2 3 3 2 2" xfId="10553"/>
    <cellStyle name="Normal 5 2 3 3 2 3" xfId="7631"/>
    <cellStyle name="Normal 5 2 3 3 3" xfId="9109"/>
    <cellStyle name="Normal 5 2 3 3 4" xfId="6187"/>
    <cellStyle name="Normal 5 2 3 4" xfId="3868"/>
    <cellStyle name="Normal 5 2 3 4 2" xfId="9678"/>
    <cellStyle name="Normal 5 2 3 4 3" xfId="6756"/>
    <cellStyle name="Normal 5 2 3 5" xfId="8205"/>
    <cellStyle name="Normal 5 2 3 6" xfId="5312"/>
    <cellStyle name="Normal 5 2 3 7" xfId="2421"/>
    <cellStyle name="Normal 5 2 4" xfId="1146"/>
    <cellStyle name="Normal 5 2 4 2" xfId="1813"/>
    <cellStyle name="Normal 5 2 4 2 2" xfId="4463"/>
    <cellStyle name="Normal 5 2 4 2 2 2" xfId="10273"/>
    <cellStyle name="Normal 5 2 4 2 2 3" xfId="7351"/>
    <cellStyle name="Normal 5 2 4 2 3" xfId="8828"/>
    <cellStyle name="Normal 5 2 4 2 4" xfId="5907"/>
    <cellStyle name="Normal 5 2 4 2 5" xfId="3016"/>
    <cellStyle name="Normal 5 2 4 3" xfId="3300"/>
    <cellStyle name="Normal 5 2 4 3 2" xfId="4744"/>
    <cellStyle name="Normal 5 2 4 3 2 2" xfId="10554"/>
    <cellStyle name="Normal 5 2 4 3 2 3" xfId="7632"/>
    <cellStyle name="Normal 5 2 4 3 3" xfId="9110"/>
    <cellStyle name="Normal 5 2 4 3 4" xfId="6188"/>
    <cellStyle name="Normal 5 2 4 4" xfId="3869"/>
    <cellStyle name="Normal 5 2 4 4 2" xfId="9679"/>
    <cellStyle name="Normal 5 2 4 4 3" xfId="6757"/>
    <cellStyle name="Normal 5 2 4 5" xfId="8206"/>
    <cellStyle name="Normal 5 2 4 6" xfId="5313"/>
    <cellStyle name="Normal 5 2 4 7" xfId="2422"/>
    <cellStyle name="Normal 5 3" xfId="220"/>
    <cellStyle name="Normal 5 4" xfId="221"/>
    <cellStyle name="Normal 5 4 2" xfId="1147"/>
    <cellStyle name="Normal 5 4 2 2" xfId="1814"/>
    <cellStyle name="Normal 5 4 2 2 2" xfId="4464"/>
    <cellStyle name="Normal 5 4 2 2 2 2" xfId="10274"/>
    <cellStyle name="Normal 5 4 2 2 2 3" xfId="7352"/>
    <cellStyle name="Normal 5 4 2 2 3" xfId="8829"/>
    <cellStyle name="Normal 5 4 2 2 4" xfId="5908"/>
    <cellStyle name="Normal 5 4 2 2 5" xfId="3017"/>
    <cellStyle name="Normal 5 4 2 3" xfId="3870"/>
    <cellStyle name="Normal 5 4 2 3 2" xfId="9680"/>
    <cellStyle name="Normal 5 4 2 3 3" xfId="6758"/>
    <cellStyle name="Normal 5 4 2 4" xfId="8207"/>
    <cellStyle name="Normal 5 4 2 5" xfId="5314"/>
    <cellStyle name="Normal 5 4 2 6" xfId="2423"/>
    <cellStyle name="Normal 5 4 3" xfId="546"/>
    <cellStyle name="Normal 5 4 3 2" xfId="1450"/>
    <cellStyle name="Normal 5 4 3 2 2" xfId="4120"/>
    <cellStyle name="Normal 5 4 3 2 2 2" xfId="9930"/>
    <cellStyle name="Normal 5 4 3 2 2 3" xfId="7008"/>
    <cellStyle name="Normal 5 4 3 2 3" xfId="8465"/>
    <cellStyle name="Normal 5 4 3 2 4" xfId="5564"/>
    <cellStyle name="Normal 5 4 3 2 5" xfId="2673"/>
    <cellStyle name="Normal 5 4 3 3" xfId="3526"/>
    <cellStyle name="Normal 5 4 3 3 2" xfId="9336"/>
    <cellStyle name="Normal 5 4 3 3 3" xfId="6414"/>
    <cellStyle name="Normal 5 4 3 4" xfId="7863"/>
    <cellStyle name="Normal 5 4 3 5" xfId="4970"/>
    <cellStyle name="Normal 5 4 3 6" xfId="2079"/>
    <cellStyle name="Normal 5 4 4" xfId="1275"/>
    <cellStyle name="Normal 5 4 4 2" xfId="3945"/>
    <cellStyle name="Normal 5 4 4 2 2" xfId="9755"/>
    <cellStyle name="Normal 5 4 4 2 3" xfId="6833"/>
    <cellStyle name="Normal 5 4 4 3" xfId="8290"/>
    <cellStyle name="Normal 5 4 4 4" xfId="5389"/>
    <cellStyle name="Normal 5 4 4 5" xfId="2498"/>
    <cellStyle name="Normal 5 4 5" xfId="3301"/>
    <cellStyle name="Normal 5 4 5 2" xfId="4745"/>
    <cellStyle name="Normal 5 4 5 2 2" xfId="10555"/>
    <cellStyle name="Normal 5 4 5 2 3" xfId="7633"/>
    <cellStyle name="Normal 5 4 5 3" xfId="9111"/>
    <cellStyle name="Normal 5 4 5 4" xfId="6189"/>
    <cellStyle name="Normal 5 4 6" xfId="3351"/>
    <cellStyle name="Normal 5 4 6 2" xfId="9161"/>
    <cellStyle name="Normal 5 4 6 3" xfId="6239"/>
    <cellStyle name="Normal 5 4 7" xfId="7683"/>
    <cellStyle name="Normal 5 4 8" xfId="4795"/>
    <cellStyle name="Normal 5 4 9" xfId="1904"/>
    <cellStyle name="Normal 50" xfId="222"/>
    <cellStyle name="Normal 51" xfId="223"/>
    <cellStyle name="Normal 52" xfId="224"/>
    <cellStyle name="Normal 53" xfId="225"/>
    <cellStyle name="Normal 54" xfId="226"/>
    <cellStyle name="Normal 55" xfId="227"/>
    <cellStyle name="Normal 56" xfId="228"/>
    <cellStyle name="Normal 57" xfId="229"/>
    <cellStyle name="Normal 58" xfId="230"/>
    <cellStyle name="Normal 59" xfId="231"/>
    <cellStyle name="Normal 6" xfId="232"/>
    <cellStyle name="Normal 6 2" xfId="233"/>
    <cellStyle name="Normal 6 3" xfId="234"/>
    <cellStyle name="Normal 6 4" xfId="235"/>
    <cellStyle name="Normal 6 4 2" xfId="1148"/>
    <cellStyle name="Normal 6 4 2 2" xfId="1815"/>
    <cellStyle name="Normal 6 4 2 2 2" xfId="4465"/>
    <cellStyle name="Normal 6 4 2 2 2 2" xfId="10275"/>
    <cellStyle name="Normal 6 4 2 2 2 3" xfId="7353"/>
    <cellStyle name="Normal 6 4 2 2 3" xfId="8830"/>
    <cellStyle name="Normal 6 4 2 2 4" xfId="5909"/>
    <cellStyle name="Normal 6 4 2 2 5" xfId="3018"/>
    <cellStyle name="Normal 6 4 2 3" xfId="3871"/>
    <cellStyle name="Normal 6 4 2 3 2" xfId="9681"/>
    <cellStyle name="Normal 6 4 2 3 3" xfId="6759"/>
    <cellStyle name="Normal 6 4 2 4" xfId="8208"/>
    <cellStyle name="Normal 6 4 2 5" xfId="5315"/>
    <cellStyle name="Normal 6 4 2 6" xfId="2424"/>
    <cellStyle name="Normal 6 4 3" xfId="547"/>
    <cellStyle name="Normal 6 4 3 2" xfId="1451"/>
    <cellStyle name="Normal 6 4 3 2 2" xfId="4121"/>
    <cellStyle name="Normal 6 4 3 2 2 2" xfId="9931"/>
    <cellStyle name="Normal 6 4 3 2 2 3" xfId="7009"/>
    <cellStyle name="Normal 6 4 3 2 3" xfId="8466"/>
    <cellStyle name="Normal 6 4 3 2 4" xfId="5565"/>
    <cellStyle name="Normal 6 4 3 2 5" xfId="2674"/>
    <cellStyle name="Normal 6 4 3 3" xfId="3527"/>
    <cellStyle name="Normal 6 4 3 3 2" xfId="9337"/>
    <cellStyle name="Normal 6 4 3 3 3" xfId="6415"/>
    <cellStyle name="Normal 6 4 3 4" xfId="7864"/>
    <cellStyle name="Normal 6 4 3 5" xfId="4971"/>
    <cellStyle name="Normal 6 4 3 6" xfId="2080"/>
    <cellStyle name="Normal 6 4 4" xfId="1276"/>
    <cellStyle name="Normal 6 4 4 2" xfId="3946"/>
    <cellStyle name="Normal 6 4 4 2 2" xfId="9756"/>
    <cellStyle name="Normal 6 4 4 2 3" xfId="6834"/>
    <cellStyle name="Normal 6 4 4 3" xfId="8291"/>
    <cellStyle name="Normal 6 4 4 4" xfId="5390"/>
    <cellStyle name="Normal 6 4 4 5" xfId="2499"/>
    <cellStyle name="Normal 6 4 5" xfId="3302"/>
    <cellStyle name="Normal 6 4 5 2" xfId="4746"/>
    <cellStyle name="Normal 6 4 5 2 2" xfId="10556"/>
    <cellStyle name="Normal 6 4 5 2 3" xfId="7634"/>
    <cellStyle name="Normal 6 4 5 3" xfId="9112"/>
    <cellStyle name="Normal 6 4 5 4" xfId="6190"/>
    <cellStyle name="Normal 6 4 6" xfId="3352"/>
    <cellStyle name="Normal 6 4 6 2" xfId="9162"/>
    <cellStyle name="Normal 6 4 6 3" xfId="6240"/>
    <cellStyle name="Normal 6 4 7" xfId="7684"/>
    <cellStyle name="Normal 6 4 8" xfId="4796"/>
    <cellStyle name="Normal 6 4 9" xfId="1905"/>
    <cellStyle name="Normal 6 5" xfId="3104"/>
    <cellStyle name="Normal 6 5 2" xfId="4549"/>
    <cellStyle name="Normal 6 5 2 2" xfId="10359"/>
    <cellStyle name="Normal 6 5 2 3" xfId="7437"/>
    <cellStyle name="Normal 6 5 3" xfId="8915"/>
    <cellStyle name="Normal 6 5 4" xfId="5993"/>
    <cellStyle name="Normal 60" xfId="236"/>
    <cellStyle name="Normal 61" xfId="237"/>
    <cellStyle name="Normal 62" xfId="238"/>
    <cellStyle name="Normal 63" xfId="239"/>
    <cellStyle name="Normal 63 10" xfId="1906"/>
    <cellStyle name="Normal 63 2" xfId="240"/>
    <cellStyle name="Normal 63 3" xfId="1149"/>
    <cellStyle name="Normal 63 3 2" xfId="1816"/>
    <cellStyle name="Normal 63 3 2 2" xfId="4466"/>
    <cellStyle name="Normal 63 3 2 2 2" xfId="10276"/>
    <cellStyle name="Normal 63 3 2 2 3" xfId="7354"/>
    <cellStyle name="Normal 63 3 2 3" xfId="8831"/>
    <cellStyle name="Normal 63 3 2 4" xfId="5910"/>
    <cellStyle name="Normal 63 3 2 5" xfId="3019"/>
    <cellStyle name="Normal 63 3 3" xfId="3872"/>
    <cellStyle name="Normal 63 3 3 2" xfId="9682"/>
    <cellStyle name="Normal 63 3 3 3" xfId="6760"/>
    <cellStyle name="Normal 63 3 4" xfId="8209"/>
    <cellStyle name="Normal 63 3 5" xfId="5316"/>
    <cellStyle name="Normal 63 3 6" xfId="2425"/>
    <cellStyle name="Normal 63 4" xfId="548"/>
    <cellStyle name="Normal 63 4 2" xfId="1452"/>
    <cellStyle name="Normal 63 4 2 2" xfId="4122"/>
    <cellStyle name="Normal 63 4 2 2 2" xfId="9932"/>
    <cellStyle name="Normal 63 4 2 2 3" xfId="7010"/>
    <cellStyle name="Normal 63 4 2 3" xfId="8467"/>
    <cellStyle name="Normal 63 4 2 4" xfId="5566"/>
    <cellStyle name="Normal 63 4 2 5" xfId="2675"/>
    <cellStyle name="Normal 63 4 3" xfId="3528"/>
    <cellStyle name="Normal 63 4 3 2" xfId="9338"/>
    <cellStyle name="Normal 63 4 3 3" xfId="6416"/>
    <cellStyle name="Normal 63 4 4" xfId="7865"/>
    <cellStyle name="Normal 63 4 5" xfId="4972"/>
    <cellStyle name="Normal 63 4 6" xfId="2081"/>
    <cellStyle name="Normal 63 5" xfId="1277"/>
    <cellStyle name="Normal 63 5 2" xfId="3947"/>
    <cellStyle name="Normal 63 5 2 2" xfId="9757"/>
    <cellStyle name="Normal 63 5 2 3" xfId="6835"/>
    <cellStyle name="Normal 63 5 3" xfId="8292"/>
    <cellStyle name="Normal 63 5 4" xfId="5391"/>
    <cellStyle name="Normal 63 5 5" xfId="2500"/>
    <cellStyle name="Normal 63 6" xfId="3303"/>
    <cellStyle name="Normal 63 6 2" xfId="4747"/>
    <cellStyle name="Normal 63 6 2 2" xfId="10557"/>
    <cellStyle name="Normal 63 6 2 3" xfId="7635"/>
    <cellStyle name="Normal 63 6 3" xfId="9113"/>
    <cellStyle name="Normal 63 6 4" xfId="6191"/>
    <cellStyle name="Normal 63 7" xfId="3353"/>
    <cellStyle name="Normal 63 7 2" xfId="9163"/>
    <cellStyle name="Normal 63 7 3" xfId="6241"/>
    <cellStyle name="Normal 63 8" xfId="7685"/>
    <cellStyle name="Normal 63 9" xfId="4797"/>
    <cellStyle name="Normal 64" xfId="241"/>
    <cellStyle name="Normal 64 10" xfId="1907"/>
    <cellStyle name="Normal 64 2" xfId="242"/>
    <cellStyle name="Normal 64 3" xfId="1150"/>
    <cellStyle name="Normal 64 3 2" xfId="1817"/>
    <cellStyle name="Normal 64 3 2 2" xfId="4467"/>
    <cellStyle name="Normal 64 3 2 2 2" xfId="10277"/>
    <cellStyle name="Normal 64 3 2 2 3" xfId="7355"/>
    <cellStyle name="Normal 64 3 2 3" xfId="8832"/>
    <cellStyle name="Normal 64 3 2 4" xfId="5911"/>
    <cellStyle name="Normal 64 3 2 5" xfId="3020"/>
    <cellStyle name="Normal 64 3 3" xfId="3873"/>
    <cellStyle name="Normal 64 3 3 2" xfId="9683"/>
    <cellStyle name="Normal 64 3 3 3" xfId="6761"/>
    <cellStyle name="Normal 64 3 4" xfId="8210"/>
    <cellStyle name="Normal 64 3 5" xfId="5317"/>
    <cellStyle name="Normal 64 3 6" xfId="2426"/>
    <cellStyle name="Normal 64 4" xfId="549"/>
    <cellStyle name="Normal 64 4 2" xfId="1453"/>
    <cellStyle name="Normal 64 4 2 2" xfId="4123"/>
    <cellStyle name="Normal 64 4 2 2 2" xfId="9933"/>
    <cellStyle name="Normal 64 4 2 2 3" xfId="7011"/>
    <cellStyle name="Normal 64 4 2 3" xfId="8468"/>
    <cellStyle name="Normal 64 4 2 4" xfId="5567"/>
    <cellStyle name="Normal 64 4 2 5" xfId="2676"/>
    <cellStyle name="Normal 64 4 3" xfId="3529"/>
    <cellStyle name="Normal 64 4 3 2" xfId="9339"/>
    <cellStyle name="Normal 64 4 3 3" xfId="6417"/>
    <cellStyle name="Normal 64 4 4" xfId="7866"/>
    <cellStyle name="Normal 64 4 5" xfId="4973"/>
    <cellStyle name="Normal 64 4 6" xfId="2082"/>
    <cellStyle name="Normal 64 5" xfId="1278"/>
    <cellStyle name="Normal 64 5 2" xfId="3948"/>
    <cellStyle name="Normal 64 5 2 2" xfId="9758"/>
    <cellStyle name="Normal 64 5 2 3" xfId="6836"/>
    <cellStyle name="Normal 64 5 3" xfId="8293"/>
    <cellStyle name="Normal 64 5 4" xfId="5392"/>
    <cellStyle name="Normal 64 5 5" xfId="2501"/>
    <cellStyle name="Normal 64 6" xfId="3304"/>
    <cellStyle name="Normal 64 6 2" xfId="4748"/>
    <cellStyle name="Normal 64 6 2 2" xfId="10558"/>
    <cellStyle name="Normal 64 6 2 3" xfId="7636"/>
    <cellStyle name="Normal 64 6 3" xfId="9114"/>
    <cellStyle name="Normal 64 6 4" xfId="6192"/>
    <cellStyle name="Normal 64 7" xfId="3354"/>
    <cellStyle name="Normal 64 7 2" xfId="9164"/>
    <cellStyle name="Normal 64 7 3" xfId="6242"/>
    <cellStyle name="Normal 64 8" xfId="7686"/>
    <cellStyle name="Normal 64 9" xfId="4798"/>
    <cellStyle name="Normal 65" xfId="243"/>
    <cellStyle name="Normal 65 10" xfId="1908"/>
    <cellStyle name="Normal 65 2" xfId="244"/>
    <cellStyle name="Normal 65 3" xfId="1151"/>
    <cellStyle name="Normal 65 3 2" xfId="1818"/>
    <cellStyle name="Normal 65 3 2 2" xfId="4468"/>
    <cellStyle name="Normal 65 3 2 2 2" xfId="10278"/>
    <cellStyle name="Normal 65 3 2 2 3" xfId="7356"/>
    <cellStyle name="Normal 65 3 2 3" xfId="8833"/>
    <cellStyle name="Normal 65 3 2 4" xfId="5912"/>
    <cellStyle name="Normal 65 3 2 5" xfId="3021"/>
    <cellStyle name="Normal 65 3 3" xfId="3874"/>
    <cellStyle name="Normal 65 3 3 2" xfId="9684"/>
    <cellStyle name="Normal 65 3 3 3" xfId="6762"/>
    <cellStyle name="Normal 65 3 4" xfId="8211"/>
    <cellStyle name="Normal 65 3 5" xfId="5318"/>
    <cellStyle name="Normal 65 3 6" xfId="2427"/>
    <cellStyle name="Normal 65 4" xfId="550"/>
    <cellStyle name="Normal 65 4 2" xfId="1454"/>
    <cellStyle name="Normal 65 4 2 2" xfId="4124"/>
    <cellStyle name="Normal 65 4 2 2 2" xfId="9934"/>
    <cellStyle name="Normal 65 4 2 2 3" xfId="7012"/>
    <cellStyle name="Normal 65 4 2 3" xfId="8469"/>
    <cellStyle name="Normal 65 4 2 4" xfId="5568"/>
    <cellStyle name="Normal 65 4 2 5" xfId="2677"/>
    <cellStyle name="Normal 65 4 3" xfId="3530"/>
    <cellStyle name="Normal 65 4 3 2" xfId="9340"/>
    <cellStyle name="Normal 65 4 3 3" xfId="6418"/>
    <cellStyle name="Normal 65 4 4" xfId="7867"/>
    <cellStyle name="Normal 65 4 5" xfId="4974"/>
    <cellStyle name="Normal 65 4 6" xfId="2083"/>
    <cellStyle name="Normal 65 5" xfId="1279"/>
    <cellStyle name="Normal 65 5 2" xfId="3949"/>
    <cellStyle name="Normal 65 5 2 2" xfId="9759"/>
    <cellStyle name="Normal 65 5 2 3" xfId="6837"/>
    <cellStyle name="Normal 65 5 3" xfId="8294"/>
    <cellStyle name="Normal 65 5 4" xfId="5393"/>
    <cellStyle name="Normal 65 5 5" xfId="2502"/>
    <cellStyle name="Normal 65 6" xfId="3305"/>
    <cellStyle name="Normal 65 6 2" xfId="4749"/>
    <cellStyle name="Normal 65 6 2 2" xfId="10559"/>
    <cellStyle name="Normal 65 6 2 3" xfId="7637"/>
    <cellStyle name="Normal 65 6 3" xfId="9115"/>
    <cellStyle name="Normal 65 6 4" xfId="6193"/>
    <cellStyle name="Normal 65 7" xfId="3355"/>
    <cellStyle name="Normal 65 7 2" xfId="9165"/>
    <cellStyle name="Normal 65 7 3" xfId="6243"/>
    <cellStyle name="Normal 65 8" xfId="7687"/>
    <cellStyle name="Normal 65 9" xfId="4799"/>
    <cellStyle name="Normal 66" xfId="245"/>
    <cellStyle name="Normal 66 10" xfId="1909"/>
    <cellStyle name="Normal 66 2" xfId="246"/>
    <cellStyle name="Normal 66 3" xfId="1152"/>
    <cellStyle name="Normal 66 3 2" xfId="1819"/>
    <cellStyle name="Normal 66 3 2 2" xfId="4469"/>
    <cellStyle name="Normal 66 3 2 2 2" xfId="10279"/>
    <cellStyle name="Normal 66 3 2 2 3" xfId="7357"/>
    <cellStyle name="Normal 66 3 2 3" xfId="8834"/>
    <cellStyle name="Normal 66 3 2 4" xfId="5913"/>
    <cellStyle name="Normal 66 3 2 5" xfId="3022"/>
    <cellStyle name="Normal 66 3 3" xfId="3875"/>
    <cellStyle name="Normal 66 3 3 2" xfId="9685"/>
    <cellStyle name="Normal 66 3 3 3" xfId="6763"/>
    <cellStyle name="Normal 66 3 4" xfId="8212"/>
    <cellStyle name="Normal 66 3 5" xfId="5319"/>
    <cellStyle name="Normal 66 3 6" xfId="2428"/>
    <cellStyle name="Normal 66 4" xfId="551"/>
    <cellStyle name="Normal 66 4 2" xfId="1455"/>
    <cellStyle name="Normal 66 4 2 2" xfId="4125"/>
    <cellStyle name="Normal 66 4 2 2 2" xfId="9935"/>
    <cellStyle name="Normal 66 4 2 2 3" xfId="7013"/>
    <cellStyle name="Normal 66 4 2 3" xfId="8470"/>
    <cellStyle name="Normal 66 4 2 4" xfId="5569"/>
    <cellStyle name="Normal 66 4 2 5" xfId="2678"/>
    <cellStyle name="Normal 66 4 3" xfId="3531"/>
    <cellStyle name="Normal 66 4 3 2" xfId="9341"/>
    <cellStyle name="Normal 66 4 3 3" xfId="6419"/>
    <cellStyle name="Normal 66 4 4" xfId="7868"/>
    <cellStyle name="Normal 66 4 5" xfId="4975"/>
    <cellStyle name="Normal 66 4 6" xfId="2084"/>
    <cellStyle name="Normal 66 5" xfId="1280"/>
    <cellStyle name="Normal 66 5 2" xfId="3950"/>
    <cellStyle name="Normal 66 5 2 2" xfId="9760"/>
    <cellStyle name="Normal 66 5 2 3" xfId="6838"/>
    <cellStyle name="Normal 66 5 3" xfId="8295"/>
    <cellStyle name="Normal 66 5 4" xfId="5394"/>
    <cellStyle name="Normal 66 5 5" xfId="2503"/>
    <cellStyle name="Normal 66 6" xfId="3306"/>
    <cellStyle name="Normal 66 6 2" xfId="4750"/>
    <cellStyle name="Normal 66 6 2 2" xfId="10560"/>
    <cellStyle name="Normal 66 6 2 3" xfId="7638"/>
    <cellStyle name="Normal 66 6 3" xfId="9116"/>
    <cellStyle name="Normal 66 6 4" xfId="6194"/>
    <cellStyle name="Normal 66 7" xfId="3356"/>
    <cellStyle name="Normal 66 7 2" xfId="9166"/>
    <cellStyle name="Normal 66 7 3" xfId="6244"/>
    <cellStyle name="Normal 66 8" xfId="7688"/>
    <cellStyle name="Normal 66 9" xfId="4800"/>
    <cellStyle name="Normal 67" xfId="247"/>
    <cellStyle name="Normal 67 10" xfId="1910"/>
    <cellStyle name="Normal 67 2" xfId="248"/>
    <cellStyle name="Normal 67 3" xfId="1153"/>
    <cellStyle name="Normal 67 3 2" xfId="1820"/>
    <cellStyle name="Normal 67 3 2 2" xfId="4470"/>
    <cellStyle name="Normal 67 3 2 2 2" xfId="10280"/>
    <cellStyle name="Normal 67 3 2 2 3" xfId="7358"/>
    <cellStyle name="Normal 67 3 2 3" xfId="8835"/>
    <cellStyle name="Normal 67 3 2 4" xfId="5914"/>
    <cellStyle name="Normal 67 3 2 5" xfId="3023"/>
    <cellStyle name="Normal 67 3 3" xfId="3876"/>
    <cellStyle name="Normal 67 3 3 2" xfId="9686"/>
    <cellStyle name="Normal 67 3 3 3" xfId="6764"/>
    <cellStyle name="Normal 67 3 4" xfId="8213"/>
    <cellStyle name="Normal 67 3 5" xfId="5320"/>
    <cellStyle name="Normal 67 3 6" xfId="2429"/>
    <cellStyle name="Normal 67 4" xfId="552"/>
    <cellStyle name="Normal 67 4 2" xfId="1456"/>
    <cellStyle name="Normal 67 4 2 2" xfId="4126"/>
    <cellStyle name="Normal 67 4 2 2 2" xfId="9936"/>
    <cellStyle name="Normal 67 4 2 2 3" xfId="7014"/>
    <cellStyle name="Normal 67 4 2 3" xfId="8471"/>
    <cellStyle name="Normal 67 4 2 4" xfId="5570"/>
    <cellStyle name="Normal 67 4 2 5" xfId="2679"/>
    <cellStyle name="Normal 67 4 3" xfId="3532"/>
    <cellStyle name="Normal 67 4 3 2" xfId="9342"/>
    <cellStyle name="Normal 67 4 3 3" xfId="6420"/>
    <cellStyle name="Normal 67 4 4" xfId="7869"/>
    <cellStyle name="Normal 67 4 5" xfId="4976"/>
    <cellStyle name="Normal 67 4 6" xfId="2085"/>
    <cellStyle name="Normal 67 5" xfId="1281"/>
    <cellStyle name="Normal 67 5 2" xfId="3951"/>
    <cellStyle name="Normal 67 5 2 2" xfId="9761"/>
    <cellStyle name="Normal 67 5 2 3" xfId="6839"/>
    <cellStyle name="Normal 67 5 3" xfId="8296"/>
    <cellStyle name="Normal 67 5 4" xfId="5395"/>
    <cellStyle name="Normal 67 5 5" xfId="2504"/>
    <cellStyle name="Normal 67 6" xfId="3307"/>
    <cellStyle name="Normal 67 6 2" xfId="4751"/>
    <cellStyle name="Normal 67 6 2 2" xfId="10561"/>
    <cellStyle name="Normal 67 6 2 3" xfId="7639"/>
    <cellStyle name="Normal 67 6 3" xfId="9117"/>
    <cellStyle name="Normal 67 6 4" xfId="6195"/>
    <cellStyle name="Normal 67 7" xfId="3357"/>
    <cellStyle name="Normal 67 7 2" xfId="9167"/>
    <cellStyle name="Normal 67 7 3" xfId="6245"/>
    <cellStyle name="Normal 67 8" xfId="7689"/>
    <cellStyle name="Normal 67 9" xfId="4801"/>
    <cellStyle name="Normal 68" xfId="249"/>
    <cellStyle name="Normal 68 10" xfId="1911"/>
    <cellStyle name="Normal 68 2" xfId="250"/>
    <cellStyle name="Normal 68 3" xfId="1154"/>
    <cellStyle name="Normal 68 3 2" xfId="1821"/>
    <cellStyle name="Normal 68 3 2 2" xfId="4471"/>
    <cellStyle name="Normal 68 3 2 2 2" xfId="10281"/>
    <cellStyle name="Normal 68 3 2 2 3" xfId="7359"/>
    <cellStyle name="Normal 68 3 2 3" xfId="8836"/>
    <cellStyle name="Normal 68 3 2 4" xfId="5915"/>
    <cellStyle name="Normal 68 3 2 5" xfId="3024"/>
    <cellStyle name="Normal 68 3 3" xfId="3877"/>
    <cellStyle name="Normal 68 3 3 2" xfId="9687"/>
    <cellStyle name="Normal 68 3 3 3" xfId="6765"/>
    <cellStyle name="Normal 68 3 4" xfId="8214"/>
    <cellStyle name="Normal 68 3 5" xfId="5321"/>
    <cellStyle name="Normal 68 3 6" xfId="2430"/>
    <cellStyle name="Normal 68 4" xfId="553"/>
    <cellStyle name="Normal 68 4 2" xfId="1457"/>
    <cellStyle name="Normal 68 4 2 2" xfId="4127"/>
    <cellStyle name="Normal 68 4 2 2 2" xfId="9937"/>
    <cellStyle name="Normal 68 4 2 2 3" xfId="7015"/>
    <cellStyle name="Normal 68 4 2 3" xfId="8472"/>
    <cellStyle name="Normal 68 4 2 4" xfId="5571"/>
    <cellStyle name="Normal 68 4 2 5" xfId="2680"/>
    <cellStyle name="Normal 68 4 3" xfId="3533"/>
    <cellStyle name="Normal 68 4 3 2" xfId="9343"/>
    <cellStyle name="Normal 68 4 3 3" xfId="6421"/>
    <cellStyle name="Normal 68 4 4" xfId="7870"/>
    <cellStyle name="Normal 68 4 5" xfId="4977"/>
    <cellStyle name="Normal 68 4 6" xfId="2086"/>
    <cellStyle name="Normal 68 5" xfId="1282"/>
    <cellStyle name="Normal 68 5 2" xfId="3952"/>
    <cellStyle name="Normal 68 5 2 2" xfId="9762"/>
    <cellStyle name="Normal 68 5 2 3" xfId="6840"/>
    <cellStyle name="Normal 68 5 3" xfId="8297"/>
    <cellStyle name="Normal 68 5 4" xfId="5396"/>
    <cellStyle name="Normal 68 5 5" xfId="2505"/>
    <cellStyle name="Normal 68 6" xfId="3308"/>
    <cellStyle name="Normal 68 6 2" xfId="4752"/>
    <cellStyle name="Normal 68 6 2 2" xfId="10562"/>
    <cellStyle name="Normal 68 6 2 3" xfId="7640"/>
    <cellStyle name="Normal 68 6 3" xfId="9118"/>
    <cellStyle name="Normal 68 6 4" xfId="6196"/>
    <cellStyle name="Normal 68 7" xfId="3358"/>
    <cellStyle name="Normal 68 7 2" xfId="9168"/>
    <cellStyle name="Normal 68 7 3" xfId="6246"/>
    <cellStyle name="Normal 68 8" xfId="7690"/>
    <cellStyle name="Normal 68 9" xfId="4802"/>
    <cellStyle name="Normal 69" xfId="251"/>
    <cellStyle name="Normal 69 10" xfId="1912"/>
    <cellStyle name="Normal 69 2" xfId="252"/>
    <cellStyle name="Normal 69 3" xfId="1155"/>
    <cellStyle name="Normal 69 3 2" xfId="1822"/>
    <cellStyle name="Normal 69 3 2 2" xfId="4472"/>
    <cellStyle name="Normal 69 3 2 2 2" xfId="10282"/>
    <cellStyle name="Normal 69 3 2 2 3" xfId="7360"/>
    <cellStyle name="Normal 69 3 2 3" xfId="8837"/>
    <cellStyle name="Normal 69 3 2 4" xfId="5916"/>
    <cellStyle name="Normal 69 3 2 5" xfId="3025"/>
    <cellStyle name="Normal 69 3 3" xfId="3878"/>
    <cellStyle name="Normal 69 3 3 2" xfId="9688"/>
    <cellStyle name="Normal 69 3 3 3" xfId="6766"/>
    <cellStyle name="Normal 69 3 4" xfId="8215"/>
    <cellStyle name="Normal 69 3 5" xfId="5322"/>
    <cellStyle name="Normal 69 3 6" xfId="2431"/>
    <cellStyle name="Normal 69 4" xfId="554"/>
    <cellStyle name="Normal 69 4 2" xfId="1458"/>
    <cellStyle name="Normal 69 4 2 2" xfId="4128"/>
    <cellStyle name="Normal 69 4 2 2 2" xfId="9938"/>
    <cellStyle name="Normal 69 4 2 2 3" xfId="7016"/>
    <cellStyle name="Normal 69 4 2 3" xfId="8473"/>
    <cellStyle name="Normal 69 4 2 4" xfId="5572"/>
    <cellStyle name="Normal 69 4 2 5" xfId="2681"/>
    <cellStyle name="Normal 69 4 3" xfId="3534"/>
    <cellStyle name="Normal 69 4 3 2" xfId="9344"/>
    <cellStyle name="Normal 69 4 3 3" xfId="6422"/>
    <cellStyle name="Normal 69 4 4" xfId="7871"/>
    <cellStyle name="Normal 69 4 5" xfId="4978"/>
    <cellStyle name="Normal 69 4 6" xfId="2087"/>
    <cellStyle name="Normal 69 5" xfId="1283"/>
    <cellStyle name="Normal 69 5 2" xfId="3953"/>
    <cellStyle name="Normal 69 5 2 2" xfId="9763"/>
    <cellStyle name="Normal 69 5 2 3" xfId="6841"/>
    <cellStyle name="Normal 69 5 3" xfId="8298"/>
    <cellStyle name="Normal 69 5 4" xfId="5397"/>
    <cellStyle name="Normal 69 5 5" xfId="2506"/>
    <cellStyle name="Normal 69 6" xfId="3309"/>
    <cellStyle name="Normal 69 6 2" xfId="4753"/>
    <cellStyle name="Normal 69 6 2 2" xfId="10563"/>
    <cellStyle name="Normal 69 6 2 3" xfId="7641"/>
    <cellStyle name="Normal 69 6 3" xfId="9119"/>
    <cellStyle name="Normal 69 6 4" xfId="6197"/>
    <cellStyle name="Normal 69 7" xfId="3359"/>
    <cellStyle name="Normal 69 7 2" xfId="9169"/>
    <cellStyle name="Normal 69 7 3" xfId="6247"/>
    <cellStyle name="Normal 69 8" xfId="7691"/>
    <cellStyle name="Normal 69 9" xfId="4803"/>
    <cellStyle name="Normal 7" xfId="253"/>
    <cellStyle name="Normal 7 2" xfId="254"/>
    <cellStyle name="Normal 7 3" xfId="255"/>
    <cellStyle name="Normal 7 3 2" xfId="1156"/>
    <cellStyle name="Normal 7 3 2 2" xfId="1823"/>
    <cellStyle name="Normal 7 3 2 2 2" xfId="4473"/>
    <cellStyle name="Normal 7 3 2 2 2 2" xfId="10283"/>
    <cellStyle name="Normal 7 3 2 2 2 3" xfId="7361"/>
    <cellStyle name="Normal 7 3 2 2 3" xfId="8838"/>
    <cellStyle name="Normal 7 3 2 2 4" xfId="5917"/>
    <cellStyle name="Normal 7 3 2 2 5" xfId="3026"/>
    <cellStyle name="Normal 7 3 2 3" xfId="3879"/>
    <cellStyle name="Normal 7 3 2 3 2" xfId="9689"/>
    <cellStyle name="Normal 7 3 2 3 3" xfId="6767"/>
    <cellStyle name="Normal 7 3 2 4" xfId="8216"/>
    <cellStyle name="Normal 7 3 2 5" xfId="5323"/>
    <cellStyle name="Normal 7 3 2 6" xfId="2432"/>
    <cellStyle name="Normal 7 3 3" xfId="555"/>
    <cellStyle name="Normal 7 3 3 2" xfId="1459"/>
    <cellStyle name="Normal 7 3 3 2 2" xfId="4129"/>
    <cellStyle name="Normal 7 3 3 2 2 2" xfId="9939"/>
    <cellStyle name="Normal 7 3 3 2 2 3" xfId="7017"/>
    <cellStyle name="Normal 7 3 3 2 3" xfId="8474"/>
    <cellStyle name="Normal 7 3 3 2 4" xfId="5573"/>
    <cellStyle name="Normal 7 3 3 2 5" xfId="2682"/>
    <cellStyle name="Normal 7 3 3 3" xfId="3535"/>
    <cellStyle name="Normal 7 3 3 3 2" xfId="9345"/>
    <cellStyle name="Normal 7 3 3 3 3" xfId="6423"/>
    <cellStyle name="Normal 7 3 3 4" xfId="7872"/>
    <cellStyle name="Normal 7 3 3 5" xfId="4979"/>
    <cellStyle name="Normal 7 3 3 6" xfId="2088"/>
    <cellStyle name="Normal 7 3 4" xfId="1284"/>
    <cellStyle name="Normal 7 3 4 2" xfId="3954"/>
    <cellStyle name="Normal 7 3 4 2 2" xfId="9764"/>
    <cellStyle name="Normal 7 3 4 2 3" xfId="6842"/>
    <cellStyle name="Normal 7 3 4 3" xfId="8299"/>
    <cellStyle name="Normal 7 3 4 4" xfId="5398"/>
    <cellStyle name="Normal 7 3 4 5" xfId="2507"/>
    <cellStyle name="Normal 7 3 5" xfId="3310"/>
    <cellStyle name="Normal 7 3 5 2" xfId="4754"/>
    <cellStyle name="Normal 7 3 5 2 2" xfId="10564"/>
    <cellStyle name="Normal 7 3 5 2 3" xfId="7642"/>
    <cellStyle name="Normal 7 3 5 3" xfId="9120"/>
    <cellStyle name="Normal 7 3 5 4" xfId="6198"/>
    <cellStyle name="Normal 7 3 6" xfId="3360"/>
    <cellStyle name="Normal 7 3 6 2" xfId="9170"/>
    <cellStyle name="Normal 7 3 6 3" xfId="6248"/>
    <cellStyle name="Normal 7 3 7" xfId="7692"/>
    <cellStyle name="Normal 7 3 8" xfId="4804"/>
    <cellStyle name="Normal 7 3 9" xfId="1913"/>
    <cellStyle name="Normal 7 4" xfId="482"/>
    <cellStyle name="Normal 70" xfId="256"/>
    <cellStyle name="Normal 70 10" xfId="1914"/>
    <cellStyle name="Normal 70 2" xfId="257"/>
    <cellStyle name="Normal 70 3" xfId="1157"/>
    <cellStyle name="Normal 70 3 2" xfId="1824"/>
    <cellStyle name="Normal 70 3 2 2" xfId="4474"/>
    <cellStyle name="Normal 70 3 2 2 2" xfId="10284"/>
    <cellStyle name="Normal 70 3 2 2 3" xfId="7362"/>
    <cellStyle name="Normal 70 3 2 3" xfId="8839"/>
    <cellStyle name="Normal 70 3 2 4" xfId="5918"/>
    <cellStyle name="Normal 70 3 2 5" xfId="3027"/>
    <cellStyle name="Normal 70 3 3" xfId="3880"/>
    <cellStyle name="Normal 70 3 3 2" xfId="9690"/>
    <cellStyle name="Normal 70 3 3 3" xfId="6768"/>
    <cellStyle name="Normal 70 3 4" xfId="8217"/>
    <cellStyle name="Normal 70 3 5" xfId="5324"/>
    <cellStyle name="Normal 70 3 6" xfId="2433"/>
    <cellStyle name="Normal 70 4" xfId="556"/>
    <cellStyle name="Normal 70 4 2" xfId="1460"/>
    <cellStyle name="Normal 70 4 2 2" xfId="4130"/>
    <cellStyle name="Normal 70 4 2 2 2" xfId="9940"/>
    <cellStyle name="Normal 70 4 2 2 3" xfId="7018"/>
    <cellStyle name="Normal 70 4 2 3" xfId="8475"/>
    <cellStyle name="Normal 70 4 2 4" xfId="5574"/>
    <cellStyle name="Normal 70 4 2 5" xfId="2683"/>
    <cellStyle name="Normal 70 4 3" xfId="3536"/>
    <cellStyle name="Normal 70 4 3 2" xfId="9346"/>
    <cellStyle name="Normal 70 4 3 3" xfId="6424"/>
    <cellStyle name="Normal 70 4 4" xfId="7873"/>
    <cellStyle name="Normal 70 4 5" xfId="4980"/>
    <cellStyle name="Normal 70 4 6" xfId="2089"/>
    <cellStyle name="Normal 70 5" xfId="1285"/>
    <cellStyle name="Normal 70 5 2" xfId="3955"/>
    <cellStyle name="Normal 70 5 2 2" xfId="9765"/>
    <cellStyle name="Normal 70 5 2 3" xfId="6843"/>
    <cellStyle name="Normal 70 5 3" xfId="8300"/>
    <cellStyle name="Normal 70 5 4" xfId="5399"/>
    <cellStyle name="Normal 70 5 5" xfId="2508"/>
    <cellStyle name="Normal 70 6" xfId="3311"/>
    <cellStyle name="Normal 70 6 2" xfId="4755"/>
    <cellStyle name="Normal 70 6 2 2" xfId="10565"/>
    <cellStyle name="Normal 70 6 2 3" xfId="7643"/>
    <cellStyle name="Normal 70 6 3" xfId="9121"/>
    <cellStyle name="Normal 70 6 4" xfId="6199"/>
    <cellStyle name="Normal 70 7" xfId="3361"/>
    <cellStyle name="Normal 70 7 2" xfId="9171"/>
    <cellStyle name="Normal 70 7 3" xfId="6249"/>
    <cellStyle name="Normal 70 8" xfId="7693"/>
    <cellStyle name="Normal 70 9" xfId="4805"/>
    <cellStyle name="Normal 71" xfId="258"/>
    <cellStyle name="Normal 71 2" xfId="259"/>
    <cellStyle name="Normal 72" xfId="260"/>
    <cellStyle name="Normal 72 2" xfId="261"/>
    <cellStyle name="Normal 73" xfId="262"/>
    <cellStyle name="Normal 73 2" xfId="263"/>
    <cellStyle name="Normal 74" xfId="264"/>
    <cellStyle name="Normal 74 2" xfId="265"/>
    <cellStyle name="Normal 75" xfId="266"/>
    <cellStyle name="Normal 75 2" xfId="267"/>
    <cellStyle name="Normal 76" xfId="268"/>
    <cellStyle name="Normal 76 2" xfId="269"/>
    <cellStyle name="Normal 77" xfId="270"/>
    <cellStyle name="Normal 77 2" xfId="271"/>
    <cellStyle name="Normal 78" xfId="272"/>
    <cellStyle name="Normal 78 2" xfId="273"/>
    <cellStyle name="Normal 79" xfId="274"/>
    <cellStyle name="Normal 79 2" xfId="275"/>
    <cellStyle name="Normal 8" xfId="276"/>
    <cellStyle name="Normal 8 2" xfId="1158"/>
    <cellStyle name="Normal 8 2 2" xfId="1159"/>
    <cellStyle name="Normal 8 2 2 2" xfId="1826"/>
    <cellStyle name="Normal 8 2 2 2 2" xfId="4476"/>
    <cellStyle name="Normal 8 2 2 2 2 2" xfId="10286"/>
    <cellStyle name="Normal 8 2 2 2 2 3" xfId="7364"/>
    <cellStyle name="Normal 8 2 2 2 3" xfId="8841"/>
    <cellStyle name="Normal 8 2 2 2 4" xfId="5920"/>
    <cellStyle name="Normal 8 2 2 2 5" xfId="3029"/>
    <cellStyle name="Normal 8 2 2 3" xfId="3313"/>
    <cellStyle name="Normal 8 2 2 3 2" xfId="4757"/>
    <cellStyle name="Normal 8 2 2 3 2 2" xfId="10567"/>
    <cellStyle name="Normal 8 2 2 3 2 3" xfId="7645"/>
    <cellStyle name="Normal 8 2 2 3 3" xfId="9123"/>
    <cellStyle name="Normal 8 2 2 3 4" xfId="6201"/>
    <cellStyle name="Normal 8 2 2 4" xfId="3882"/>
    <cellStyle name="Normal 8 2 2 4 2" xfId="9692"/>
    <cellStyle name="Normal 8 2 2 4 3" xfId="6770"/>
    <cellStyle name="Normal 8 2 2 5" xfId="8219"/>
    <cellStyle name="Normal 8 2 2 6" xfId="5326"/>
    <cellStyle name="Normal 8 2 2 7" xfId="2435"/>
    <cellStyle name="Normal 8 2 3" xfId="1825"/>
    <cellStyle name="Normal 8 2 3 2" xfId="4475"/>
    <cellStyle name="Normal 8 2 3 2 2" xfId="10285"/>
    <cellStyle name="Normal 8 2 3 2 3" xfId="7363"/>
    <cellStyle name="Normal 8 2 3 3" xfId="8840"/>
    <cellStyle name="Normal 8 2 3 4" xfId="5919"/>
    <cellStyle name="Normal 8 2 3 5" xfId="3028"/>
    <cellStyle name="Normal 8 2 4" xfId="3312"/>
    <cellStyle name="Normal 8 2 4 2" xfId="4756"/>
    <cellStyle name="Normal 8 2 4 2 2" xfId="10566"/>
    <cellStyle name="Normal 8 2 4 2 3" xfId="7644"/>
    <cellStyle name="Normal 8 2 4 3" xfId="9122"/>
    <cellStyle name="Normal 8 2 4 4" xfId="6200"/>
    <cellStyle name="Normal 8 2 5" xfId="3881"/>
    <cellStyle name="Normal 8 2 5 2" xfId="9691"/>
    <cellStyle name="Normal 8 2 5 3" xfId="6769"/>
    <cellStyle name="Normal 8 2 6" xfId="8218"/>
    <cellStyle name="Normal 8 2 7" xfId="5325"/>
    <cellStyle name="Normal 8 2 8" xfId="2434"/>
    <cellStyle name="Normal 8 3" xfId="1160"/>
    <cellStyle name="Normal 8 3 2" xfId="1827"/>
    <cellStyle name="Normal 8 3 2 2" xfId="4477"/>
    <cellStyle name="Normal 8 3 2 2 2" xfId="10287"/>
    <cellStyle name="Normal 8 3 2 2 3" xfId="7365"/>
    <cellStyle name="Normal 8 3 2 3" xfId="8842"/>
    <cellStyle name="Normal 8 3 2 4" xfId="5921"/>
    <cellStyle name="Normal 8 3 2 5" xfId="3030"/>
    <cellStyle name="Normal 8 3 3" xfId="3314"/>
    <cellStyle name="Normal 8 3 3 2" xfId="4758"/>
    <cellStyle name="Normal 8 3 3 2 2" xfId="10568"/>
    <cellStyle name="Normal 8 3 3 2 3" xfId="7646"/>
    <cellStyle name="Normal 8 3 3 3" xfId="9124"/>
    <cellStyle name="Normal 8 3 3 4" xfId="6202"/>
    <cellStyle name="Normal 8 3 4" xfId="3883"/>
    <cellStyle name="Normal 8 3 4 2" xfId="9693"/>
    <cellStyle name="Normal 8 3 4 3" xfId="6771"/>
    <cellStyle name="Normal 8 3 5" xfId="8220"/>
    <cellStyle name="Normal 8 3 6" xfId="5327"/>
    <cellStyle name="Normal 8 3 7" xfId="2436"/>
    <cellStyle name="Normal 8 4" xfId="1161"/>
    <cellStyle name="Normal 8 4 2" xfId="1828"/>
    <cellStyle name="Normal 8 4 2 2" xfId="4478"/>
    <cellStyle name="Normal 8 4 2 2 2" xfId="10288"/>
    <cellStyle name="Normal 8 4 2 2 3" xfId="7366"/>
    <cellStyle name="Normal 8 4 2 3" xfId="8843"/>
    <cellStyle name="Normal 8 4 2 4" xfId="5922"/>
    <cellStyle name="Normal 8 4 2 5" xfId="3031"/>
    <cellStyle name="Normal 8 4 3" xfId="3315"/>
    <cellStyle name="Normal 8 4 3 2" xfId="4759"/>
    <cellStyle name="Normal 8 4 3 2 2" xfId="10569"/>
    <cellStyle name="Normal 8 4 3 2 3" xfId="7647"/>
    <cellStyle name="Normal 8 4 3 3" xfId="9125"/>
    <cellStyle name="Normal 8 4 3 4" xfId="6203"/>
    <cellStyle name="Normal 8 4 4" xfId="3884"/>
    <cellStyle name="Normal 8 4 4 2" xfId="9694"/>
    <cellStyle name="Normal 8 4 4 3" xfId="6772"/>
    <cellStyle name="Normal 8 4 5" xfId="8221"/>
    <cellStyle name="Normal 8 4 6" xfId="5328"/>
    <cellStyle name="Normal 8 4 7" xfId="2437"/>
    <cellStyle name="Normal 80" xfId="277"/>
    <cellStyle name="Normal 80 2" xfId="278"/>
    <cellStyle name="Normal 81" xfId="279"/>
    <cellStyle name="Normal 81 2" xfId="280"/>
    <cellStyle name="Normal 82" xfId="281"/>
    <cellStyle name="Normal 82 2" xfId="282"/>
    <cellStyle name="Normal 83" xfId="283"/>
    <cellStyle name="Normal 83 2" xfId="284"/>
    <cellStyle name="Normal 84" xfId="285"/>
    <cellStyle name="Normal 84 2" xfId="286"/>
    <cellStyle name="Normal 85" xfId="287"/>
    <cellStyle name="Normal 85 2" xfId="288"/>
    <cellStyle name="Normal 86" xfId="289"/>
    <cellStyle name="Normal 86 2" xfId="290"/>
    <cellStyle name="Normal 87" xfId="291"/>
    <cellStyle name="Normal 87 2" xfId="292"/>
    <cellStyle name="Normal 88" xfId="293"/>
    <cellStyle name="Normal 88 2" xfId="294"/>
    <cellStyle name="Normal 89" xfId="295"/>
    <cellStyle name="Normal 89 2" xfId="1162"/>
    <cellStyle name="Normal 89 2 2" xfId="1829"/>
    <cellStyle name="Normal 89 2 2 2" xfId="4479"/>
    <cellStyle name="Normal 89 2 2 2 2" xfId="10289"/>
    <cellStyle name="Normal 89 2 2 2 3" xfId="7367"/>
    <cellStyle name="Normal 89 2 2 3" xfId="8844"/>
    <cellStyle name="Normal 89 2 2 4" xfId="5923"/>
    <cellStyle name="Normal 89 2 2 5" xfId="3032"/>
    <cellStyle name="Normal 89 2 3" xfId="3885"/>
    <cellStyle name="Normal 89 2 3 2" xfId="9695"/>
    <cellStyle name="Normal 89 2 3 3" xfId="6773"/>
    <cellStyle name="Normal 89 2 4" xfId="8222"/>
    <cellStyle name="Normal 89 2 5" xfId="5329"/>
    <cellStyle name="Normal 89 2 6" xfId="2438"/>
    <cellStyle name="Normal 89 3" xfId="557"/>
    <cellStyle name="Normal 89 3 2" xfId="1461"/>
    <cellStyle name="Normal 89 3 2 2" xfId="4131"/>
    <cellStyle name="Normal 89 3 2 2 2" xfId="9941"/>
    <cellStyle name="Normal 89 3 2 2 3" xfId="7019"/>
    <cellStyle name="Normal 89 3 2 3" xfId="8476"/>
    <cellStyle name="Normal 89 3 2 4" xfId="5575"/>
    <cellStyle name="Normal 89 3 2 5" xfId="2684"/>
    <cellStyle name="Normal 89 3 3" xfId="3537"/>
    <cellStyle name="Normal 89 3 3 2" xfId="9347"/>
    <cellStyle name="Normal 89 3 3 3" xfId="6425"/>
    <cellStyle name="Normal 89 3 4" xfId="7874"/>
    <cellStyle name="Normal 89 3 5" xfId="4981"/>
    <cellStyle name="Normal 89 3 6" xfId="2090"/>
    <cellStyle name="Normal 89 4" xfId="1286"/>
    <cellStyle name="Normal 89 4 2" xfId="3956"/>
    <cellStyle name="Normal 89 4 2 2" xfId="9766"/>
    <cellStyle name="Normal 89 4 2 3" xfId="6844"/>
    <cellStyle name="Normal 89 4 3" xfId="8301"/>
    <cellStyle name="Normal 89 4 4" xfId="5400"/>
    <cellStyle name="Normal 89 4 5" xfId="2509"/>
    <cellStyle name="Normal 89 5" xfId="3316"/>
    <cellStyle name="Normal 89 5 2" xfId="4760"/>
    <cellStyle name="Normal 89 5 2 2" xfId="10570"/>
    <cellStyle name="Normal 89 5 2 3" xfId="7648"/>
    <cellStyle name="Normal 89 5 3" xfId="9126"/>
    <cellStyle name="Normal 89 5 4" xfId="6204"/>
    <cellStyle name="Normal 89 6" xfId="3362"/>
    <cellStyle name="Normal 89 6 2" xfId="9172"/>
    <cellStyle name="Normal 89 6 3" xfId="6250"/>
    <cellStyle name="Normal 89 7" xfId="7694"/>
    <cellStyle name="Normal 89 8" xfId="4806"/>
    <cellStyle name="Normal 89 9" xfId="1915"/>
    <cellStyle name="Normal 9" xfId="296"/>
    <cellStyle name="Normal 9 2" xfId="481"/>
    <cellStyle name="Normal 9 3" xfId="1163"/>
    <cellStyle name="Normal 90" xfId="297"/>
    <cellStyle name="Normal 90 2" xfId="298"/>
    <cellStyle name="Normal 91" xfId="299"/>
    <cellStyle name="Normal 91 2" xfId="300"/>
    <cellStyle name="Normal 92" xfId="301"/>
    <cellStyle name="Normal 92 2" xfId="302"/>
    <cellStyle name="Normal 93" xfId="303"/>
    <cellStyle name="Normal 93 2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rmal_Sheet1" xfId="311"/>
    <cellStyle name="Note 10" xfId="499"/>
    <cellStyle name="Note 10 2" xfId="677"/>
    <cellStyle name="Note 10 2 2" xfId="1581"/>
    <cellStyle name="Note 10 2 2 2" xfId="4251"/>
    <cellStyle name="Note 10 2 2 2 2" xfId="10061"/>
    <cellStyle name="Note 10 2 2 2 3" xfId="7139"/>
    <cellStyle name="Note 10 2 2 3" xfId="8596"/>
    <cellStyle name="Note 10 2 2 4" xfId="5695"/>
    <cellStyle name="Note 10 2 2 5" xfId="2804"/>
    <cellStyle name="Note 10 2 3" xfId="3657"/>
    <cellStyle name="Note 10 2 3 2" xfId="9467"/>
    <cellStyle name="Note 10 2 3 3" xfId="6545"/>
    <cellStyle name="Note 10 2 4" xfId="7994"/>
    <cellStyle name="Note 10 2 5" xfId="5101"/>
    <cellStyle name="Note 10 2 6" xfId="2210"/>
    <cellStyle name="Note 10 3" xfId="1406"/>
    <cellStyle name="Note 10 3 2" xfId="4076"/>
    <cellStyle name="Note 10 3 2 2" xfId="9886"/>
    <cellStyle name="Note 10 3 2 3" xfId="6964"/>
    <cellStyle name="Note 10 3 3" xfId="8421"/>
    <cellStyle name="Note 10 3 4" xfId="5520"/>
    <cellStyle name="Note 10 3 5" xfId="2629"/>
    <cellStyle name="Note 10 4" xfId="3482"/>
    <cellStyle name="Note 10 4 2" xfId="9292"/>
    <cellStyle name="Note 10 4 3" xfId="6370"/>
    <cellStyle name="Note 10 5" xfId="7819"/>
    <cellStyle name="Note 10 6" xfId="4926"/>
    <cellStyle name="Note 10 7" xfId="2035"/>
    <cellStyle name="Note 11" xfId="1236"/>
    <cellStyle name="Note 11 2" xfId="1854"/>
    <cellStyle name="Note 11 2 2" xfId="4504"/>
    <cellStyle name="Note 11 2 2 2" xfId="10314"/>
    <cellStyle name="Note 11 2 2 3" xfId="7392"/>
    <cellStyle name="Note 11 2 3" xfId="8869"/>
    <cellStyle name="Note 11 2 4" xfId="5948"/>
    <cellStyle name="Note 11 2 5" xfId="3057"/>
    <cellStyle name="Note 11 3" xfId="3910"/>
    <cellStyle name="Note 11 3 2" xfId="9720"/>
    <cellStyle name="Note 11 3 3" xfId="6798"/>
    <cellStyle name="Note 11 4" xfId="8251"/>
    <cellStyle name="Note 11 5" xfId="5354"/>
    <cellStyle name="Note 11 6" xfId="2463"/>
    <cellStyle name="Note 12" xfId="1868"/>
    <cellStyle name="Note 12 2" xfId="4521"/>
    <cellStyle name="Note 12 2 2" xfId="10331"/>
    <cellStyle name="Note 12 2 3" xfId="7409"/>
    <cellStyle name="Note 12 3" xfId="8886"/>
    <cellStyle name="Note 12 4" xfId="5965"/>
    <cellStyle name="Note 12 5" xfId="3073"/>
    <cellStyle name="Note 13" xfId="10609"/>
    <cellStyle name="Note 14" xfId="10626"/>
    <cellStyle name="Note 15" xfId="10640"/>
    <cellStyle name="Note 2" xfId="312"/>
    <cellStyle name="Note 2 2" xfId="313"/>
    <cellStyle name="Note 2 2 2" xfId="7696"/>
    <cellStyle name="Note 2 3" xfId="7695"/>
    <cellStyle name="Note 3" xfId="314"/>
    <cellStyle name="Note 3 2" xfId="7697"/>
    <cellStyle name="Note 4" xfId="390"/>
    <cellStyle name="Note 4 2" xfId="1164"/>
    <cellStyle name="Note 4 2 2" xfId="1830"/>
    <cellStyle name="Note 4 2 2 2" xfId="4480"/>
    <cellStyle name="Note 4 2 2 2 2" xfId="10290"/>
    <cellStyle name="Note 4 2 2 2 3" xfId="7368"/>
    <cellStyle name="Note 4 2 2 3" xfId="8845"/>
    <cellStyle name="Note 4 2 2 4" xfId="5924"/>
    <cellStyle name="Note 4 2 2 5" xfId="3033"/>
    <cellStyle name="Note 4 2 3" xfId="3886"/>
    <cellStyle name="Note 4 2 3 2" xfId="9696"/>
    <cellStyle name="Note 4 2 3 3" xfId="6774"/>
    <cellStyle name="Note 4 2 4" xfId="8223"/>
    <cellStyle name="Note 4 2 5" xfId="5330"/>
    <cellStyle name="Note 4 2 6" xfId="2439"/>
    <cellStyle name="Note 4 3" xfId="572"/>
    <cellStyle name="Note 4 3 2" xfId="1476"/>
    <cellStyle name="Note 4 3 2 2" xfId="4146"/>
    <cellStyle name="Note 4 3 2 2 2" xfId="9956"/>
    <cellStyle name="Note 4 3 2 2 3" xfId="7034"/>
    <cellStyle name="Note 4 3 2 3" xfId="8491"/>
    <cellStyle name="Note 4 3 2 4" xfId="5590"/>
    <cellStyle name="Note 4 3 2 5" xfId="2699"/>
    <cellStyle name="Note 4 3 3" xfId="3552"/>
    <cellStyle name="Note 4 3 3 2" xfId="9362"/>
    <cellStyle name="Note 4 3 3 3" xfId="6440"/>
    <cellStyle name="Note 4 3 4" xfId="7889"/>
    <cellStyle name="Note 4 3 5" xfId="4996"/>
    <cellStyle name="Note 4 3 6" xfId="2105"/>
    <cellStyle name="Note 4 4" xfId="1301"/>
    <cellStyle name="Note 4 4 2" xfId="3971"/>
    <cellStyle name="Note 4 4 2 2" xfId="9781"/>
    <cellStyle name="Note 4 4 2 3" xfId="6859"/>
    <cellStyle name="Note 4 4 3" xfId="8316"/>
    <cellStyle name="Note 4 4 4" xfId="5415"/>
    <cellStyle name="Note 4 4 5" xfId="2524"/>
    <cellStyle name="Note 4 5" xfId="3317"/>
    <cellStyle name="Note 4 5 2" xfId="4761"/>
    <cellStyle name="Note 4 5 2 2" xfId="10571"/>
    <cellStyle name="Note 4 5 2 3" xfId="7649"/>
    <cellStyle name="Note 4 5 3" xfId="9127"/>
    <cellStyle name="Note 4 5 4" xfId="6205"/>
    <cellStyle name="Note 4 6" xfId="3377"/>
    <cellStyle name="Note 4 6 2" xfId="9187"/>
    <cellStyle name="Note 4 6 3" xfId="6265"/>
    <cellStyle name="Note 4 7" xfId="7714"/>
    <cellStyle name="Note 4 8" xfId="4821"/>
    <cellStyle name="Note 4 9" xfId="1930"/>
    <cellStyle name="Note 5" xfId="394"/>
    <cellStyle name="Note 5 2" xfId="1165"/>
    <cellStyle name="Note 5 2 2" xfId="1831"/>
    <cellStyle name="Note 5 2 2 2" xfId="4481"/>
    <cellStyle name="Note 5 2 2 2 2" xfId="10291"/>
    <cellStyle name="Note 5 2 2 2 3" xfId="7369"/>
    <cellStyle name="Note 5 2 2 3" xfId="8846"/>
    <cellStyle name="Note 5 2 2 4" xfId="5925"/>
    <cellStyle name="Note 5 2 2 5" xfId="3034"/>
    <cellStyle name="Note 5 2 3" xfId="3887"/>
    <cellStyle name="Note 5 2 3 2" xfId="9697"/>
    <cellStyle name="Note 5 2 3 3" xfId="6775"/>
    <cellStyle name="Note 5 2 4" xfId="8224"/>
    <cellStyle name="Note 5 2 5" xfId="5331"/>
    <cellStyle name="Note 5 2 6" xfId="2440"/>
    <cellStyle name="Note 5 3" xfId="576"/>
    <cellStyle name="Note 5 3 2" xfId="1480"/>
    <cellStyle name="Note 5 3 2 2" xfId="4150"/>
    <cellStyle name="Note 5 3 2 2 2" xfId="9960"/>
    <cellStyle name="Note 5 3 2 2 3" xfId="7038"/>
    <cellStyle name="Note 5 3 2 3" xfId="8495"/>
    <cellStyle name="Note 5 3 2 4" xfId="5594"/>
    <cellStyle name="Note 5 3 2 5" xfId="2703"/>
    <cellStyle name="Note 5 3 3" xfId="3556"/>
    <cellStyle name="Note 5 3 3 2" xfId="9366"/>
    <cellStyle name="Note 5 3 3 3" xfId="6444"/>
    <cellStyle name="Note 5 3 4" xfId="7893"/>
    <cellStyle name="Note 5 3 5" xfId="5000"/>
    <cellStyle name="Note 5 3 6" xfId="2109"/>
    <cellStyle name="Note 5 4" xfId="1305"/>
    <cellStyle name="Note 5 4 2" xfId="3975"/>
    <cellStyle name="Note 5 4 2 2" xfId="9785"/>
    <cellStyle name="Note 5 4 2 3" xfId="6863"/>
    <cellStyle name="Note 5 4 3" xfId="8320"/>
    <cellStyle name="Note 5 4 4" xfId="5419"/>
    <cellStyle name="Note 5 4 5" xfId="2528"/>
    <cellStyle name="Note 5 5" xfId="3318"/>
    <cellStyle name="Note 5 5 2" xfId="4762"/>
    <cellStyle name="Note 5 5 2 2" xfId="10572"/>
    <cellStyle name="Note 5 5 2 3" xfId="7650"/>
    <cellStyle name="Note 5 5 3" xfId="9128"/>
    <cellStyle name="Note 5 5 4" xfId="6206"/>
    <cellStyle name="Note 5 6" xfId="3381"/>
    <cellStyle name="Note 5 6 2" xfId="9191"/>
    <cellStyle name="Note 5 6 3" xfId="6269"/>
    <cellStyle name="Note 5 7" xfId="7718"/>
    <cellStyle name="Note 5 8" xfId="4825"/>
    <cellStyle name="Note 5 9" xfId="1934"/>
    <cellStyle name="Note 6" xfId="415"/>
    <cellStyle name="Note 6 2" xfId="1166"/>
    <cellStyle name="Note 6 2 2" xfId="1832"/>
    <cellStyle name="Note 6 2 2 2" xfId="4482"/>
    <cellStyle name="Note 6 2 2 2 2" xfId="10292"/>
    <cellStyle name="Note 6 2 2 2 3" xfId="7370"/>
    <cellStyle name="Note 6 2 2 3" xfId="8847"/>
    <cellStyle name="Note 6 2 2 4" xfId="5926"/>
    <cellStyle name="Note 6 2 2 5" xfId="3035"/>
    <cellStyle name="Note 6 2 3" xfId="3888"/>
    <cellStyle name="Note 6 2 3 2" xfId="9698"/>
    <cellStyle name="Note 6 2 3 3" xfId="6776"/>
    <cellStyle name="Note 6 2 4" xfId="8225"/>
    <cellStyle name="Note 6 2 5" xfId="5332"/>
    <cellStyle name="Note 6 2 6" xfId="2441"/>
    <cellStyle name="Note 6 3" xfId="597"/>
    <cellStyle name="Note 6 3 2" xfId="1501"/>
    <cellStyle name="Note 6 3 2 2" xfId="4171"/>
    <cellStyle name="Note 6 3 2 2 2" xfId="9981"/>
    <cellStyle name="Note 6 3 2 2 3" xfId="7059"/>
    <cellStyle name="Note 6 3 2 3" xfId="8516"/>
    <cellStyle name="Note 6 3 2 4" xfId="5615"/>
    <cellStyle name="Note 6 3 2 5" xfId="2724"/>
    <cellStyle name="Note 6 3 3" xfId="3577"/>
    <cellStyle name="Note 6 3 3 2" xfId="9387"/>
    <cellStyle name="Note 6 3 3 3" xfId="6465"/>
    <cellStyle name="Note 6 3 4" xfId="7914"/>
    <cellStyle name="Note 6 3 5" xfId="5021"/>
    <cellStyle name="Note 6 3 6" xfId="2130"/>
    <cellStyle name="Note 6 4" xfId="1326"/>
    <cellStyle name="Note 6 4 2" xfId="3996"/>
    <cellStyle name="Note 6 4 2 2" xfId="9806"/>
    <cellStyle name="Note 6 4 2 3" xfId="6884"/>
    <cellStyle name="Note 6 4 3" xfId="8341"/>
    <cellStyle name="Note 6 4 4" xfId="5440"/>
    <cellStyle name="Note 6 4 5" xfId="2549"/>
    <cellStyle name="Note 6 5" xfId="3319"/>
    <cellStyle name="Note 6 5 2" xfId="4763"/>
    <cellStyle name="Note 6 5 2 2" xfId="10573"/>
    <cellStyle name="Note 6 5 2 3" xfId="7651"/>
    <cellStyle name="Note 6 5 3" xfId="9129"/>
    <cellStyle name="Note 6 5 4" xfId="6207"/>
    <cellStyle name="Note 6 6" xfId="3402"/>
    <cellStyle name="Note 6 6 2" xfId="9212"/>
    <cellStyle name="Note 6 6 3" xfId="6290"/>
    <cellStyle name="Note 6 7" xfId="7739"/>
    <cellStyle name="Note 6 8" xfId="4846"/>
    <cellStyle name="Note 6 9" xfId="1955"/>
    <cellStyle name="Note 7" xfId="430"/>
    <cellStyle name="Note 7 2" xfId="1167"/>
    <cellStyle name="Note 7 2 2" xfId="1833"/>
    <cellStyle name="Note 7 2 2 2" xfId="4483"/>
    <cellStyle name="Note 7 2 2 2 2" xfId="10293"/>
    <cellStyle name="Note 7 2 2 2 3" xfId="7371"/>
    <cellStyle name="Note 7 2 2 3" xfId="8848"/>
    <cellStyle name="Note 7 2 2 4" xfId="5927"/>
    <cellStyle name="Note 7 2 2 5" xfId="3036"/>
    <cellStyle name="Note 7 2 3" xfId="3889"/>
    <cellStyle name="Note 7 2 3 2" xfId="9699"/>
    <cellStyle name="Note 7 2 3 3" xfId="6777"/>
    <cellStyle name="Note 7 2 4" xfId="8226"/>
    <cellStyle name="Note 7 2 5" xfId="5333"/>
    <cellStyle name="Note 7 2 6" xfId="2442"/>
    <cellStyle name="Note 7 3" xfId="612"/>
    <cellStyle name="Note 7 3 2" xfId="1516"/>
    <cellStyle name="Note 7 3 2 2" xfId="4186"/>
    <cellStyle name="Note 7 3 2 2 2" xfId="9996"/>
    <cellStyle name="Note 7 3 2 2 3" xfId="7074"/>
    <cellStyle name="Note 7 3 2 3" xfId="8531"/>
    <cellStyle name="Note 7 3 2 4" xfId="5630"/>
    <cellStyle name="Note 7 3 2 5" xfId="2739"/>
    <cellStyle name="Note 7 3 3" xfId="3592"/>
    <cellStyle name="Note 7 3 3 2" xfId="9402"/>
    <cellStyle name="Note 7 3 3 3" xfId="6480"/>
    <cellStyle name="Note 7 3 4" xfId="7929"/>
    <cellStyle name="Note 7 3 5" xfId="5036"/>
    <cellStyle name="Note 7 3 6" xfId="2145"/>
    <cellStyle name="Note 7 4" xfId="1341"/>
    <cellStyle name="Note 7 4 2" xfId="4011"/>
    <cellStyle name="Note 7 4 2 2" xfId="9821"/>
    <cellStyle name="Note 7 4 2 3" xfId="6899"/>
    <cellStyle name="Note 7 4 3" xfId="8356"/>
    <cellStyle name="Note 7 4 4" xfId="5455"/>
    <cellStyle name="Note 7 4 5" xfId="2564"/>
    <cellStyle name="Note 7 5" xfId="3320"/>
    <cellStyle name="Note 7 5 2" xfId="4764"/>
    <cellStyle name="Note 7 5 2 2" xfId="10574"/>
    <cellStyle name="Note 7 5 2 3" xfId="7652"/>
    <cellStyle name="Note 7 5 3" xfId="9130"/>
    <cellStyle name="Note 7 5 4" xfId="6208"/>
    <cellStyle name="Note 7 6" xfId="3417"/>
    <cellStyle name="Note 7 6 2" xfId="9227"/>
    <cellStyle name="Note 7 6 3" xfId="6305"/>
    <cellStyle name="Note 7 7" xfId="7754"/>
    <cellStyle name="Note 7 8" xfId="4861"/>
    <cellStyle name="Note 7 9" xfId="1970"/>
    <cellStyle name="Note 8" xfId="444"/>
    <cellStyle name="Note 8 2" xfId="1168"/>
    <cellStyle name="Note 8 2 2" xfId="1834"/>
    <cellStyle name="Note 8 2 2 2" xfId="4484"/>
    <cellStyle name="Note 8 2 2 2 2" xfId="10294"/>
    <cellStyle name="Note 8 2 2 2 3" xfId="7372"/>
    <cellStyle name="Note 8 2 2 3" xfId="8849"/>
    <cellStyle name="Note 8 2 2 4" xfId="5928"/>
    <cellStyle name="Note 8 2 2 5" xfId="3037"/>
    <cellStyle name="Note 8 2 3" xfId="3890"/>
    <cellStyle name="Note 8 2 3 2" xfId="9700"/>
    <cellStyle name="Note 8 2 3 3" xfId="6778"/>
    <cellStyle name="Note 8 2 4" xfId="8227"/>
    <cellStyle name="Note 8 2 5" xfId="5334"/>
    <cellStyle name="Note 8 2 6" xfId="2443"/>
    <cellStyle name="Note 8 3" xfId="626"/>
    <cellStyle name="Note 8 3 2" xfId="1530"/>
    <cellStyle name="Note 8 3 2 2" xfId="4200"/>
    <cellStyle name="Note 8 3 2 2 2" xfId="10010"/>
    <cellStyle name="Note 8 3 2 2 3" xfId="7088"/>
    <cellStyle name="Note 8 3 2 3" xfId="8545"/>
    <cellStyle name="Note 8 3 2 4" xfId="5644"/>
    <cellStyle name="Note 8 3 2 5" xfId="2753"/>
    <cellStyle name="Note 8 3 3" xfId="3606"/>
    <cellStyle name="Note 8 3 3 2" xfId="9416"/>
    <cellStyle name="Note 8 3 3 3" xfId="6494"/>
    <cellStyle name="Note 8 3 4" xfId="7943"/>
    <cellStyle name="Note 8 3 5" xfId="5050"/>
    <cellStyle name="Note 8 3 6" xfId="2159"/>
    <cellStyle name="Note 8 4" xfId="1355"/>
    <cellStyle name="Note 8 4 2" xfId="4025"/>
    <cellStyle name="Note 8 4 2 2" xfId="9835"/>
    <cellStyle name="Note 8 4 2 3" xfId="6913"/>
    <cellStyle name="Note 8 4 3" xfId="8370"/>
    <cellStyle name="Note 8 4 4" xfId="5469"/>
    <cellStyle name="Note 8 4 5" xfId="2578"/>
    <cellStyle name="Note 8 5" xfId="3321"/>
    <cellStyle name="Note 8 5 2" xfId="4765"/>
    <cellStyle name="Note 8 5 2 2" xfId="10575"/>
    <cellStyle name="Note 8 5 2 3" xfId="7653"/>
    <cellStyle name="Note 8 5 3" xfId="9131"/>
    <cellStyle name="Note 8 5 4" xfId="6209"/>
    <cellStyle name="Note 8 6" xfId="3431"/>
    <cellStyle name="Note 8 6 2" xfId="9241"/>
    <cellStyle name="Note 8 6 3" xfId="6319"/>
    <cellStyle name="Note 8 7" xfId="7768"/>
    <cellStyle name="Note 8 8" xfId="4875"/>
    <cellStyle name="Note 8 9" xfId="1984"/>
    <cellStyle name="Note 9" xfId="463"/>
    <cellStyle name="Note 9 2" xfId="1169"/>
    <cellStyle name="Note 9 2 2" xfId="1835"/>
    <cellStyle name="Note 9 2 2 2" xfId="4485"/>
    <cellStyle name="Note 9 2 2 2 2" xfId="10295"/>
    <cellStyle name="Note 9 2 2 2 3" xfId="7373"/>
    <cellStyle name="Note 9 2 2 3" xfId="8850"/>
    <cellStyle name="Note 9 2 2 4" xfId="5929"/>
    <cellStyle name="Note 9 2 2 5" xfId="3038"/>
    <cellStyle name="Note 9 2 3" xfId="3891"/>
    <cellStyle name="Note 9 2 3 2" xfId="9701"/>
    <cellStyle name="Note 9 2 3 3" xfId="6779"/>
    <cellStyle name="Note 9 2 4" xfId="8228"/>
    <cellStyle name="Note 9 2 5" xfId="5335"/>
    <cellStyle name="Note 9 2 6" xfId="2444"/>
    <cellStyle name="Note 9 3" xfId="645"/>
    <cellStyle name="Note 9 3 2" xfId="1549"/>
    <cellStyle name="Note 9 3 2 2" xfId="4219"/>
    <cellStyle name="Note 9 3 2 2 2" xfId="10029"/>
    <cellStyle name="Note 9 3 2 2 3" xfId="7107"/>
    <cellStyle name="Note 9 3 2 3" xfId="8564"/>
    <cellStyle name="Note 9 3 2 4" xfId="5663"/>
    <cellStyle name="Note 9 3 2 5" xfId="2772"/>
    <cellStyle name="Note 9 3 3" xfId="3625"/>
    <cellStyle name="Note 9 3 3 2" xfId="9435"/>
    <cellStyle name="Note 9 3 3 3" xfId="6513"/>
    <cellStyle name="Note 9 3 4" xfId="7962"/>
    <cellStyle name="Note 9 3 5" xfId="5069"/>
    <cellStyle name="Note 9 3 6" xfId="2178"/>
    <cellStyle name="Note 9 4" xfId="1374"/>
    <cellStyle name="Note 9 4 2" xfId="4044"/>
    <cellStyle name="Note 9 4 2 2" xfId="9854"/>
    <cellStyle name="Note 9 4 2 3" xfId="6932"/>
    <cellStyle name="Note 9 4 3" xfId="8389"/>
    <cellStyle name="Note 9 4 4" xfId="5488"/>
    <cellStyle name="Note 9 4 5" xfId="2597"/>
    <cellStyle name="Note 9 5" xfId="3322"/>
    <cellStyle name="Note 9 5 2" xfId="4766"/>
    <cellStyle name="Note 9 5 2 2" xfId="10576"/>
    <cellStyle name="Note 9 5 2 3" xfId="7654"/>
    <cellStyle name="Note 9 5 3" xfId="9132"/>
    <cellStyle name="Note 9 5 4" xfId="6210"/>
    <cellStyle name="Note 9 6" xfId="3450"/>
    <cellStyle name="Note 9 6 2" xfId="9260"/>
    <cellStyle name="Note 9 6 3" xfId="6338"/>
    <cellStyle name="Note 9 7" xfId="7787"/>
    <cellStyle name="Note 9 8" xfId="4894"/>
    <cellStyle name="Note 9 9" xfId="2003"/>
    <cellStyle name="Output" xfId="357" builtinId="21" customBuiltin="1"/>
    <cellStyle name="Output 2" xfId="315"/>
    <cellStyle name="Output 2 2" xfId="1170"/>
    <cellStyle name="Output 2 2 2" xfId="8229"/>
    <cellStyle name="Output 2 3" xfId="7698"/>
    <cellStyle name="Output 3" xfId="1171"/>
    <cellStyle name="Output 3 2" xfId="8230"/>
    <cellStyle name="Percent" xfId="316" builtinId="5"/>
    <cellStyle name="Percent [2]" xfId="317"/>
    <cellStyle name="Percent [2] 2" xfId="318"/>
    <cellStyle name="Percent 10" xfId="319"/>
    <cellStyle name="Percent 10 2" xfId="1172"/>
    <cellStyle name="Percent 11" xfId="320"/>
    <cellStyle name="Percent 11 2" xfId="1173"/>
    <cellStyle name="Percent 12" xfId="321"/>
    <cellStyle name="Percent 12 2" xfId="1174"/>
    <cellStyle name="Percent 13" xfId="322"/>
    <cellStyle name="Percent 14" xfId="323"/>
    <cellStyle name="Percent 15" xfId="324"/>
    <cellStyle name="Percent 16" xfId="325"/>
    <cellStyle name="Percent 17" xfId="326"/>
    <cellStyle name="Percent 18" xfId="327"/>
    <cellStyle name="Percent 19" xfId="328"/>
    <cellStyle name="Percent 2" xfId="329"/>
    <cellStyle name="Percent 20" xfId="330"/>
    <cellStyle name="Percent 21" xfId="331"/>
    <cellStyle name="Percent 21 2" xfId="1175"/>
    <cellStyle name="Percent 22" xfId="332"/>
    <cellStyle name="Percent 23" xfId="333"/>
    <cellStyle name="Percent 24" xfId="334"/>
    <cellStyle name="Percent 25" xfId="335"/>
    <cellStyle name="Percent 26" xfId="459"/>
    <cellStyle name="Percent 26 10" xfId="4890"/>
    <cellStyle name="Percent 26 11" xfId="1999"/>
    <cellStyle name="Percent 26 2" xfId="1177"/>
    <cellStyle name="Percent 26 3" xfId="1178"/>
    <cellStyle name="Percent 26 4" xfId="1179"/>
    <cellStyle name="Percent 26 4 2" xfId="1836"/>
    <cellStyle name="Percent 26 4 2 2" xfId="4486"/>
    <cellStyle name="Percent 26 4 2 2 2" xfId="10296"/>
    <cellStyle name="Percent 26 4 2 2 3" xfId="7374"/>
    <cellStyle name="Percent 26 4 2 3" xfId="8851"/>
    <cellStyle name="Percent 26 4 2 4" xfId="5930"/>
    <cellStyle name="Percent 26 4 2 5" xfId="3039"/>
    <cellStyle name="Percent 26 4 3" xfId="3323"/>
    <cellStyle name="Percent 26 4 3 2" xfId="4767"/>
    <cellStyle name="Percent 26 4 3 2 2" xfId="10577"/>
    <cellStyle name="Percent 26 4 3 2 3" xfId="7655"/>
    <cellStyle name="Percent 26 4 3 3" xfId="9133"/>
    <cellStyle name="Percent 26 4 3 4" xfId="6211"/>
    <cellStyle name="Percent 26 4 4" xfId="3892"/>
    <cellStyle name="Percent 26 4 4 2" xfId="9702"/>
    <cellStyle name="Percent 26 4 4 3" xfId="6780"/>
    <cellStyle name="Percent 26 4 5" xfId="8231"/>
    <cellStyle name="Percent 26 4 6" xfId="5336"/>
    <cellStyle name="Percent 26 4 7" xfId="2445"/>
    <cellStyle name="Percent 26 5" xfId="1176"/>
    <cellStyle name="Percent 26 6" xfId="641"/>
    <cellStyle name="Percent 26 6 2" xfId="1545"/>
    <cellStyle name="Percent 26 6 2 2" xfId="4215"/>
    <cellStyle name="Percent 26 6 2 2 2" xfId="10025"/>
    <cellStyle name="Percent 26 6 2 2 3" xfId="7103"/>
    <cellStyle name="Percent 26 6 2 3" xfId="8560"/>
    <cellStyle name="Percent 26 6 2 4" xfId="5659"/>
    <cellStyle name="Percent 26 6 2 5" xfId="2768"/>
    <cellStyle name="Percent 26 6 3" xfId="3621"/>
    <cellStyle name="Percent 26 6 3 2" xfId="9431"/>
    <cellStyle name="Percent 26 6 3 3" xfId="6509"/>
    <cellStyle name="Percent 26 6 4" xfId="7958"/>
    <cellStyle name="Percent 26 6 5" xfId="5065"/>
    <cellStyle name="Percent 26 6 6" xfId="2174"/>
    <cellStyle name="Percent 26 7" xfId="1370"/>
    <cellStyle name="Percent 26 7 2" xfId="4040"/>
    <cellStyle name="Percent 26 7 2 2" xfId="9850"/>
    <cellStyle name="Percent 26 7 2 3" xfId="6928"/>
    <cellStyle name="Percent 26 7 3" xfId="8385"/>
    <cellStyle name="Percent 26 7 4" xfId="5484"/>
    <cellStyle name="Percent 26 7 5" xfId="2593"/>
    <cellStyle name="Percent 26 8" xfId="3446"/>
    <cellStyle name="Percent 26 8 2" xfId="9256"/>
    <cellStyle name="Percent 26 8 3" xfId="6334"/>
    <cellStyle name="Percent 26 9" xfId="7783"/>
    <cellStyle name="Percent 27" xfId="461"/>
    <cellStyle name="Percent 27 10" xfId="4892"/>
    <cellStyle name="Percent 27 11" xfId="2001"/>
    <cellStyle name="Percent 27 2" xfId="1181"/>
    <cellStyle name="Percent 27 3" xfId="1182"/>
    <cellStyle name="Percent 27 4" xfId="1183"/>
    <cellStyle name="Percent 27 4 2" xfId="1837"/>
    <cellStyle name="Percent 27 4 2 2" xfId="4487"/>
    <cellStyle name="Percent 27 4 2 2 2" xfId="10297"/>
    <cellStyle name="Percent 27 4 2 2 3" xfId="7375"/>
    <cellStyle name="Percent 27 4 2 3" xfId="8852"/>
    <cellStyle name="Percent 27 4 2 4" xfId="5931"/>
    <cellStyle name="Percent 27 4 2 5" xfId="3040"/>
    <cellStyle name="Percent 27 4 3" xfId="3324"/>
    <cellStyle name="Percent 27 4 3 2" xfId="4768"/>
    <cellStyle name="Percent 27 4 3 2 2" xfId="10578"/>
    <cellStyle name="Percent 27 4 3 2 3" xfId="7656"/>
    <cellStyle name="Percent 27 4 3 3" xfId="9134"/>
    <cellStyle name="Percent 27 4 3 4" xfId="6212"/>
    <cellStyle name="Percent 27 4 4" xfId="3893"/>
    <cellStyle name="Percent 27 4 4 2" xfId="9703"/>
    <cellStyle name="Percent 27 4 4 3" xfId="6781"/>
    <cellStyle name="Percent 27 4 5" xfId="8232"/>
    <cellStyle name="Percent 27 4 6" xfId="5337"/>
    <cellStyle name="Percent 27 4 7" xfId="2446"/>
    <cellStyle name="Percent 27 5" xfId="1180"/>
    <cellStyle name="Percent 27 6" xfId="643"/>
    <cellStyle name="Percent 27 6 2" xfId="1547"/>
    <cellStyle name="Percent 27 6 2 2" xfId="4217"/>
    <cellStyle name="Percent 27 6 2 2 2" xfId="10027"/>
    <cellStyle name="Percent 27 6 2 2 3" xfId="7105"/>
    <cellStyle name="Percent 27 6 2 3" xfId="8562"/>
    <cellStyle name="Percent 27 6 2 4" xfId="5661"/>
    <cellStyle name="Percent 27 6 2 5" xfId="2770"/>
    <cellStyle name="Percent 27 6 3" xfId="3623"/>
    <cellStyle name="Percent 27 6 3 2" xfId="9433"/>
    <cellStyle name="Percent 27 6 3 3" xfId="6511"/>
    <cellStyle name="Percent 27 6 4" xfId="7960"/>
    <cellStyle name="Percent 27 6 5" xfId="5067"/>
    <cellStyle name="Percent 27 6 6" xfId="2176"/>
    <cellStyle name="Percent 27 7" xfId="1372"/>
    <cellStyle name="Percent 27 7 2" xfId="4042"/>
    <cellStyle name="Percent 27 7 2 2" xfId="9852"/>
    <cellStyle name="Percent 27 7 2 3" xfId="6930"/>
    <cellStyle name="Percent 27 7 3" xfId="8387"/>
    <cellStyle name="Percent 27 7 4" xfId="5486"/>
    <cellStyle name="Percent 27 7 5" xfId="2595"/>
    <cellStyle name="Percent 27 8" xfId="3448"/>
    <cellStyle name="Percent 27 8 2" xfId="9258"/>
    <cellStyle name="Percent 27 8 3" xfId="6336"/>
    <cellStyle name="Percent 27 9" xfId="7785"/>
    <cellStyle name="Percent 28" xfId="462"/>
    <cellStyle name="Percent 28 10" xfId="4893"/>
    <cellStyle name="Percent 28 11" xfId="2002"/>
    <cellStyle name="Percent 28 2" xfId="1185"/>
    <cellStyle name="Percent 28 3" xfId="1186"/>
    <cellStyle name="Percent 28 4" xfId="1187"/>
    <cellStyle name="Percent 28 4 2" xfId="1838"/>
    <cellStyle name="Percent 28 4 2 2" xfId="4488"/>
    <cellStyle name="Percent 28 4 2 2 2" xfId="10298"/>
    <cellStyle name="Percent 28 4 2 2 3" xfId="7376"/>
    <cellStyle name="Percent 28 4 2 3" xfId="8853"/>
    <cellStyle name="Percent 28 4 2 4" xfId="5932"/>
    <cellStyle name="Percent 28 4 2 5" xfId="3041"/>
    <cellStyle name="Percent 28 4 3" xfId="3325"/>
    <cellStyle name="Percent 28 4 3 2" xfId="4769"/>
    <cellStyle name="Percent 28 4 3 2 2" xfId="10579"/>
    <cellStyle name="Percent 28 4 3 2 3" xfId="7657"/>
    <cellStyle name="Percent 28 4 3 3" xfId="9135"/>
    <cellStyle name="Percent 28 4 3 4" xfId="6213"/>
    <cellStyle name="Percent 28 4 4" xfId="3894"/>
    <cellStyle name="Percent 28 4 4 2" xfId="9704"/>
    <cellStyle name="Percent 28 4 4 3" xfId="6782"/>
    <cellStyle name="Percent 28 4 5" xfId="8233"/>
    <cellStyle name="Percent 28 4 6" xfId="5338"/>
    <cellStyle name="Percent 28 4 7" xfId="2447"/>
    <cellStyle name="Percent 28 5" xfId="1184"/>
    <cellStyle name="Percent 28 6" xfId="644"/>
    <cellStyle name="Percent 28 6 2" xfId="1548"/>
    <cellStyle name="Percent 28 6 2 2" xfId="4218"/>
    <cellStyle name="Percent 28 6 2 2 2" xfId="10028"/>
    <cellStyle name="Percent 28 6 2 2 3" xfId="7106"/>
    <cellStyle name="Percent 28 6 2 3" xfId="8563"/>
    <cellStyle name="Percent 28 6 2 4" xfId="5662"/>
    <cellStyle name="Percent 28 6 2 5" xfId="2771"/>
    <cellStyle name="Percent 28 6 3" xfId="3624"/>
    <cellStyle name="Percent 28 6 3 2" xfId="9434"/>
    <cellStyle name="Percent 28 6 3 3" xfId="6512"/>
    <cellStyle name="Percent 28 6 4" xfId="7961"/>
    <cellStyle name="Percent 28 6 5" xfId="5068"/>
    <cellStyle name="Percent 28 6 6" xfId="2177"/>
    <cellStyle name="Percent 28 7" xfId="1373"/>
    <cellStyle name="Percent 28 7 2" xfId="4043"/>
    <cellStyle name="Percent 28 7 2 2" xfId="9853"/>
    <cellStyle name="Percent 28 7 2 3" xfId="6931"/>
    <cellStyle name="Percent 28 7 3" xfId="8388"/>
    <cellStyle name="Percent 28 7 4" xfId="5487"/>
    <cellStyle name="Percent 28 7 5" xfId="2596"/>
    <cellStyle name="Percent 28 8" xfId="3449"/>
    <cellStyle name="Percent 28 8 2" xfId="9259"/>
    <cellStyle name="Percent 28 8 3" xfId="6337"/>
    <cellStyle name="Percent 28 9" xfId="7786"/>
    <cellStyle name="Percent 29" xfId="479"/>
    <cellStyle name="Percent 29 2" xfId="1189"/>
    <cellStyle name="Percent 29 3" xfId="1188"/>
    <cellStyle name="Percent 29 4" xfId="661"/>
    <cellStyle name="Percent 29 4 2" xfId="1565"/>
    <cellStyle name="Percent 29 4 2 2" xfId="4235"/>
    <cellStyle name="Percent 29 4 2 2 2" xfId="10045"/>
    <cellStyle name="Percent 29 4 2 2 3" xfId="7123"/>
    <cellStyle name="Percent 29 4 2 3" xfId="8580"/>
    <cellStyle name="Percent 29 4 2 4" xfId="5679"/>
    <cellStyle name="Percent 29 4 2 5" xfId="2788"/>
    <cellStyle name="Percent 29 4 3" xfId="3641"/>
    <cellStyle name="Percent 29 4 3 2" xfId="9451"/>
    <cellStyle name="Percent 29 4 3 3" xfId="6529"/>
    <cellStyle name="Percent 29 4 4" xfId="7978"/>
    <cellStyle name="Percent 29 4 5" xfId="5085"/>
    <cellStyle name="Percent 29 4 6" xfId="2194"/>
    <cellStyle name="Percent 29 5" xfId="1390"/>
    <cellStyle name="Percent 29 5 2" xfId="4060"/>
    <cellStyle name="Percent 29 5 2 2" xfId="9870"/>
    <cellStyle name="Percent 29 5 2 3" xfId="6948"/>
    <cellStyle name="Percent 29 5 3" xfId="8405"/>
    <cellStyle name="Percent 29 5 4" xfId="5504"/>
    <cellStyle name="Percent 29 5 5" xfId="2613"/>
    <cellStyle name="Percent 29 6" xfId="3466"/>
    <cellStyle name="Percent 29 6 2" xfId="9276"/>
    <cellStyle name="Percent 29 6 3" xfId="6354"/>
    <cellStyle name="Percent 29 7" xfId="7803"/>
    <cellStyle name="Percent 29 8" xfId="4910"/>
    <cellStyle name="Percent 29 9" xfId="2019"/>
    <cellStyle name="Percent 3" xfId="336"/>
    <cellStyle name="Percent 30" xfId="1190"/>
    <cellStyle name="Percent 30 2" xfId="1191"/>
    <cellStyle name="Percent 31" xfId="1192"/>
    <cellStyle name="Percent 31 2" xfId="1193"/>
    <cellStyle name="Percent 32" xfId="1194"/>
    <cellStyle name="Percent 32 2" xfId="1195"/>
    <cellStyle name="Percent 33" xfId="1196"/>
    <cellStyle name="Percent 33 2" xfId="1197"/>
    <cellStyle name="Percent 34" xfId="1198"/>
    <cellStyle name="Percent 34 2" xfId="1199"/>
    <cellStyle name="Percent 35" xfId="1200"/>
    <cellStyle name="Percent 35 2" xfId="1201"/>
    <cellStyle name="Percent 36" xfId="1202"/>
    <cellStyle name="Percent 36 2" xfId="1203"/>
    <cellStyle name="Percent 37" xfId="1204"/>
    <cellStyle name="Percent 37 2" xfId="1205"/>
    <cellStyle name="Percent 38" xfId="1206"/>
    <cellStyle name="Percent 38 2" xfId="1207"/>
    <cellStyle name="Percent 39" xfId="1208"/>
    <cellStyle name="Percent 39 2" xfId="1209"/>
    <cellStyle name="Percent 4" xfId="337"/>
    <cellStyle name="Percent 40" xfId="1210"/>
    <cellStyle name="Percent 40 2" xfId="1211"/>
    <cellStyle name="Percent 41" xfId="1212"/>
    <cellStyle name="Percent 42" xfId="1213"/>
    <cellStyle name="Percent 42 2" xfId="1839"/>
    <cellStyle name="Percent 42 2 2" xfId="4489"/>
    <cellStyle name="Percent 42 2 2 2" xfId="10299"/>
    <cellStyle name="Percent 42 2 2 3" xfId="7377"/>
    <cellStyle name="Percent 42 2 3" xfId="8854"/>
    <cellStyle name="Percent 42 2 4" xfId="5933"/>
    <cellStyle name="Percent 42 2 5" xfId="3042"/>
    <cellStyle name="Percent 42 3" xfId="3326"/>
    <cellStyle name="Percent 42 3 2" xfId="4770"/>
    <cellStyle name="Percent 42 3 2 2" xfId="10580"/>
    <cellStyle name="Percent 42 3 2 3" xfId="7658"/>
    <cellStyle name="Percent 42 3 3" xfId="9136"/>
    <cellStyle name="Percent 42 3 4" xfId="6214"/>
    <cellStyle name="Percent 42 4" xfId="3895"/>
    <cellStyle name="Percent 42 4 2" xfId="9705"/>
    <cellStyle name="Percent 42 4 3" xfId="6783"/>
    <cellStyle name="Percent 42 5" xfId="8234"/>
    <cellStyle name="Percent 42 6" xfId="5339"/>
    <cellStyle name="Percent 42 7" xfId="2448"/>
    <cellStyle name="Percent 43" xfId="1214"/>
    <cellStyle name="Percent 43 2" xfId="1840"/>
    <cellStyle name="Percent 43 2 2" xfId="4490"/>
    <cellStyle name="Percent 43 2 2 2" xfId="10300"/>
    <cellStyle name="Percent 43 2 2 3" xfId="7378"/>
    <cellStyle name="Percent 43 2 3" xfId="8855"/>
    <cellStyle name="Percent 43 2 4" xfId="5934"/>
    <cellStyle name="Percent 43 2 5" xfId="3043"/>
    <cellStyle name="Percent 43 3" xfId="3327"/>
    <cellStyle name="Percent 43 3 2" xfId="4771"/>
    <cellStyle name="Percent 43 3 2 2" xfId="10581"/>
    <cellStyle name="Percent 43 3 2 3" xfId="7659"/>
    <cellStyle name="Percent 43 3 3" xfId="9137"/>
    <cellStyle name="Percent 43 3 4" xfId="6215"/>
    <cellStyle name="Percent 43 4" xfId="3896"/>
    <cellStyle name="Percent 43 4 2" xfId="9706"/>
    <cellStyle name="Percent 43 4 3" xfId="6784"/>
    <cellStyle name="Percent 43 5" xfId="8235"/>
    <cellStyle name="Percent 43 6" xfId="5340"/>
    <cellStyle name="Percent 43 7" xfId="2449"/>
    <cellStyle name="Percent 44" xfId="1226"/>
    <cellStyle name="Percent 44 2" xfId="1844"/>
    <cellStyle name="Percent 44 2 2" xfId="4494"/>
    <cellStyle name="Percent 44 2 2 2" xfId="10304"/>
    <cellStyle name="Percent 44 2 2 3" xfId="7382"/>
    <cellStyle name="Percent 44 2 3" xfId="8859"/>
    <cellStyle name="Percent 44 2 4" xfId="5938"/>
    <cellStyle name="Percent 44 2 5" xfId="3047"/>
    <cellStyle name="Percent 44 3" xfId="3900"/>
    <cellStyle name="Percent 44 3 2" xfId="9710"/>
    <cellStyle name="Percent 44 3 3" xfId="6788"/>
    <cellStyle name="Percent 44 4" xfId="8241"/>
    <cellStyle name="Percent 44 5" xfId="5344"/>
    <cellStyle name="Percent 44 6" xfId="2453"/>
    <cellStyle name="Percent 45" xfId="1229"/>
    <cellStyle name="Percent 45 2" xfId="1847"/>
    <cellStyle name="Percent 45 2 2" xfId="4497"/>
    <cellStyle name="Percent 45 2 2 2" xfId="10307"/>
    <cellStyle name="Percent 45 2 2 3" xfId="7385"/>
    <cellStyle name="Percent 45 2 3" xfId="8862"/>
    <cellStyle name="Percent 45 2 4" xfId="5941"/>
    <cellStyle name="Percent 45 2 5" xfId="3050"/>
    <cellStyle name="Percent 45 3" xfId="3903"/>
    <cellStyle name="Percent 45 3 2" xfId="9713"/>
    <cellStyle name="Percent 45 3 3" xfId="6791"/>
    <cellStyle name="Percent 45 4" xfId="8244"/>
    <cellStyle name="Percent 45 5" xfId="5347"/>
    <cellStyle name="Percent 45 6" xfId="2456"/>
    <cellStyle name="Percent 46" xfId="1231"/>
    <cellStyle name="Percent 46 2" xfId="1849"/>
    <cellStyle name="Percent 46 2 2" xfId="4499"/>
    <cellStyle name="Percent 46 2 2 2" xfId="10309"/>
    <cellStyle name="Percent 46 2 2 3" xfId="7387"/>
    <cellStyle name="Percent 46 2 3" xfId="8864"/>
    <cellStyle name="Percent 46 2 4" xfId="5943"/>
    <cellStyle name="Percent 46 2 5" xfId="3052"/>
    <cellStyle name="Percent 46 3" xfId="3905"/>
    <cellStyle name="Percent 46 3 2" xfId="9715"/>
    <cellStyle name="Percent 46 3 3" xfId="6793"/>
    <cellStyle name="Percent 46 4" xfId="8246"/>
    <cellStyle name="Percent 46 5" xfId="5349"/>
    <cellStyle name="Percent 46 6" xfId="2458"/>
    <cellStyle name="Percent 47" xfId="3108"/>
    <cellStyle name="Percent 47 2" xfId="4553"/>
    <cellStyle name="Percent 47 2 2" xfId="10363"/>
    <cellStyle name="Percent 47 2 3" xfId="7441"/>
    <cellStyle name="Percent 47 3" xfId="8919"/>
    <cellStyle name="Percent 47 4" xfId="5997"/>
    <cellStyle name="Percent 5" xfId="338"/>
    <cellStyle name="Percent 6" xfId="339"/>
    <cellStyle name="Percent 6 2" xfId="1215"/>
    <cellStyle name="Percent 7" xfId="340"/>
    <cellStyle name="Percent 7 2" xfId="1216"/>
    <cellStyle name="Percent 8" xfId="341"/>
    <cellStyle name="Percent 8 2" xfId="1217"/>
    <cellStyle name="Percent 9" xfId="342"/>
    <cellStyle name="Percent 9 2" xfId="1218"/>
    <cellStyle name="RevList" xfId="343"/>
    <cellStyle name="Subtotal" xfId="344"/>
    <cellStyle name="Title" xfId="348" builtinId="15" customBuiltin="1"/>
    <cellStyle name="Title 2" xfId="345"/>
    <cellStyle name="Title 2 2" xfId="1219"/>
    <cellStyle name="Title 3" xfId="1220"/>
    <cellStyle name="Total" xfId="363" builtinId="25" customBuiltin="1"/>
    <cellStyle name="Total 2" xfId="346"/>
    <cellStyle name="Total 2 2" xfId="1221"/>
    <cellStyle name="Total 2 2 2" xfId="8236"/>
    <cellStyle name="Total 2 3" xfId="7699"/>
    <cellStyle name="Total 3" xfId="1222"/>
    <cellStyle name="Total 3 2" xfId="8237"/>
    <cellStyle name="Warning Text" xfId="361" builtinId="11" customBuiltin="1"/>
    <cellStyle name="Warning Text 2" xfId="347"/>
  </cellStyles>
  <dxfs count="0"/>
  <tableStyles count="0" defaultTableStyle="TableStyleMedium2" defaultPivotStyle="PivotStyleLight16"/>
  <colors>
    <mruColors>
      <color rgb="FF4E69DA"/>
      <color rgb="FF7572B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Cost%20of%20Service%20Studies/1997/Misc/DepnAlloc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s"/>
      <sheetName val="memo"/>
      <sheetName val="compare1"/>
      <sheetName val="compare2"/>
      <sheetName val="NEPIS"/>
      <sheetName val="Percents"/>
      <sheetName val="Reserve"/>
    </sheetNames>
    <sheetDataSet>
      <sheetData sheetId="0">
        <row r="36">
          <cell r="G36">
            <v>3.1555953393734217E-2</v>
          </cell>
          <cell r="H36">
            <v>0.44975449000000001</v>
          </cell>
          <cell r="I36">
            <v>3.1301695685717203E-2</v>
          </cell>
          <cell r="J36">
            <v>9.5491549999999994E-2</v>
          </cell>
          <cell r="K36">
            <v>6.6459535260169353E-3</v>
          </cell>
          <cell r="L36">
            <v>1.3461999999999641E-3</v>
          </cell>
          <cell r="M36">
            <v>9.369187783341835E-5</v>
          </cell>
        </row>
        <row r="37">
          <cell r="G37">
            <v>8.6395551857412836E-3</v>
          </cell>
          <cell r="H37">
            <v>0.45684071999999998</v>
          </cell>
          <cell r="I37">
            <v>9.0452856203557964E-3</v>
          </cell>
          <cell r="J37">
            <v>0.10681035999999999</v>
          </cell>
          <cell r="K37">
            <v>2.1148075710348802E-3</v>
          </cell>
          <cell r="L37">
            <v>0</v>
          </cell>
          <cell r="M37">
            <v>0</v>
          </cell>
        </row>
        <row r="38">
          <cell r="G38">
            <v>0.4489982669233516</v>
          </cell>
          <cell r="I38">
            <v>0.45366685563460774</v>
          </cell>
          <cell r="K38">
            <v>9.4341407208555272E-2</v>
          </cell>
          <cell r="M38">
            <v>2.9934702334854296E-3</v>
          </cell>
        </row>
        <row r="43">
          <cell r="G43">
            <v>0.18763902662435747</v>
          </cell>
          <cell r="H43">
            <v>0.38110751999999998</v>
          </cell>
          <cell r="I43">
            <v>0.13150473715669542</v>
          </cell>
          <cell r="J43">
            <v>7.3027910000000001E-2</v>
          </cell>
          <cell r="K43">
            <v>2.5198967760207955E-2</v>
          </cell>
          <cell r="L43">
            <v>2.076980000000006E-3</v>
          </cell>
          <cell r="M43">
            <v>7.1668149969781236E-4</v>
          </cell>
        </row>
        <row r="44">
          <cell r="G44">
            <v>3.7005018703275681E-2</v>
          </cell>
          <cell r="H44">
            <v>0.39601945999999999</v>
          </cell>
          <cell r="I44">
            <v>2.856413339067676E-2</v>
          </cell>
          <cell r="J44">
            <v>7.9997230000000003E-2</v>
          </cell>
          <cell r="K44">
            <v>5.7700486450959982E-3</v>
          </cell>
          <cell r="L44">
            <v>1.0937549999999963E-2</v>
          </cell>
          <cell r="M44">
            <v>7.8890476030444451E-4</v>
          </cell>
        </row>
        <row r="45">
          <cell r="G45">
            <v>0.12636103011790398</v>
          </cell>
          <cell r="H45">
            <v>0.45366446999999999</v>
          </cell>
          <cell r="I45">
            <v>0.12766544711804123</v>
          </cell>
          <cell r="J45">
            <v>9.4356040000000002E-2</v>
          </cell>
          <cell r="K45">
            <v>2.6552676772081764E-2</v>
          </cell>
          <cell r="L45">
            <v>2.9503200000000618E-3</v>
          </cell>
          <cell r="M45">
            <v>8.3024778630186162E-4</v>
          </cell>
        </row>
        <row r="46">
          <cell r="G46">
            <v>9.8716704747464801E-2</v>
          </cell>
          <cell r="H46">
            <v>0.44572827999999998</v>
          </cell>
          <cell r="I46">
            <v>9.5346229378553665E-2</v>
          </cell>
          <cell r="J46">
            <v>9.2770350000000001E-2</v>
          </cell>
          <cell r="K46">
            <v>1.9844608178392238E-2</v>
          </cell>
          <cell r="L46">
            <v>1.6660000000001673E-5</v>
          </cell>
          <cell r="M46">
            <v>3.5637590270172301E-6</v>
          </cell>
        </row>
        <row r="47">
          <cell r="G47">
            <v>3.517698638687082E-2</v>
          </cell>
          <cell r="H47">
            <v>0.44955867999999999</v>
          </cell>
          <cell r="I47">
            <v>3.4511631408741993E-2</v>
          </cell>
          <cell r="J47">
            <v>9.2215530000000004E-2</v>
          </cell>
          <cell r="K47">
            <v>7.0791834817243212E-3</v>
          </cell>
          <cell r="L47">
            <v>0</v>
          </cell>
          <cell r="M47">
            <v>0</v>
          </cell>
        </row>
        <row r="48">
          <cell r="G48">
            <v>4.6794810117264506E-3</v>
          </cell>
          <cell r="H48">
            <v>0.45684071999999998</v>
          </cell>
          <cell r="I48">
            <v>4.899238606167376E-3</v>
          </cell>
          <cell r="J48">
            <v>0.10681035999999999</v>
          </cell>
          <cell r="K48">
            <v>1.1454527066909353E-3</v>
          </cell>
          <cell r="L48">
            <v>0</v>
          </cell>
          <cell r="M48">
            <v>0</v>
          </cell>
        </row>
        <row r="49">
          <cell r="G49">
            <v>0.48957824759159924</v>
          </cell>
          <cell r="I49">
            <v>0.42249141705887644</v>
          </cell>
          <cell r="K49">
            <v>8.559093754419321E-2</v>
          </cell>
          <cell r="M49">
            <v>2.339397805331136E-3</v>
          </cell>
        </row>
        <row r="53">
          <cell r="I53" t="str">
            <v xml:space="preserve"> (8)  Col. (c) x Col. (e)</v>
          </cell>
        </row>
        <row r="54">
          <cell r="I54" t="str">
            <v xml:space="preserve"> (9)  Col. (c) x Col. (g)</v>
          </cell>
        </row>
        <row r="55">
          <cell r="I55" t="str">
            <v xml:space="preserve"> (10)  Col. (c) x Col. (i)</v>
          </cell>
        </row>
        <row r="56">
          <cell r="I56" t="str">
            <v xml:space="preserve"> (11)  Col. (c) x Col. (k)</v>
          </cell>
        </row>
        <row r="57">
          <cell r="I57" t="str">
            <v xml:space="preserve"> (12)  1998 Functionalization run, page 1 of 6</v>
          </cell>
        </row>
      </sheetData>
      <sheetData sheetId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3:W145"/>
  <sheetViews>
    <sheetView showGridLines="0" tabSelected="1" topLeftCell="F1" zoomScaleNormal="100" workbookViewId="0">
      <selection activeCell="I34" sqref="I34"/>
    </sheetView>
  </sheetViews>
  <sheetFormatPr defaultRowHeight="12.75" outlineLevelCol="1"/>
  <cols>
    <col min="1" max="5" width="8.88671875" style="153" hidden="1" customWidth="1" outlineLevel="1"/>
    <col min="6" max="6" width="4.77734375" style="153" customWidth="1" collapsed="1"/>
    <col min="7" max="7" width="3.44140625" style="153" bestFit="1" customWidth="1"/>
    <col min="8" max="8" width="18.6640625" style="153" bestFit="1" customWidth="1"/>
    <col min="9" max="13" width="11.77734375" style="153" customWidth="1"/>
    <col min="14" max="20" width="11.6640625" style="153" bestFit="1" customWidth="1"/>
    <col min="21" max="16384" width="8.88671875" style="153"/>
  </cols>
  <sheetData>
    <row r="3" spans="1:14">
      <c r="G3" s="1082" t="s">
        <v>0</v>
      </c>
      <c r="H3" s="1082"/>
      <c r="I3" s="1082"/>
      <c r="J3" s="1082"/>
      <c r="K3" s="1082"/>
      <c r="L3" s="1082"/>
      <c r="M3" s="1082"/>
    </row>
    <row r="4" spans="1:14">
      <c r="G4" s="1083" t="s">
        <v>29</v>
      </c>
      <c r="H4" s="1083"/>
      <c r="I4" s="1083"/>
      <c r="J4" s="1083"/>
      <c r="K4" s="1083"/>
      <c r="L4" s="1083"/>
      <c r="M4" s="1083"/>
    </row>
    <row r="5" spans="1:14">
      <c r="G5" s="1083" t="str">
        <f>"For the 13 Months Ended December 31, "&amp;Info!B3</f>
        <v>For the 13 Months Ended December 31, 2015</v>
      </c>
      <c r="H5" s="1083"/>
      <c r="I5" s="1083"/>
      <c r="J5" s="1083"/>
      <c r="K5" s="1083"/>
      <c r="L5" s="1083"/>
      <c r="M5" s="1083"/>
      <c r="N5" s="638"/>
    </row>
    <row r="6" spans="1:14">
      <c r="G6" s="154"/>
    </row>
    <row r="7" spans="1:14" s="156" customFormat="1">
      <c r="G7" s="155"/>
      <c r="H7" s="156" t="s">
        <v>1</v>
      </c>
      <c r="I7" s="156" t="s">
        <v>2</v>
      </c>
      <c r="J7" s="156" t="s">
        <v>3</v>
      </c>
      <c r="K7" s="156" t="s">
        <v>4</v>
      </c>
      <c r="L7" s="156" t="s">
        <v>5</v>
      </c>
      <c r="M7" s="156" t="s">
        <v>7</v>
      </c>
    </row>
    <row r="9" spans="1:14" ht="25.5">
      <c r="A9" s="156" t="s">
        <v>11</v>
      </c>
      <c r="B9" s="156" t="s">
        <v>12</v>
      </c>
      <c r="C9" s="156" t="s">
        <v>13</v>
      </c>
      <c r="D9" s="156" t="s">
        <v>569</v>
      </c>
      <c r="E9" s="156" t="s">
        <v>570</v>
      </c>
      <c r="F9" s="156"/>
      <c r="G9" s="167" t="s">
        <v>38</v>
      </c>
      <c r="H9" s="168" t="s">
        <v>47</v>
      </c>
      <c r="I9" s="169" t="s">
        <v>11</v>
      </c>
      <c r="J9" s="169" t="s">
        <v>12</v>
      </c>
      <c r="K9" s="169" t="s">
        <v>13</v>
      </c>
      <c r="L9" s="170" t="s">
        <v>352</v>
      </c>
      <c r="M9" s="171" t="s">
        <v>16</v>
      </c>
    </row>
    <row r="10" spans="1:14">
      <c r="A10" s="153">
        <v>99939</v>
      </c>
      <c r="B10" s="153">
        <v>99942</v>
      </c>
      <c r="C10" s="153">
        <v>99960</v>
      </c>
      <c r="D10" s="153">
        <v>99990</v>
      </c>
      <c r="E10" s="153">
        <v>99988</v>
      </c>
      <c r="G10" s="157">
        <v>1</v>
      </c>
      <c r="H10" s="953" t="str">
        <f>"December "&amp;Info!B2</f>
        <v>December 2014</v>
      </c>
      <c r="I10" s="158">
        <v>685869301.23851275</v>
      </c>
      <c r="J10" s="954">
        <v>333509976.38464683</v>
      </c>
      <c r="K10" s="158">
        <v>442752254.45373774</v>
      </c>
      <c r="L10" s="158">
        <v>94622078.441083163</v>
      </c>
      <c r="M10" s="159">
        <f t="shared" ref="M10:M22" si="0">+SUM(I10:L10)</f>
        <v>1556753610.5179806</v>
      </c>
    </row>
    <row r="11" spans="1:14">
      <c r="A11" s="153">
        <v>99939</v>
      </c>
      <c r="B11" s="153">
        <v>99942</v>
      </c>
      <c r="C11" s="153">
        <v>99960</v>
      </c>
      <c r="D11" s="153">
        <v>99990</v>
      </c>
      <c r="E11" s="153">
        <v>99988</v>
      </c>
      <c r="G11" s="160">
        <f t="shared" ref="G11:G24" si="1">+G10+1</f>
        <v>2</v>
      </c>
      <c r="H11" s="953" t="str">
        <f>"January "&amp;Info!B3</f>
        <v>January 2015</v>
      </c>
      <c r="I11" s="158">
        <v>685869301.23851275</v>
      </c>
      <c r="J11" s="954">
        <v>339827066.38464683</v>
      </c>
      <c r="K11" s="158">
        <v>442752254.45373774</v>
      </c>
      <c r="L11" s="158">
        <v>94622078.441083163</v>
      </c>
      <c r="M11" s="159">
        <f t="shared" si="0"/>
        <v>1563070700.5179806</v>
      </c>
    </row>
    <row r="12" spans="1:14">
      <c r="A12" s="153">
        <v>99939</v>
      </c>
      <c r="B12" s="153">
        <v>99942</v>
      </c>
      <c r="C12" s="153">
        <v>99960</v>
      </c>
      <c r="D12" s="153">
        <v>99990</v>
      </c>
      <c r="E12" s="153">
        <v>99988</v>
      </c>
      <c r="G12" s="160">
        <f t="shared" si="1"/>
        <v>3</v>
      </c>
      <c r="H12" s="161" t="s">
        <v>17</v>
      </c>
      <c r="I12" s="158">
        <v>685869301.23851275</v>
      </c>
      <c r="J12" s="954">
        <v>341507980.38464683</v>
      </c>
      <c r="K12" s="158">
        <v>442752254.45373774</v>
      </c>
      <c r="L12" s="158">
        <v>94622947.212598771</v>
      </c>
      <c r="M12" s="159">
        <f t="shared" si="0"/>
        <v>1564752483.2894962</v>
      </c>
    </row>
    <row r="13" spans="1:14">
      <c r="A13" s="153">
        <v>99939</v>
      </c>
      <c r="B13" s="153">
        <v>99942</v>
      </c>
      <c r="C13" s="153">
        <v>99960</v>
      </c>
      <c r="D13" s="153">
        <v>99990</v>
      </c>
      <c r="E13" s="153">
        <v>99988</v>
      </c>
      <c r="G13" s="160">
        <f t="shared" si="1"/>
        <v>4</v>
      </c>
      <c r="H13" s="161" t="s">
        <v>18</v>
      </c>
      <c r="I13" s="158">
        <v>685915400.21293545</v>
      </c>
      <c r="J13" s="954">
        <v>344119489.52814513</v>
      </c>
      <c r="K13" s="158">
        <v>444647784.11462474</v>
      </c>
      <c r="L13" s="158">
        <v>95112462.214796931</v>
      </c>
      <c r="M13" s="159">
        <f t="shared" si="0"/>
        <v>1569795136.0705023</v>
      </c>
    </row>
    <row r="14" spans="1:14">
      <c r="A14" s="153">
        <v>99939</v>
      </c>
      <c r="B14" s="153">
        <v>99942</v>
      </c>
      <c r="C14" s="153">
        <v>99960</v>
      </c>
      <c r="D14" s="153">
        <v>99990</v>
      </c>
      <c r="E14" s="153">
        <v>99988</v>
      </c>
      <c r="G14" s="160">
        <f t="shared" si="1"/>
        <v>5</v>
      </c>
      <c r="H14" s="161" t="s">
        <v>19</v>
      </c>
      <c r="I14" s="158">
        <v>686012430.2431612</v>
      </c>
      <c r="J14" s="954">
        <v>344588231.52814513</v>
      </c>
      <c r="K14" s="158">
        <v>444647784.11462474</v>
      </c>
      <c r="L14" s="158">
        <v>95123972.26094079</v>
      </c>
      <c r="M14" s="159">
        <f t="shared" si="0"/>
        <v>1570372418.1468718</v>
      </c>
    </row>
    <row r="15" spans="1:14">
      <c r="A15" s="153">
        <v>99939</v>
      </c>
      <c r="B15" s="153">
        <v>99942</v>
      </c>
      <c r="C15" s="153">
        <v>99960</v>
      </c>
      <c r="D15" s="153">
        <v>99990</v>
      </c>
      <c r="E15" s="153">
        <v>99988</v>
      </c>
      <c r="G15" s="160">
        <f t="shared" si="1"/>
        <v>6</v>
      </c>
      <c r="H15" s="161" t="s">
        <v>20</v>
      </c>
      <c r="I15" s="158">
        <v>686054609.18748355</v>
      </c>
      <c r="J15" s="954">
        <v>389291976.4381451</v>
      </c>
      <c r="K15" s="158">
        <v>444647784.11462474</v>
      </c>
      <c r="L15" s="158">
        <v>95123813.932984695</v>
      </c>
      <c r="M15" s="159">
        <f t="shared" si="0"/>
        <v>1615118183.673238</v>
      </c>
    </row>
    <row r="16" spans="1:14">
      <c r="A16" s="153">
        <v>99939</v>
      </c>
      <c r="B16" s="153">
        <v>99942</v>
      </c>
      <c r="C16" s="153">
        <v>99960</v>
      </c>
      <c r="D16" s="153">
        <v>99990</v>
      </c>
      <c r="E16" s="153">
        <v>99988</v>
      </c>
      <c r="G16" s="160">
        <f t="shared" si="1"/>
        <v>7</v>
      </c>
      <c r="H16" s="161" t="s">
        <v>21</v>
      </c>
      <c r="I16" s="158">
        <v>687555175.10448027</v>
      </c>
      <c r="J16" s="954">
        <v>390451742.58151323</v>
      </c>
      <c r="K16" s="158">
        <v>448117800.58076465</v>
      </c>
      <c r="L16" s="158">
        <v>95674266.517678633</v>
      </c>
      <c r="M16" s="159">
        <f t="shared" si="0"/>
        <v>1621798984.7844367</v>
      </c>
    </row>
    <row r="17" spans="1:23">
      <c r="A17" s="153">
        <v>99939</v>
      </c>
      <c r="B17" s="153">
        <v>99942</v>
      </c>
      <c r="C17" s="153">
        <v>99960</v>
      </c>
      <c r="D17" s="153">
        <v>99990</v>
      </c>
      <c r="E17" s="153">
        <v>99988</v>
      </c>
      <c r="G17" s="160">
        <f t="shared" si="1"/>
        <v>8</v>
      </c>
      <c r="H17" s="161" t="s">
        <v>22</v>
      </c>
      <c r="I17" s="158">
        <v>687891364.75111651</v>
      </c>
      <c r="J17" s="954">
        <v>390948577.58151323</v>
      </c>
      <c r="K17" s="158">
        <v>448117800.58076465</v>
      </c>
      <c r="L17" s="158">
        <v>95784084.004201725</v>
      </c>
      <c r="M17" s="159">
        <f t="shared" si="0"/>
        <v>1622741826.9175961</v>
      </c>
    </row>
    <row r="18" spans="1:23">
      <c r="A18" s="153">
        <v>99939</v>
      </c>
      <c r="B18" s="153">
        <v>99942</v>
      </c>
      <c r="C18" s="153">
        <v>99960</v>
      </c>
      <c r="D18" s="153">
        <v>99990</v>
      </c>
      <c r="E18" s="153">
        <v>99988</v>
      </c>
      <c r="G18" s="160">
        <f t="shared" si="1"/>
        <v>9</v>
      </c>
      <c r="H18" s="161" t="s">
        <v>23</v>
      </c>
      <c r="I18" s="158">
        <v>688667764.88554609</v>
      </c>
      <c r="J18" s="954">
        <v>391431622.15734863</v>
      </c>
      <c r="K18" s="158">
        <v>448206125.70608449</v>
      </c>
      <c r="L18" s="158">
        <v>95784455.296012819</v>
      </c>
      <c r="M18" s="159">
        <f t="shared" si="0"/>
        <v>1624089968.0449922</v>
      </c>
    </row>
    <row r="19" spans="1:23">
      <c r="A19" s="153">
        <v>99939</v>
      </c>
      <c r="B19" s="153">
        <v>99942</v>
      </c>
      <c r="C19" s="153">
        <v>99960</v>
      </c>
      <c r="D19" s="153">
        <v>99990</v>
      </c>
      <c r="E19" s="153">
        <v>99988</v>
      </c>
      <c r="G19" s="160">
        <f t="shared" si="1"/>
        <v>10</v>
      </c>
      <c r="H19" s="161" t="s">
        <v>24</v>
      </c>
      <c r="I19" s="158">
        <v>689037301.25823796</v>
      </c>
      <c r="J19" s="954">
        <v>392228859.296826</v>
      </c>
      <c r="K19" s="158">
        <v>452443748.56559551</v>
      </c>
      <c r="L19" s="158">
        <v>96388327.280740127</v>
      </c>
      <c r="M19" s="159">
        <f t="shared" si="0"/>
        <v>1630098236.4013994</v>
      </c>
    </row>
    <row r="20" spans="1:23">
      <c r="A20" s="153">
        <v>99939</v>
      </c>
      <c r="B20" s="153">
        <v>99942</v>
      </c>
      <c r="C20" s="153">
        <v>99960</v>
      </c>
      <c r="D20" s="153">
        <v>99990</v>
      </c>
      <c r="E20" s="153">
        <v>99988</v>
      </c>
      <c r="G20" s="160">
        <f t="shared" si="1"/>
        <v>11</v>
      </c>
      <c r="H20" s="161" t="s">
        <v>25</v>
      </c>
      <c r="I20" s="158">
        <v>902357048.44472313</v>
      </c>
      <c r="J20" s="954">
        <v>392470544.296826</v>
      </c>
      <c r="K20" s="158">
        <v>452443748.56559551</v>
      </c>
      <c r="L20" s="158">
        <v>97422077.562487558</v>
      </c>
      <c r="M20" s="159">
        <f t="shared" si="0"/>
        <v>1844693418.8696322</v>
      </c>
    </row>
    <row r="21" spans="1:23">
      <c r="A21" s="153">
        <v>99939</v>
      </c>
      <c r="B21" s="153">
        <v>99942</v>
      </c>
      <c r="C21" s="153">
        <v>99960</v>
      </c>
      <c r="D21" s="153">
        <v>99990</v>
      </c>
      <c r="E21" s="153">
        <v>99988</v>
      </c>
      <c r="G21" s="160">
        <f t="shared" si="1"/>
        <v>12</v>
      </c>
      <c r="H21" s="161" t="s">
        <v>26</v>
      </c>
      <c r="I21" s="158">
        <v>903592442.2745676</v>
      </c>
      <c r="J21" s="954">
        <v>392821874.1205647</v>
      </c>
      <c r="K21" s="158">
        <v>452443748.56559551</v>
      </c>
      <c r="L21" s="158">
        <v>97448765.919985801</v>
      </c>
      <c r="M21" s="159">
        <f t="shared" si="0"/>
        <v>1846306830.8807135</v>
      </c>
    </row>
    <row r="22" spans="1:23">
      <c r="A22" s="153">
        <v>99939</v>
      </c>
      <c r="B22" s="153">
        <v>99942</v>
      </c>
      <c r="C22" s="153">
        <v>99960</v>
      </c>
      <c r="D22" s="153">
        <v>99990</v>
      </c>
      <c r="E22" s="153">
        <v>99988</v>
      </c>
      <c r="G22" s="160">
        <f t="shared" si="1"/>
        <v>13</v>
      </c>
      <c r="H22" s="161" t="s">
        <v>27</v>
      </c>
      <c r="I22" s="158">
        <v>909578344.28165638</v>
      </c>
      <c r="J22" s="954">
        <v>402729468.90699226</v>
      </c>
      <c r="K22" s="158">
        <v>457031852.11027902</v>
      </c>
      <c r="L22" s="158">
        <v>98111318.407219723</v>
      </c>
      <c r="M22" s="159">
        <f t="shared" si="0"/>
        <v>1867450983.7061474</v>
      </c>
    </row>
    <row r="23" spans="1:23">
      <c r="G23" s="160">
        <f t="shared" si="1"/>
        <v>14</v>
      </c>
      <c r="H23" s="161"/>
      <c r="I23" s="158"/>
      <c r="J23" s="158"/>
      <c r="K23" s="158"/>
      <c r="L23" s="158"/>
      <c r="M23" s="159"/>
    </row>
    <row r="24" spans="1:23">
      <c r="G24" s="160">
        <f t="shared" si="1"/>
        <v>15</v>
      </c>
      <c r="H24" s="198" t="s">
        <v>28</v>
      </c>
      <c r="I24" s="195">
        <f>AVERAGE(I10:I22)</f>
        <v>737251521.8738035</v>
      </c>
      <c r="J24" s="195">
        <f>AVERAGE(J10:J22)</f>
        <v>372763646.89153534</v>
      </c>
      <c r="K24" s="195">
        <f>AVERAGE(K10:K22)</f>
        <v>447769610.79844368</v>
      </c>
      <c r="L24" s="195">
        <f>AVERAGE(L10:L22)</f>
        <v>95833895.960908756</v>
      </c>
      <c r="M24" s="196">
        <f>AVERAGE(M10:M22)</f>
        <v>1653618675.5246913</v>
      </c>
    </row>
    <row r="25" spans="1:23">
      <c r="G25" s="160"/>
      <c r="H25" s="162"/>
      <c r="I25" s="163"/>
      <c r="J25" s="163"/>
      <c r="K25" s="163"/>
      <c r="L25" s="163"/>
      <c r="M25" s="164"/>
    </row>
    <row r="26" spans="1:23">
      <c r="G26" s="165"/>
    </row>
    <row r="27" spans="1:23">
      <c r="G27" s="166"/>
      <c r="L27" s="158"/>
    </row>
    <row r="28" spans="1:23">
      <c r="G28" s="166"/>
      <c r="H28" s="154" t="s">
        <v>519</v>
      </c>
      <c r="L28" s="158"/>
    </row>
    <row r="29" spans="1:23">
      <c r="G29" s="166"/>
      <c r="H29" s="153" t="s">
        <v>571</v>
      </c>
    </row>
    <row r="30" spans="1:23">
      <c r="G30" s="166"/>
    </row>
    <row r="31" spans="1:23" ht="15">
      <c r="G31" s="166"/>
      <c r="I31" s="543"/>
      <c r="J31" s="544"/>
      <c r="K31" s="544"/>
      <c r="L31" s="544"/>
      <c r="M31" s="544"/>
      <c r="N31" s="544"/>
      <c r="O31" s="544"/>
      <c r="P31" s="544"/>
      <c r="Q31" s="544"/>
      <c r="R31" s="544"/>
      <c r="S31" s="544"/>
      <c r="T31" s="544"/>
      <c r="U31" s="544"/>
      <c r="V31" s="544"/>
      <c r="W31" s="539"/>
    </row>
    <row r="32" spans="1:23">
      <c r="G32" s="166"/>
      <c r="I32" s="540"/>
      <c r="J32" s="540"/>
      <c r="K32" s="540"/>
      <c r="L32" s="540"/>
      <c r="M32" s="540"/>
      <c r="N32" s="540"/>
      <c r="O32" s="540"/>
      <c r="P32" s="540"/>
      <c r="Q32" s="540"/>
      <c r="R32" s="540"/>
      <c r="S32" s="540"/>
      <c r="T32" s="540"/>
      <c r="U32" s="540"/>
      <c r="V32" s="539"/>
    </row>
    <row r="33" spans="7:22">
      <c r="G33" s="166"/>
      <c r="I33" s="539"/>
      <c r="J33" s="539"/>
      <c r="K33" s="539"/>
      <c r="L33" s="539"/>
      <c r="M33" s="539"/>
      <c r="N33" s="539"/>
      <c r="O33" s="539"/>
      <c r="P33" s="539"/>
      <c r="Q33" s="539"/>
      <c r="R33" s="539"/>
      <c r="S33" s="539"/>
      <c r="T33" s="539"/>
      <c r="U33" s="539"/>
      <c r="V33" s="539"/>
    </row>
    <row r="34" spans="7:22">
      <c r="G34" s="166"/>
      <c r="K34" s="944"/>
    </row>
    <row r="35" spans="7:22">
      <c r="G35" s="166"/>
    </row>
    <row r="36" spans="7:22">
      <c r="G36" s="166"/>
    </row>
    <row r="37" spans="7:22">
      <c r="G37" s="166"/>
    </row>
    <row r="38" spans="7:22">
      <c r="G38" s="166"/>
    </row>
    <row r="39" spans="7:22">
      <c r="G39" s="166"/>
    </row>
    <row r="40" spans="7:22">
      <c r="G40" s="166"/>
    </row>
    <row r="41" spans="7:22">
      <c r="G41" s="166"/>
    </row>
    <row r="42" spans="7:22">
      <c r="G42" s="166"/>
    </row>
    <row r="43" spans="7:22">
      <c r="G43" s="166"/>
    </row>
    <row r="44" spans="7:22">
      <c r="G44" s="166"/>
    </row>
    <row r="45" spans="7:22">
      <c r="G45" s="166"/>
    </row>
    <row r="46" spans="7:22">
      <c r="G46" s="166"/>
    </row>
    <row r="47" spans="7:22">
      <c r="G47" s="166"/>
    </row>
    <row r="48" spans="7:22">
      <c r="G48" s="166"/>
    </row>
    <row r="49" spans="7:7">
      <c r="G49" s="166"/>
    </row>
    <row r="50" spans="7:7">
      <c r="G50" s="166"/>
    </row>
    <row r="51" spans="7:7">
      <c r="G51" s="166"/>
    </row>
    <row r="52" spans="7:7">
      <c r="G52" s="166"/>
    </row>
    <row r="53" spans="7:7">
      <c r="G53" s="166"/>
    </row>
    <row r="54" spans="7:7">
      <c r="G54" s="166"/>
    </row>
    <row r="55" spans="7:7">
      <c r="G55" s="166"/>
    </row>
    <row r="56" spans="7:7">
      <c r="G56" s="166"/>
    </row>
    <row r="57" spans="7:7">
      <c r="G57" s="166"/>
    </row>
    <row r="58" spans="7:7">
      <c r="G58" s="166"/>
    </row>
    <row r="59" spans="7:7">
      <c r="G59" s="166"/>
    </row>
    <row r="60" spans="7:7">
      <c r="G60" s="166"/>
    </row>
    <row r="61" spans="7:7">
      <c r="G61" s="166"/>
    </row>
    <row r="62" spans="7:7">
      <c r="G62" s="166"/>
    </row>
    <row r="63" spans="7:7">
      <c r="G63" s="166"/>
    </row>
    <row r="64" spans="7:7">
      <c r="G64" s="166"/>
    </row>
    <row r="65" spans="7:7">
      <c r="G65" s="166"/>
    </row>
    <row r="66" spans="7:7">
      <c r="G66" s="166"/>
    </row>
    <row r="67" spans="7:7">
      <c r="G67" s="166"/>
    </row>
    <row r="68" spans="7:7">
      <c r="G68" s="166"/>
    </row>
    <row r="69" spans="7:7">
      <c r="G69" s="166"/>
    </row>
    <row r="70" spans="7:7">
      <c r="G70" s="166"/>
    </row>
    <row r="71" spans="7:7">
      <c r="G71" s="166"/>
    </row>
    <row r="72" spans="7:7">
      <c r="G72" s="166"/>
    </row>
    <row r="73" spans="7:7">
      <c r="G73" s="166"/>
    </row>
    <row r="74" spans="7:7">
      <c r="G74" s="166"/>
    </row>
    <row r="75" spans="7:7">
      <c r="G75" s="166"/>
    </row>
    <row r="76" spans="7:7">
      <c r="G76" s="166"/>
    </row>
    <row r="77" spans="7:7">
      <c r="G77" s="166"/>
    </row>
    <row r="78" spans="7:7">
      <c r="G78" s="166"/>
    </row>
    <row r="79" spans="7:7">
      <c r="G79" s="166"/>
    </row>
    <row r="80" spans="7:7">
      <c r="G80" s="166"/>
    </row>
    <row r="81" spans="7:7">
      <c r="G81" s="166"/>
    </row>
    <row r="82" spans="7:7">
      <c r="G82" s="166"/>
    </row>
    <row r="83" spans="7:7">
      <c r="G83" s="166"/>
    </row>
    <row r="84" spans="7:7">
      <c r="G84" s="166"/>
    </row>
    <row r="85" spans="7:7">
      <c r="G85" s="166"/>
    </row>
    <row r="86" spans="7:7">
      <c r="G86" s="166"/>
    </row>
    <row r="87" spans="7:7">
      <c r="G87" s="166"/>
    </row>
    <row r="88" spans="7:7">
      <c r="G88" s="166"/>
    </row>
    <row r="89" spans="7:7">
      <c r="G89" s="166"/>
    </row>
    <row r="90" spans="7:7">
      <c r="G90" s="166"/>
    </row>
    <row r="91" spans="7:7">
      <c r="G91" s="166"/>
    </row>
    <row r="92" spans="7:7">
      <c r="G92" s="166"/>
    </row>
    <row r="93" spans="7:7">
      <c r="G93" s="166"/>
    </row>
    <row r="94" spans="7:7">
      <c r="G94" s="166"/>
    </row>
    <row r="95" spans="7:7">
      <c r="G95" s="166"/>
    </row>
    <row r="96" spans="7:7">
      <c r="G96" s="166"/>
    </row>
    <row r="97" spans="7:7">
      <c r="G97" s="166"/>
    </row>
    <row r="98" spans="7:7">
      <c r="G98" s="166"/>
    </row>
    <row r="99" spans="7:7">
      <c r="G99" s="166"/>
    </row>
    <row r="100" spans="7:7">
      <c r="G100" s="166"/>
    </row>
    <row r="101" spans="7:7">
      <c r="G101" s="166"/>
    </row>
    <row r="102" spans="7:7">
      <c r="G102" s="166"/>
    </row>
    <row r="103" spans="7:7">
      <c r="G103" s="166"/>
    </row>
    <row r="104" spans="7:7">
      <c r="G104" s="166"/>
    </row>
    <row r="105" spans="7:7">
      <c r="G105" s="166"/>
    </row>
    <row r="106" spans="7:7">
      <c r="G106" s="166"/>
    </row>
    <row r="107" spans="7:7">
      <c r="G107" s="166"/>
    </row>
    <row r="108" spans="7:7">
      <c r="G108" s="166"/>
    </row>
    <row r="109" spans="7:7">
      <c r="G109" s="166"/>
    </row>
    <row r="110" spans="7:7">
      <c r="G110" s="166"/>
    </row>
    <row r="111" spans="7:7">
      <c r="G111" s="166"/>
    </row>
    <row r="112" spans="7:7">
      <c r="G112" s="166"/>
    </row>
    <row r="113" spans="7:7">
      <c r="G113" s="166"/>
    </row>
    <row r="114" spans="7:7">
      <c r="G114" s="166"/>
    </row>
    <row r="115" spans="7:7">
      <c r="G115" s="166"/>
    </row>
    <row r="116" spans="7:7">
      <c r="G116" s="166"/>
    </row>
    <row r="117" spans="7:7">
      <c r="G117" s="166"/>
    </row>
    <row r="118" spans="7:7">
      <c r="G118" s="166"/>
    </row>
    <row r="119" spans="7:7">
      <c r="G119" s="166"/>
    </row>
    <row r="120" spans="7:7">
      <c r="G120" s="166"/>
    </row>
    <row r="121" spans="7:7">
      <c r="G121" s="166"/>
    </row>
    <row r="122" spans="7:7">
      <c r="G122" s="166"/>
    </row>
    <row r="123" spans="7:7">
      <c r="G123" s="166"/>
    </row>
    <row r="124" spans="7:7">
      <c r="G124" s="166"/>
    </row>
    <row r="125" spans="7:7">
      <c r="G125" s="166"/>
    </row>
    <row r="126" spans="7:7">
      <c r="G126" s="166"/>
    </row>
    <row r="127" spans="7:7">
      <c r="G127" s="166"/>
    </row>
    <row r="128" spans="7:7">
      <c r="G128" s="166"/>
    </row>
    <row r="129" spans="7:7">
      <c r="G129" s="166"/>
    </row>
    <row r="130" spans="7:7">
      <c r="G130" s="166"/>
    </row>
    <row r="131" spans="7:7">
      <c r="G131" s="166"/>
    </row>
    <row r="132" spans="7:7">
      <c r="G132" s="166"/>
    </row>
    <row r="133" spans="7:7">
      <c r="G133" s="166"/>
    </row>
    <row r="134" spans="7:7">
      <c r="G134" s="166"/>
    </row>
    <row r="135" spans="7:7">
      <c r="G135" s="166"/>
    </row>
    <row r="136" spans="7:7">
      <c r="G136" s="166"/>
    </row>
    <row r="137" spans="7:7">
      <c r="G137" s="166"/>
    </row>
    <row r="138" spans="7:7">
      <c r="G138" s="166"/>
    </row>
    <row r="139" spans="7:7">
      <c r="G139" s="166"/>
    </row>
    <row r="140" spans="7:7">
      <c r="G140" s="166"/>
    </row>
    <row r="141" spans="7:7">
      <c r="G141" s="166"/>
    </row>
    <row r="142" spans="7:7">
      <c r="G142" s="166"/>
    </row>
    <row r="143" spans="7:7">
      <c r="G143" s="166"/>
    </row>
    <row r="144" spans="7:7">
      <c r="G144" s="166"/>
    </row>
    <row r="145" spans="7:7">
      <c r="G145" s="166"/>
    </row>
  </sheetData>
  <mergeCells count="3">
    <mergeCell ref="G3:M3"/>
    <mergeCell ref="G4:M4"/>
    <mergeCell ref="G5:M5"/>
  </mergeCells>
  <printOptions horizontalCentered="1"/>
  <pageMargins left="0.75" right="0.75" top="0.75" bottom="0.75" header="0.5" footer="0.3"/>
  <pageSetup scale="80" orientation="portrait" r:id="rId1"/>
  <headerFooter>
    <oddHeader>&amp;R&amp;"Arial,Regular"&amp;10Attachment O Work Paper
Page 1 of 20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showGridLines="0" zoomScaleNormal="100" workbookViewId="0">
      <selection activeCell="I20" sqref="I20"/>
    </sheetView>
  </sheetViews>
  <sheetFormatPr defaultRowHeight="12.75"/>
  <cols>
    <col min="1" max="1" width="3.44140625" style="887" bestFit="1" customWidth="1"/>
    <col min="2" max="2" width="13.44140625" style="887" customWidth="1"/>
    <col min="3" max="5" width="5.21875" style="887" customWidth="1"/>
    <col min="6" max="6" width="7.21875" style="887" customWidth="1"/>
    <col min="7" max="7" width="12.21875" style="887" customWidth="1"/>
    <col min="8" max="8" width="2.21875" style="887" customWidth="1"/>
    <col min="9" max="9" width="3.88671875" style="887" customWidth="1"/>
    <col min="10" max="16384" width="8.88671875" style="887"/>
  </cols>
  <sheetData>
    <row r="1" spans="1:11">
      <c r="A1" s="904"/>
      <c r="B1" s="904"/>
      <c r="C1" s="904"/>
      <c r="D1" s="904"/>
      <c r="E1" s="904"/>
      <c r="F1" s="904"/>
      <c r="G1" s="905"/>
      <c r="H1" s="904"/>
      <c r="I1" s="888"/>
    </row>
    <row r="2" spans="1:11">
      <c r="A2" s="1104" t="s">
        <v>0</v>
      </c>
      <c r="B2" s="1104"/>
      <c r="C2" s="1104"/>
      <c r="D2" s="1104"/>
      <c r="E2" s="1104"/>
      <c r="F2" s="1104"/>
      <c r="G2" s="1104"/>
      <c r="H2" s="904"/>
      <c r="I2" s="888"/>
      <c r="J2" s="1080"/>
    </row>
    <row r="3" spans="1:11">
      <c r="A3" s="1101" t="s">
        <v>704</v>
      </c>
      <c r="B3" s="1105"/>
      <c r="C3" s="1105"/>
      <c r="D3" s="1105"/>
      <c r="E3" s="1105"/>
      <c r="F3" s="1105"/>
      <c r="G3" s="1105"/>
      <c r="H3" s="1105"/>
      <c r="I3" s="903"/>
      <c r="J3" s="930"/>
    </row>
    <row r="4" spans="1:11">
      <c r="A4" s="1101" t="s">
        <v>697</v>
      </c>
      <c r="B4" s="1105"/>
      <c r="C4" s="1105"/>
      <c r="D4" s="1105"/>
      <c r="E4" s="1105"/>
      <c r="F4" s="1105"/>
      <c r="G4" s="1105"/>
      <c r="H4" s="1105"/>
      <c r="I4" s="903"/>
      <c r="J4" s="901"/>
      <c r="K4" s="901"/>
    </row>
    <row r="5" spans="1:11">
      <c r="A5" s="888"/>
      <c r="B5" s="888"/>
      <c r="C5" s="888"/>
      <c r="D5" s="888"/>
      <c r="E5" s="888"/>
      <c r="F5" s="888"/>
      <c r="G5" s="888"/>
      <c r="H5" s="888"/>
      <c r="I5" s="888"/>
      <c r="J5" s="902"/>
    </row>
    <row r="6" spans="1:11">
      <c r="A6" s="888"/>
      <c r="B6" s="1103" t="s">
        <v>1</v>
      </c>
      <c r="C6" s="1103"/>
      <c r="D6" s="1103"/>
      <c r="E6" s="1103"/>
      <c r="F6" s="885"/>
      <c r="G6" s="27" t="s">
        <v>2</v>
      </c>
      <c r="H6" s="888"/>
      <c r="I6" s="888"/>
    </row>
    <row r="7" spans="1:11">
      <c r="A7" s="888"/>
      <c r="B7" s="888"/>
      <c r="C7" s="888"/>
      <c r="D7" s="888"/>
      <c r="E7" s="888"/>
      <c r="F7" s="888"/>
      <c r="G7" s="888"/>
      <c r="H7" s="888"/>
      <c r="I7" s="888"/>
    </row>
    <row r="8" spans="1:11">
      <c r="A8" s="883" t="s">
        <v>8</v>
      </c>
      <c r="B8" s="889"/>
      <c r="C8" s="890"/>
      <c r="D8" s="890"/>
      <c r="E8" s="890"/>
      <c r="F8" s="890"/>
      <c r="G8" s="891"/>
      <c r="H8" s="888"/>
      <c r="I8" s="888"/>
    </row>
    <row r="9" spans="1:11">
      <c r="A9" s="884" t="s">
        <v>10</v>
      </c>
      <c r="B9" s="906" t="s">
        <v>703</v>
      </c>
      <c r="C9" s="305"/>
      <c r="D9" s="305"/>
      <c r="E9" s="305"/>
      <c r="F9" s="305"/>
      <c r="G9" s="306" t="s">
        <v>66</v>
      </c>
      <c r="H9" s="888"/>
      <c r="I9" s="888"/>
    </row>
    <row r="10" spans="1:11">
      <c r="A10" s="886">
        <v>1</v>
      </c>
      <c r="B10" s="889" t="s">
        <v>740</v>
      </c>
      <c r="C10" s="890"/>
      <c r="D10" s="890"/>
      <c r="E10" s="890"/>
      <c r="F10" s="890"/>
      <c r="G10" s="891"/>
      <c r="H10" s="888"/>
      <c r="I10" s="888"/>
    </row>
    <row r="11" spans="1:11">
      <c r="A11" s="886">
        <f t="shared" ref="A11:A12" si="0">+A10+1</f>
        <v>2</v>
      </c>
      <c r="B11" s="892" t="s">
        <v>739</v>
      </c>
      <c r="C11" s="893"/>
      <c r="D11" s="893"/>
      <c r="E11" s="893"/>
      <c r="F11" s="893"/>
      <c r="G11" s="979">
        <v>688945</v>
      </c>
      <c r="H11" s="894" t="s">
        <v>368</v>
      </c>
      <c r="I11" s="894"/>
    </row>
    <row r="12" spans="1:11">
      <c r="A12" s="886">
        <f t="shared" si="0"/>
        <v>3</v>
      </c>
      <c r="B12" s="895"/>
      <c r="C12" s="896"/>
      <c r="D12" s="896"/>
      <c r="E12" s="896"/>
      <c r="F12" s="896"/>
      <c r="G12" s="331"/>
      <c r="H12" s="894"/>
      <c r="I12" s="894"/>
    </row>
    <row r="13" spans="1:11">
      <c r="A13" s="897"/>
      <c r="B13" s="898"/>
      <c r="C13" s="899"/>
      <c r="D13" s="899"/>
      <c r="E13" s="899"/>
      <c r="F13" s="899"/>
      <c r="G13" s="900"/>
      <c r="H13" s="894"/>
      <c r="I13" s="894"/>
    </row>
    <row r="14" spans="1:11">
      <c r="A14" s="888"/>
      <c r="B14" s="888"/>
      <c r="C14" s="888"/>
      <c r="D14" s="888"/>
      <c r="E14" s="888"/>
      <c r="F14" s="888"/>
      <c r="G14" s="888"/>
      <c r="H14" s="888"/>
      <c r="I14" s="888"/>
    </row>
    <row r="15" spans="1:11">
      <c r="B15" s="937" t="s">
        <v>732</v>
      </c>
    </row>
    <row r="16" spans="1:11">
      <c r="B16" s="887" t="s">
        <v>733</v>
      </c>
    </row>
    <row r="17" spans="2:2">
      <c r="B17" s="938" t="s">
        <v>734</v>
      </c>
    </row>
    <row r="18" spans="2:2">
      <c r="B18" s="938" t="s">
        <v>735</v>
      </c>
    </row>
  </sheetData>
  <mergeCells count="4">
    <mergeCell ref="B6:E6"/>
    <mergeCell ref="A2:G2"/>
    <mergeCell ref="A3:H3"/>
    <mergeCell ref="A4:H4"/>
  </mergeCells>
  <printOptions horizontalCentered="1"/>
  <pageMargins left="0.75" right="0.75" top="0.75" bottom="0.75" header="0.5" footer="0.5"/>
  <pageSetup orientation="portrait" r:id="rId1"/>
  <headerFooter>
    <oddHeader>&amp;R&amp;"Arial,Regular"&amp;10Attachment O Work Paper
Page 12 of 20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9"/>
  <sheetViews>
    <sheetView showGridLines="0" zoomScaleNormal="100" workbookViewId="0">
      <selection activeCell="O2" sqref="O2"/>
    </sheetView>
  </sheetViews>
  <sheetFormatPr defaultRowHeight="12.75"/>
  <cols>
    <col min="1" max="1" width="3.44140625" style="319" bestFit="1" customWidth="1"/>
    <col min="2" max="2" width="13.44140625" style="319" customWidth="1"/>
    <col min="3" max="5" width="5.21875" style="319" customWidth="1"/>
    <col min="6" max="6" width="5.44140625" style="319" customWidth="1"/>
    <col min="7" max="7" width="12.21875" style="319" customWidth="1"/>
    <col min="8" max="8" width="2.21875" style="319" customWidth="1"/>
    <col min="9" max="9" width="3.88671875" style="319" customWidth="1"/>
    <col min="10" max="16384" width="8.88671875" style="319"/>
  </cols>
  <sheetData>
    <row r="1" spans="1:11">
      <c r="A1" s="322"/>
      <c r="B1" s="322"/>
      <c r="C1" s="322"/>
      <c r="D1" s="322"/>
      <c r="E1" s="322"/>
      <c r="F1" s="322"/>
      <c r="G1" s="638"/>
      <c r="H1" s="322"/>
      <c r="I1" s="859"/>
    </row>
    <row r="2" spans="1:11">
      <c r="A2" s="1106" t="s">
        <v>0</v>
      </c>
      <c r="B2" s="1106"/>
      <c r="C2" s="1106"/>
      <c r="D2" s="1106"/>
      <c r="E2" s="1106"/>
      <c r="F2" s="1106"/>
      <c r="G2" s="1106"/>
      <c r="H2" s="322"/>
      <c r="I2" s="859"/>
    </row>
    <row r="3" spans="1:11">
      <c r="A3" s="1101" t="s">
        <v>364</v>
      </c>
      <c r="B3" s="1105"/>
      <c r="C3" s="1105"/>
      <c r="D3" s="1105"/>
      <c r="E3" s="1105"/>
      <c r="F3" s="1105"/>
      <c r="G3" s="1105"/>
      <c r="H3" s="1105"/>
      <c r="I3" s="858"/>
      <c r="J3" s="1080"/>
    </row>
    <row r="4" spans="1:11">
      <c r="A4" s="1101" t="str">
        <f>'Page 9-11 - Funct'!A4:D4</f>
        <v>Budget Year 2015</v>
      </c>
      <c r="B4" s="1105"/>
      <c r="C4" s="1105"/>
      <c r="D4" s="1105"/>
      <c r="E4" s="1105"/>
      <c r="F4" s="1105"/>
      <c r="G4" s="1105"/>
      <c r="H4" s="1105"/>
      <c r="I4" s="858"/>
      <c r="J4" s="410"/>
      <c r="K4" s="410"/>
    </row>
    <row r="5" spans="1:11">
      <c r="A5" s="322"/>
      <c r="B5" s="322"/>
      <c r="C5" s="322"/>
      <c r="D5" s="322"/>
      <c r="E5" s="322"/>
      <c r="F5" s="322"/>
      <c r="G5" s="322"/>
      <c r="H5" s="322"/>
      <c r="I5" s="859"/>
      <c r="J5" s="638"/>
    </row>
    <row r="6" spans="1:11">
      <c r="A6" s="322"/>
      <c r="B6" s="1103" t="s">
        <v>1</v>
      </c>
      <c r="C6" s="1103"/>
      <c r="D6" s="1103"/>
      <c r="E6" s="1103"/>
      <c r="F6" s="294"/>
      <c r="G6" s="27" t="s">
        <v>2</v>
      </c>
      <c r="H6" s="322"/>
      <c r="I6" s="859"/>
    </row>
    <row r="7" spans="1:11">
      <c r="A7" s="322"/>
      <c r="B7" s="322"/>
      <c r="C7" s="322"/>
      <c r="D7" s="322"/>
      <c r="E7" s="322"/>
      <c r="F7" s="322"/>
      <c r="G7" s="322"/>
      <c r="H7" s="322"/>
      <c r="I7" s="859"/>
    </row>
    <row r="8" spans="1:11">
      <c r="A8" s="225" t="s">
        <v>8</v>
      </c>
      <c r="B8" s="323"/>
      <c r="C8" s="324"/>
      <c r="D8" s="324"/>
      <c r="E8" s="324"/>
      <c r="F8" s="324"/>
      <c r="G8" s="325"/>
      <c r="H8" s="322"/>
      <c r="I8" s="859"/>
    </row>
    <row r="9" spans="1:11">
      <c r="A9" s="227" t="s">
        <v>10</v>
      </c>
      <c r="B9" s="304" t="s">
        <v>365</v>
      </c>
      <c r="C9" s="305"/>
      <c r="D9" s="305"/>
      <c r="E9" s="305"/>
      <c r="F9" s="305"/>
      <c r="G9" s="306" t="s">
        <v>66</v>
      </c>
      <c r="H9" s="322"/>
      <c r="I9" s="859"/>
    </row>
    <row r="10" spans="1:11">
      <c r="A10" s="307">
        <v>1</v>
      </c>
      <c r="B10" s="323" t="s">
        <v>366</v>
      </c>
      <c r="C10" s="324"/>
      <c r="D10" s="324"/>
      <c r="E10" s="324"/>
      <c r="F10" s="324"/>
      <c r="G10" s="325"/>
      <c r="H10" s="322"/>
      <c r="I10" s="859"/>
    </row>
    <row r="11" spans="1:11">
      <c r="A11" s="307">
        <f t="shared" ref="A11:A21" si="0">+A10+1</f>
        <v>2</v>
      </c>
      <c r="B11" s="326" t="s">
        <v>367</v>
      </c>
      <c r="C11" s="327"/>
      <c r="D11" s="327"/>
      <c r="E11" s="327"/>
      <c r="F11" s="327"/>
      <c r="G11" s="979">
        <f>G64</f>
        <v>289040.54670000001</v>
      </c>
      <c r="H11" s="328" t="s">
        <v>368</v>
      </c>
      <c r="I11" s="328"/>
    </row>
    <row r="12" spans="1:11">
      <c r="A12" s="307">
        <f t="shared" si="0"/>
        <v>3</v>
      </c>
      <c r="B12" s="329"/>
      <c r="C12" s="330"/>
      <c r="D12" s="330"/>
      <c r="E12" s="330"/>
      <c r="F12" s="330"/>
      <c r="G12" s="331"/>
      <c r="H12" s="328"/>
      <c r="I12" s="328"/>
    </row>
    <row r="13" spans="1:11">
      <c r="A13" s="307">
        <f t="shared" si="0"/>
        <v>4</v>
      </c>
      <c r="B13" s="329" t="s">
        <v>370</v>
      </c>
      <c r="C13" s="330"/>
      <c r="D13" s="330"/>
      <c r="E13" s="330"/>
      <c r="F13" s="330"/>
      <c r="G13" s="331"/>
      <c r="H13" s="328"/>
      <c r="I13" s="328"/>
    </row>
    <row r="14" spans="1:11">
      <c r="A14" s="307">
        <f t="shared" si="0"/>
        <v>5</v>
      </c>
      <c r="B14" s="326" t="s">
        <v>371</v>
      </c>
      <c r="C14" s="327"/>
      <c r="D14" s="327"/>
      <c r="E14" s="327"/>
      <c r="F14" s="327"/>
      <c r="G14" s="308">
        <f>'Page 9-11 - Funct'!D187</f>
        <v>1181971.4455114617</v>
      </c>
      <c r="H14" s="328" t="s">
        <v>369</v>
      </c>
      <c r="I14" s="328"/>
    </row>
    <row r="15" spans="1:11">
      <c r="A15" s="307">
        <f t="shared" si="0"/>
        <v>6</v>
      </c>
      <c r="B15" s="326" t="s">
        <v>373</v>
      </c>
      <c r="C15" s="327"/>
      <c r="D15" s="327"/>
      <c r="E15" s="327"/>
      <c r="F15" s="327"/>
      <c r="G15" s="332">
        <f>+G11</f>
        <v>289040.54670000001</v>
      </c>
      <c r="H15" s="328"/>
      <c r="I15" s="328"/>
    </row>
    <row r="16" spans="1:11">
      <c r="A16" s="307">
        <f t="shared" si="0"/>
        <v>7</v>
      </c>
      <c r="B16" s="326" t="s">
        <v>374</v>
      </c>
      <c r="C16" s="327"/>
      <c r="D16" s="327"/>
      <c r="E16" s="327"/>
      <c r="F16" s="327"/>
      <c r="G16" s="554">
        <f>'Page 9-11 - Funct'!D189</f>
        <v>501575.39848424646</v>
      </c>
      <c r="H16" s="328" t="s">
        <v>369</v>
      </c>
      <c r="I16" s="328"/>
    </row>
    <row r="17" spans="1:10">
      <c r="A17" s="307">
        <f t="shared" si="0"/>
        <v>8</v>
      </c>
      <c r="B17" s="329"/>
      <c r="C17" s="330"/>
      <c r="D17" s="330"/>
      <c r="E17" s="330"/>
      <c r="F17" s="330"/>
      <c r="G17" s="386">
        <f>+G14-G15+G16</f>
        <v>1394506.2972957082</v>
      </c>
      <c r="H17" s="328"/>
      <c r="I17" s="328"/>
    </row>
    <row r="18" spans="1:10">
      <c r="A18" s="307">
        <f t="shared" si="0"/>
        <v>9</v>
      </c>
      <c r="B18" s="329"/>
      <c r="C18" s="330"/>
      <c r="D18" s="330"/>
      <c r="E18" s="330"/>
      <c r="F18" s="330"/>
      <c r="G18" s="333"/>
      <c r="H18" s="328"/>
      <c r="I18" s="328"/>
    </row>
    <row r="19" spans="1:10">
      <c r="A19" s="307">
        <f t="shared" si="0"/>
        <v>10</v>
      </c>
      <c r="B19" s="329" t="s">
        <v>375</v>
      </c>
      <c r="C19" s="330"/>
      <c r="D19" s="330"/>
      <c r="E19" s="330"/>
      <c r="F19" s="330"/>
      <c r="G19" s="536">
        <f>+G58</f>
        <v>85092.698100000009</v>
      </c>
      <c r="H19" s="328" t="s">
        <v>368</v>
      </c>
      <c r="I19" s="328"/>
    </row>
    <row r="20" spans="1:10">
      <c r="A20" s="307">
        <f t="shared" si="0"/>
        <v>11</v>
      </c>
      <c r="B20" s="329"/>
      <c r="C20" s="330"/>
      <c r="D20" s="330"/>
      <c r="E20" s="330"/>
      <c r="F20" s="330"/>
      <c r="G20" s="333"/>
      <c r="H20" s="328"/>
      <c r="I20" s="328"/>
    </row>
    <row r="21" spans="1:10" ht="13.5" thickBot="1">
      <c r="A21" s="307">
        <f t="shared" si="0"/>
        <v>12</v>
      </c>
      <c r="B21" s="329" t="s">
        <v>376</v>
      </c>
      <c r="C21" s="330"/>
      <c r="D21" s="330"/>
      <c r="E21" s="330"/>
      <c r="F21" s="330"/>
      <c r="G21" s="909">
        <f>+G11+G17+G19</f>
        <v>1768639.5420957082</v>
      </c>
      <c r="H21" s="328"/>
      <c r="I21" s="328"/>
    </row>
    <row r="22" spans="1:10" ht="13.5" thickTop="1">
      <c r="A22" s="334"/>
      <c r="B22" s="335"/>
      <c r="C22" s="336"/>
      <c r="D22" s="336"/>
      <c r="E22" s="336"/>
      <c r="F22" s="336"/>
      <c r="G22" s="337"/>
      <c r="H22" s="328"/>
      <c r="I22" s="328"/>
    </row>
    <row r="23" spans="1:10">
      <c r="A23" s="322"/>
      <c r="B23" s="322"/>
      <c r="C23" s="322"/>
      <c r="D23" s="322"/>
      <c r="E23" s="322"/>
      <c r="F23" s="322"/>
      <c r="G23" s="322"/>
      <c r="H23" s="322"/>
      <c r="I23" s="859"/>
    </row>
    <row r="24" spans="1:10">
      <c r="A24" s="322"/>
      <c r="B24" s="328" t="s">
        <v>498</v>
      </c>
      <c r="C24" s="328"/>
      <c r="D24" s="328"/>
      <c r="E24" s="328"/>
      <c r="F24" s="328"/>
      <c r="G24" s="322"/>
      <c r="H24" s="322"/>
      <c r="I24" s="859"/>
    </row>
    <row r="25" spans="1:10">
      <c r="A25" s="322"/>
      <c r="B25" s="328" t="s">
        <v>691</v>
      </c>
      <c r="C25" s="322"/>
      <c r="D25" s="322"/>
      <c r="E25" s="322"/>
      <c r="F25" s="322"/>
      <c r="G25" s="322"/>
      <c r="H25" s="322"/>
      <c r="I25" s="859"/>
    </row>
    <row r="26" spans="1:10">
      <c r="A26" s="322"/>
      <c r="B26" s="328"/>
      <c r="C26" s="322"/>
      <c r="D26" s="322"/>
      <c r="E26" s="322"/>
      <c r="F26" s="322"/>
      <c r="G26" s="322"/>
      <c r="H26" s="322"/>
      <c r="I26" s="859"/>
    </row>
    <row r="27" spans="1:10">
      <c r="A27" s="322"/>
      <c r="B27" s="338" t="s">
        <v>1</v>
      </c>
      <c r="C27" s="339" t="s">
        <v>2</v>
      </c>
      <c r="D27" s="339" t="s">
        <v>3</v>
      </c>
      <c r="E27" s="339" t="s">
        <v>4</v>
      </c>
      <c r="F27" s="339" t="s">
        <v>5</v>
      </c>
      <c r="G27" s="339" t="s">
        <v>7</v>
      </c>
      <c r="H27" s="339"/>
      <c r="I27" s="339"/>
    </row>
    <row r="28" spans="1:10">
      <c r="A28" s="322"/>
      <c r="B28" s="322"/>
      <c r="C28" s="322"/>
      <c r="D28" s="322"/>
      <c r="E28" s="322"/>
      <c r="F28" s="322"/>
      <c r="G28" s="322"/>
      <c r="H28" s="322"/>
      <c r="I28" s="859"/>
    </row>
    <row r="29" spans="1:10" ht="25.5">
      <c r="A29" s="310" t="s">
        <v>38</v>
      </c>
      <c r="B29" s="360"/>
      <c r="C29" s="371" t="s">
        <v>378</v>
      </c>
      <c r="D29" s="371" t="s">
        <v>446</v>
      </c>
      <c r="E29" s="371" t="s">
        <v>379</v>
      </c>
      <c r="F29" s="371" t="s">
        <v>33</v>
      </c>
      <c r="G29" s="372" t="s">
        <v>454</v>
      </c>
      <c r="H29" s="329"/>
      <c r="I29" s="860"/>
      <c r="J29" s="319" t="s">
        <v>689</v>
      </c>
    </row>
    <row r="30" spans="1:10">
      <c r="A30" s="311"/>
      <c r="B30" s="312" t="s">
        <v>380</v>
      </c>
      <c r="C30" s="313"/>
      <c r="D30" s="313"/>
      <c r="E30" s="313"/>
      <c r="F30" s="313"/>
      <c r="G30" s="314"/>
      <c r="H30" s="329"/>
      <c r="I30" s="860"/>
    </row>
    <row r="31" spans="1:10">
      <c r="A31" s="315">
        <v>1</v>
      </c>
      <c r="B31" s="653" t="str">
        <f>"Budget "&amp;Info!B3</f>
        <v>Budget 2015</v>
      </c>
      <c r="C31" s="601" t="s">
        <v>527</v>
      </c>
      <c r="D31" s="520" t="s">
        <v>386</v>
      </c>
      <c r="E31" s="520" t="s">
        <v>387</v>
      </c>
      <c r="F31" s="316">
        <v>9280</v>
      </c>
      <c r="G31" s="595">
        <f t="shared" ref="G31:G39" si="1">J31*1.03</f>
        <v>100.116</v>
      </c>
      <c r="H31" s="951"/>
      <c r="I31" s="952"/>
      <c r="J31" s="595">
        <v>97.2</v>
      </c>
    </row>
    <row r="32" spans="1:10">
      <c r="A32" s="315">
        <f t="shared" ref="A32:A56" si="2">A31+1</f>
        <v>2</v>
      </c>
      <c r="B32" s="519" t="str">
        <f>+$B$31</f>
        <v>Budget 2015</v>
      </c>
      <c r="C32" s="316" t="s">
        <v>389</v>
      </c>
      <c r="D32" s="316" t="s">
        <v>386</v>
      </c>
      <c r="E32" s="316" t="s">
        <v>387</v>
      </c>
      <c r="F32" s="316">
        <v>9280</v>
      </c>
      <c r="G32" s="595">
        <f t="shared" si="1"/>
        <v>121014.78240000001</v>
      </c>
      <c r="H32" s="951"/>
      <c r="I32" s="952"/>
      <c r="J32" s="980">
        <v>117490.08</v>
      </c>
    </row>
    <row r="33" spans="1:10">
      <c r="A33" s="315">
        <f t="shared" si="2"/>
        <v>3</v>
      </c>
      <c r="B33" s="519" t="str">
        <f t="shared" ref="B33:B39" si="3">+$B$31</f>
        <v>Budget 2015</v>
      </c>
      <c r="C33" s="521" t="s">
        <v>388</v>
      </c>
      <c r="D33" s="316" t="s">
        <v>386</v>
      </c>
      <c r="E33" s="316" t="s">
        <v>387</v>
      </c>
      <c r="F33" s="316">
        <v>9280</v>
      </c>
      <c r="G33" s="595">
        <f t="shared" si="1"/>
        <v>2217.1368000000002</v>
      </c>
      <c r="H33" s="951"/>
      <c r="I33" s="952"/>
      <c r="J33" s="980">
        <v>2152.56</v>
      </c>
    </row>
    <row r="34" spans="1:10">
      <c r="A34" s="315"/>
      <c r="B34" s="519" t="str">
        <f t="shared" si="3"/>
        <v>Budget 2015</v>
      </c>
      <c r="C34" s="521" t="s">
        <v>582</v>
      </c>
      <c r="D34" s="316" t="s">
        <v>386</v>
      </c>
      <c r="E34" s="316" t="s">
        <v>387</v>
      </c>
      <c r="F34" s="316">
        <v>9280</v>
      </c>
      <c r="G34" s="595">
        <f t="shared" si="1"/>
        <v>34738.604000000007</v>
      </c>
      <c r="H34" s="951"/>
      <c r="I34" s="952"/>
      <c r="J34" s="980">
        <v>33726.800000000003</v>
      </c>
    </row>
    <row r="35" spans="1:10">
      <c r="A35" s="315"/>
      <c r="B35" s="519" t="str">
        <f t="shared" si="3"/>
        <v>Budget 2015</v>
      </c>
      <c r="C35" s="521" t="s">
        <v>524</v>
      </c>
      <c r="D35" s="316" t="s">
        <v>386</v>
      </c>
      <c r="E35" s="316" t="s">
        <v>387</v>
      </c>
      <c r="F35" s="316">
        <v>9280</v>
      </c>
      <c r="G35" s="595">
        <f t="shared" si="1"/>
        <v>132798.50769999999</v>
      </c>
      <c r="H35" s="951"/>
      <c r="I35" s="952"/>
      <c r="J35" s="980">
        <v>128930.59</v>
      </c>
    </row>
    <row r="36" spans="1:10">
      <c r="A36" s="315">
        <f>A33+1</f>
        <v>4</v>
      </c>
      <c r="B36" s="519" t="str">
        <f t="shared" si="3"/>
        <v>Budget 2015</v>
      </c>
      <c r="C36" s="316" t="s">
        <v>382</v>
      </c>
      <c r="D36" s="316" t="s">
        <v>383</v>
      </c>
      <c r="E36" s="316" t="s">
        <v>384</v>
      </c>
      <c r="F36" s="316">
        <v>9280</v>
      </c>
      <c r="G36" s="595">
        <f t="shared" si="1"/>
        <v>5154.12</v>
      </c>
      <c r="H36" s="951"/>
      <c r="I36" s="952"/>
      <c r="J36" s="595">
        <v>5004</v>
      </c>
    </row>
    <row r="37" spans="1:10">
      <c r="A37" s="315">
        <f t="shared" si="2"/>
        <v>5</v>
      </c>
      <c r="B37" s="519" t="str">
        <f t="shared" si="3"/>
        <v>Budget 2015</v>
      </c>
      <c r="C37" s="521" t="s">
        <v>388</v>
      </c>
      <c r="D37" s="316" t="s">
        <v>383</v>
      </c>
      <c r="E37" s="316">
        <v>2700</v>
      </c>
      <c r="F37" s="316">
        <v>9280</v>
      </c>
      <c r="G37" s="595">
        <f t="shared" si="1"/>
        <v>244.625</v>
      </c>
      <c r="H37" s="951"/>
      <c r="I37" s="952"/>
      <c r="J37" s="595">
        <v>237.5</v>
      </c>
    </row>
    <row r="38" spans="1:10">
      <c r="A38" s="315">
        <f t="shared" si="2"/>
        <v>6</v>
      </c>
      <c r="B38" s="519" t="str">
        <f t="shared" si="3"/>
        <v>Budget 2015</v>
      </c>
      <c r="C38" s="521" t="s">
        <v>382</v>
      </c>
      <c r="D38" s="316">
        <v>5102</v>
      </c>
      <c r="E38" s="521" t="s">
        <v>394</v>
      </c>
      <c r="F38" s="316">
        <v>9280</v>
      </c>
      <c r="G38" s="595">
        <f t="shared" si="1"/>
        <v>0</v>
      </c>
      <c r="H38" s="951"/>
      <c r="I38" s="952"/>
      <c r="J38" s="980">
        <v>0</v>
      </c>
    </row>
    <row r="39" spans="1:10">
      <c r="A39" s="315">
        <f t="shared" si="2"/>
        <v>7</v>
      </c>
      <c r="B39" s="519" t="str">
        <f t="shared" si="3"/>
        <v>Budget 2015</v>
      </c>
      <c r="C39" s="521" t="s">
        <v>388</v>
      </c>
      <c r="D39" s="316">
        <v>5105</v>
      </c>
      <c r="E39" s="521" t="s">
        <v>394</v>
      </c>
      <c r="F39" s="316">
        <v>9280</v>
      </c>
      <c r="G39" s="595">
        <f t="shared" si="1"/>
        <v>138.85429999999999</v>
      </c>
      <c r="H39" s="951"/>
      <c r="I39" s="952"/>
      <c r="J39" s="980">
        <v>134.81</v>
      </c>
    </row>
    <row r="40" spans="1:10">
      <c r="A40" s="315">
        <f t="shared" si="2"/>
        <v>8</v>
      </c>
      <c r="B40" s="519"/>
      <c r="C40" s="316"/>
      <c r="D40" s="316"/>
      <c r="E40" s="316"/>
      <c r="F40" s="316"/>
      <c r="G40" s="596">
        <f>SUM(G31:G39)</f>
        <v>296406.74620000005</v>
      </c>
      <c r="H40" s="951"/>
      <c r="I40" s="952"/>
      <c r="J40" s="596">
        <f>SUM(J31:J39)</f>
        <v>287773.53999999998</v>
      </c>
    </row>
    <row r="41" spans="1:10">
      <c r="A41" s="315">
        <f t="shared" si="2"/>
        <v>9</v>
      </c>
      <c r="B41" s="522" t="s">
        <v>390</v>
      </c>
      <c r="C41" s="316"/>
      <c r="D41" s="316"/>
      <c r="E41" s="316"/>
      <c r="F41" s="316"/>
      <c r="G41" s="595"/>
      <c r="H41" s="951"/>
      <c r="I41" s="952"/>
      <c r="J41" s="595"/>
    </row>
    <row r="42" spans="1:10">
      <c r="A42" s="315">
        <f t="shared" si="2"/>
        <v>10</v>
      </c>
      <c r="B42" s="519" t="str">
        <f t="shared" ref="B42:B46" si="4">+$B$31</f>
        <v>Budget 2015</v>
      </c>
      <c r="C42" s="316" t="s">
        <v>382</v>
      </c>
      <c r="D42" s="316" t="s">
        <v>383</v>
      </c>
      <c r="E42" s="316" t="s">
        <v>391</v>
      </c>
      <c r="F42" s="316">
        <v>9280</v>
      </c>
      <c r="G42" s="595"/>
      <c r="H42" s="951"/>
      <c r="I42" s="952"/>
      <c r="J42" s="595"/>
    </row>
    <row r="43" spans="1:10">
      <c r="A43" s="315">
        <f t="shared" si="2"/>
        <v>11</v>
      </c>
      <c r="B43" s="519" t="str">
        <f t="shared" si="4"/>
        <v>Budget 2015</v>
      </c>
      <c r="C43" s="521" t="s">
        <v>388</v>
      </c>
      <c r="D43" s="316" t="s">
        <v>383</v>
      </c>
      <c r="E43" s="316" t="s">
        <v>391</v>
      </c>
      <c r="F43" s="316">
        <v>9280</v>
      </c>
      <c r="G43" s="595">
        <f>J43*1.03</f>
        <v>8.9404000000000003</v>
      </c>
      <c r="H43" s="951"/>
      <c r="I43" s="952"/>
      <c r="J43" s="595">
        <v>8.68</v>
      </c>
    </row>
    <row r="44" spans="1:10">
      <c r="A44" s="315">
        <f t="shared" si="2"/>
        <v>12</v>
      </c>
      <c r="B44" s="519" t="str">
        <f t="shared" si="4"/>
        <v>Budget 2015</v>
      </c>
      <c r="C44" s="316" t="s">
        <v>389</v>
      </c>
      <c r="D44" s="316" t="s">
        <v>383</v>
      </c>
      <c r="E44" s="316" t="s">
        <v>391</v>
      </c>
      <c r="F44" s="316">
        <v>9280</v>
      </c>
      <c r="G44" s="595">
        <f>J44*1.03</f>
        <v>1421.4</v>
      </c>
      <c r="H44" s="951"/>
      <c r="I44" s="952"/>
      <c r="J44" s="595">
        <v>1380</v>
      </c>
    </row>
    <row r="45" spans="1:10">
      <c r="A45" s="315"/>
      <c r="B45" s="519" t="str">
        <f t="shared" si="4"/>
        <v>Budget 2015</v>
      </c>
      <c r="C45" s="521" t="s">
        <v>582</v>
      </c>
      <c r="D45" s="316" t="s">
        <v>383</v>
      </c>
      <c r="E45" s="316" t="s">
        <v>391</v>
      </c>
      <c r="F45" s="316">
        <v>9280</v>
      </c>
      <c r="G45" s="595">
        <f>J45*1.03</f>
        <v>134.93</v>
      </c>
      <c r="H45" s="951"/>
      <c r="I45" s="952"/>
      <c r="J45" s="595">
        <v>131</v>
      </c>
    </row>
    <row r="46" spans="1:10">
      <c r="A46" s="315">
        <f>A44+1</f>
        <v>13</v>
      </c>
      <c r="B46" s="519" t="str">
        <f t="shared" si="4"/>
        <v>Budget 2015</v>
      </c>
      <c r="C46" s="521" t="s">
        <v>524</v>
      </c>
      <c r="D46" s="316" t="s">
        <v>383</v>
      </c>
      <c r="E46" s="316" t="s">
        <v>391</v>
      </c>
      <c r="F46" s="316">
        <v>9280</v>
      </c>
      <c r="G46" s="595">
        <f>J46*1.03</f>
        <v>1442</v>
      </c>
      <c r="H46" s="951"/>
      <c r="I46" s="952"/>
      <c r="J46" s="595">
        <v>1400</v>
      </c>
    </row>
    <row r="47" spans="1:10">
      <c r="A47" s="315">
        <f t="shared" si="2"/>
        <v>14</v>
      </c>
      <c r="B47" s="523"/>
      <c r="C47" s="524"/>
      <c r="D47" s="524"/>
      <c r="E47" s="524"/>
      <c r="F47" s="525"/>
      <c r="G47" s="596">
        <f>SUM(G42:G46)</f>
        <v>3007.2704000000003</v>
      </c>
      <c r="H47" s="951"/>
      <c r="I47" s="952"/>
      <c r="J47" s="596">
        <f>SUM(J42:J46)</f>
        <v>2919.6800000000003</v>
      </c>
    </row>
    <row r="48" spans="1:10">
      <c r="A48" s="315">
        <f t="shared" si="2"/>
        <v>15</v>
      </c>
      <c r="B48" s="526" t="s">
        <v>392</v>
      </c>
      <c r="C48" s="316"/>
      <c r="D48" s="316"/>
      <c r="E48" s="316"/>
      <c r="F48" s="316"/>
      <c r="G48" s="595"/>
      <c r="H48" s="951"/>
      <c r="I48" s="952"/>
      <c r="J48" s="595"/>
    </row>
    <row r="49" spans="1:10">
      <c r="A49" s="315">
        <f t="shared" si="2"/>
        <v>16</v>
      </c>
      <c r="B49" s="519" t="str">
        <f t="shared" ref="B49:B53" si="5">+$B$31</f>
        <v>Budget 2015</v>
      </c>
      <c r="C49" s="524" t="s">
        <v>382</v>
      </c>
      <c r="D49" s="524" t="s">
        <v>393</v>
      </c>
      <c r="E49" s="524" t="s">
        <v>394</v>
      </c>
      <c r="F49" s="316">
        <v>9280</v>
      </c>
      <c r="G49" s="595">
        <f>J49*1.03</f>
        <v>0</v>
      </c>
      <c r="H49" s="951"/>
      <c r="I49" s="952"/>
      <c r="J49" s="595">
        <v>0</v>
      </c>
    </row>
    <row r="50" spans="1:10">
      <c r="A50" s="315">
        <f t="shared" si="2"/>
        <v>17</v>
      </c>
      <c r="B50" s="519" t="str">
        <f t="shared" si="5"/>
        <v>Budget 2015</v>
      </c>
      <c r="C50" s="600" t="s">
        <v>388</v>
      </c>
      <c r="D50" s="524" t="s">
        <v>393</v>
      </c>
      <c r="E50" s="524" t="s">
        <v>394</v>
      </c>
      <c r="F50" s="316">
        <v>9280</v>
      </c>
      <c r="G50" s="595">
        <f>J50*1.03</f>
        <v>4.1097000000000001</v>
      </c>
      <c r="H50" s="951"/>
      <c r="I50" s="952"/>
      <c r="J50" s="595">
        <v>3.99</v>
      </c>
    </row>
    <row r="51" spans="1:10">
      <c r="A51" s="315">
        <f t="shared" si="2"/>
        <v>18</v>
      </c>
      <c r="B51" s="519" t="str">
        <f t="shared" si="5"/>
        <v>Budget 2015</v>
      </c>
      <c r="C51" s="316" t="s">
        <v>389</v>
      </c>
      <c r="D51" s="316" t="s">
        <v>393</v>
      </c>
      <c r="E51" s="316" t="s">
        <v>394</v>
      </c>
      <c r="F51" s="316">
        <v>9280</v>
      </c>
      <c r="G51" s="595">
        <f>J51*1.03</f>
        <v>5154.12</v>
      </c>
      <c r="H51" s="952"/>
      <c r="I51" s="952"/>
      <c r="J51" s="595">
        <v>5004</v>
      </c>
    </row>
    <row r="52" spans="1:10">
      <c r="A52" s="315"/>
      <c r="B52" s="519" t="str">
        <f t="shared" si="5"/>
        <v>Budget 2015</v>
      </c>
      <c r="C52" s="521" t="s">
        <v>582</v>
      </c>
      <c r="D52" s="316" t="s">
        <v>393</v>
      </c>
      <c r="E52" s="316" t="s">
        <v>394</v>
      </c>
      <c r="F52" s="316">
        <v>9280</v>
      </c>
      <c r="G52" s="595">
        <f>J52*1.03</f>
        <v>556.20000000000005</v>
      </c>
      <c r="H52" s="952"/>
      <c r="I52" s="952"/>
      <c r="J52" s="595">
        <v>540</v>
      </c>
    </row>
    <row r="53" spans="1:10">
      <c r="A53" s="315">
        <f>A51+1</f>
        <v>19</v>
      </c>
      <c r="B53" s="519" t="str">
        <f t="shared" si="5"/>
        <v>Budget 2015</v>
      </c>
      <c r="C53" s="521" t="s">
        <v>524</v>
      </c>
      <c r="D53" s="316" t="s">
        <v>393</v>
      </c>
      <c r="E53" s="316" t="s">
        <v>394</v>
      </c>
      <c r="F53" s="316">
        <v>9280</v>
      </c>
      <c r="G53" s="595">
        <f>J53*1.03</f>
        <v>4326</v>
      </c>
      <c r="H53" s="951"/>
      <c r="I53" s="952"/>
      <c r="J53" s="595">
        <v>4200</v>
      </c>
    </row>
    <row r="54" spans="1:10">
      <c r="A54" s="315">
        <f t="shared" si="2"/>
        <v>20</v>
      </c>
      <c r="B54" s="523"/>
      <c r="C54" s="524"/>
      <c r="D54" s="524"/>
      <c r="E54" s="524"/>
      <c r="F54" s="525"/>
      <c r="G54" s="596">
        <f>SUM(G49:G53)</f>
        <v>10040.429700000001</v>
      </c>
      <c r="H54" s="951"/>
      <c r="I54" s="952"/>
      <c r="J54" s="596">
        <f>SUM(J49:J53)</f>
        <v>9747.99</v>
      </c>
    </row>
    <row r="55" spans="1:10">
      <c r="A55" s="315">
        <f t="shared" si="2"/>
        <v>21</v>
      </c>
      <c r="B55" s="526" t="s">
        <v>395</v>
      </c>
      <c r="C55" s="316"/>
      <c r="D55" s="316"/>
      <c r="E55" s="316"/>
      <c r="F55" s="316"/>
      <c r="G55" s="595"/>
      <c r="H55" s="951"/>
      <c r="I55" s="952"/>
      <c r="J55" s="595"/>
    </row>
    <row r="56" spans="1:10">
      <c r="A56" s="315">
        <f t="shared" si="2"/>
        <v>22</v>
      </c>
      <c r="B56" s="519" t="str">
        <f t="shared" ref="B56:B60" si="6">+$B$31</f>
        <v>Budget 2015</v>
      </c>
      <c r="C56" s="521" t="s">
        <v>525</v>
      </c>
      <c r="D56" s="316" t="s">
        <v>397</v>
      </c>
      <c r="E56" s="316" t="s">
        <v>398</v>
      </c>
      <c r="F56" s="316">
        <v>9280</v>
      </c>
      <c r="G56" s="595">
        <f>J56*1.03</f>
        <v>14420</v>
      </c>
      <c r="H56" s="951"/>
      <c r="I56" s="952"/>
      <c r="J56" s="595">
        <v>14000</v>
      </c>
    </row>
    <row r="57" spans="1:10">
      <c r="A57" s="315">
        <f t="shared" ref="A57:A71" si="7">A56+1</f>
        <v>23</v>
      </c>
      <c r="B57" s="519" t="str">
        <f t="shared" si="6"/>
        <v>Budget 2015</v>
      </c>
      <c r="C57" s="521" t="s">
        <v>382</v>
      </c>
      <c r="D57" s="316" t="s">
        <v>397</v>
      </c>
      <c r="E57" s="316" t="s">
        <v>398</v>
      </c>
      <c r="F57" s="316">
        <v>9280</v>
      </c>
      <c r="G57" s="595">
        <f>J57*1.03</f>
        <v>0</v>
      </c>
      <c r="H57" s="951"/>
      <c r="I57" s="952"/>
      <c r="J57" s="595">
        <v>0</v>
      </c>
    </row>
    <row r="58" spans="1:10">
      <c r="A58" s="315">
        <f t="shared" si="7"/>
        <v>24</v>
      </c>
      <c r="B58" s="519" t="str">
        <f t="shared" si="6"/>
        <v>Budget 2015</v>
      </c>
      <c r="C58" s="316" t="s">
        <v>396</v>
      </c>
      <c r="D58" s="316" t="s">
        <v>397</v>
      </c>
      <c r="E58" s="316" t="s">
        <v>398</v>
      </c>
      <c r="F58" s="316">
        <v>9280</v>
      </c>
      <c r="G58" s="981">
        <f>J58*1.03</f>
        <v>85092.698100000009</v>
      </c>
      <c r="H58" s="951"/>
      <c r="I58" s="952"/>
      <c r="J58" s="981">
        <v>82614.27</v>
      </c>
    </row>
    <row r="59" spans="1:10">
      <c r="A59" s="315">
        <f t="shared" si="7"/>
        <v>25</v>
      </c>
      <c r="B59" s="519" t="str">
        <f t="shared" si="6"/>
        <v>Budget 2015</v>
      </c>
      <c r="C59" s="521" t="s">
        <v>388</v>
      </c>
      <c r="D59" s="316" t="s">
        <v>397</v>
      </c>
      <c r="E59" s="316" t="s">
        <v>398</v>
      </c>
      <c r="F59" s="316">
        <v>9280</v>
      </c>
      <c r="G59" s="595">
        <f>J59*1.03</f>
        <v>11054.763400000002</v>
      </c>
      <c r="H59" s="951"/>
      <c r="I59" s="952"/>
      <c r="J59" s="595">
        <v>10732.78</v>
      </c>
    </row>
    <row r="60" spans="1:10">
      <c r="A60" s="315">
        <f t="shared" si="7"/>
        <v>26</v>
      </c>
      <c r="B60" s="519" t="str">
        <f t="shared" si="6"/>
        <v>Budget 2015</v>
      </c>
      <c r="C60" s="521" t="s">
        <v>524</v>
      </c>
      <c r="D60" s="316" t="s">
        <v>397</v>
      </c>
      <c r="E60" s="316" t="s">
        <v>398</v>
      </c>
      <c r="F60" s="316">
        <v>9280</v>
      </c>
      <c r="G60" s="595">
        <f>J60*1.03</f>
        <v>89129.329899999997</v>
      </c>
      <c r="H60" s="951"/>
      <c r="I60" s="952"/>
      <c r="J60" s="595">
        <v>86533.33</v>
      </c>
    </row>
    <row r="61" spans="1:10">
      <c r="A61" s="315">
        <f t="shared" si="7"/>
        <v>27</v>
      </c>
      <c r="B61" s="523"/>
      <c r="C61" s="524"/>
      <c r="D61" s="524"/>
      <c r="E61" s="524"/>
      <c r="F61" s="525"/>
      <c r="G61" s="596">
        <f>SUM(G56:G60)</f>
        <v>199696.79139999999</v>
      </c>
      <c r="H61" s="951"/>
      <c r="I61" s="952"/>
      <c r="J61" s="596">
        <f>SUM(J56:J60)</f>
        <v>193880.38</v>
      </c>
    </row>
    <row r="62" spans="1:10">
      <c r="A62" s="315">
        <f t="shared" si="7"/>
        <v>28</v>
      </c>
      <c r="B62" s="526" t="s">
        <v>399</v>
      </c>
      <c r="C62" s="316"/>
      <c r="D62" s="316"/>
      <c r="E62" s="316"/>
      <c r="F62" s="316"/>
      <c r="G62" s="595"/>
      <c r="H62" s="951"/>
      <c r="I62" s="952"/>
      <c r="J62" s="595"/>
    </row>
    <row r="63" spans="1:10">
      <c r="A63" s="315">
        <f t="shared" si="7"/>
        <v>29</v>
      </c>
      <c r="B63" s="519" t="str">
        <f t="shared" ref="B63:B65" si="8">+$B$31</f>
        <v>Budget 2015</v>
      </c>
      <c r="C63" s="521" t="s">
        <v>388</v>
      </c>
      <c r="D63" s="316">
        <v>5106</v>
      </c>
      <c r="E63" s="521" t="s">
        <v>526</v>
      </c>
      <c r="F63" s="316">
        <v>9280</v>
      </c>
      <c r="G63" s="595">
        <f>J63*1.03</f>
        <v>543.71640000000002</v>
      </c>
      <c r="H63" s="951"/>
      <c r="I63" s="952"/>
      <c r="J63" s="595">
        <v>527.88</v>
      </c>
    </row>
    <row r="64" spans="1:10">
      <c r="A64" s="315">
        <f t="shared" si="7"/>
        <v>30</v>
      </c>
      <c r="B64" s="519" t="str">
        <f t="shared" si="8"/>
        <v>Budget 2015</v>
      </c>
      <c r="C64" s="521" t="s">
        <v>499</v>
      </c>
      <c r="D64" s="316">
        <v>5045</v>
      </c>
      <c r="E64" s="521" t="s">
        <v>500</v>
      </c>
      <c r="F64" s="316">
        <v>9280</v>
      </c>
      <c r="G64" s="981">
        <f>J64*1.03</f>
        <v>289040.54670000001</v>
      </c>
      <c r="H64" s="951"/>
      <c r="I64" s="952"/>
      <c r="J64" s="981">
        <v>280621.89</v>
      </c>
    </row>
    <row r="65" spans="1:15">
      <c r="A65" s="315">
        <f>A64+1</f>
        <v>31</v>
      </c>
      <c r="B65" s="519" t="str">
        <f t="shared" si="8"/>
        <v>Budget 2015</v>
      </c>
      <c r="C65" s="316" t="s">
        <v>389</v>
      </c>
      <c r="D65" s="316" t="s">
        <v>400</v>
      </c>
      <c r="E65" s="316" t="s">
        <v>401</v>
      </c>
      <c r="F65" s="316">
        <v>9280</v>
      </c>
      <c r="G65" s="595">
        <f>J65*1.03-5007</f>
        <v>383236.05</v>
      </c>
      <c r="H65" s="951"/>
      <c r="I65" s="952"/>
      <c r="J65" s="597">
        <v>376935</v>
      </c>
    </row>
    <row r="66" spans="1:15">
      <c r="A66" s="315">
        <f t="shared" si="7"/>
        <v>32</v>
      </c>
      <c r="B66" s="519"/>
      <c r="C66" s="316"/>
      <c r="D66" s="316"/>
      <c r="E66" s="316"/>
      <c r="F66" s="316"/>
      <c r="G66" s="595">
        <f>SUM(G63:G65)</f>
        <v>672820.31309999991</v>
      </c>
      <c r="H66" s="330"/>
      <c r="I66" s="860"/>
      <c r="J66" s="595">
        <f>SUM(J63:J65)</f>
        <v>658084.77</v>
      </c>
    </row>
    <row r="67" spans="1:15">
      <c r="A67" s="315">
        <f t="shared" si="7"/>
        <v>33</v>
      </c>
      <c r="B67" s="519"/>
      <c r="C67" s="316"/>
      <c r="D67" s="316"/>
      <c r="E67" s="316"/>
      <c r="F67" s="316"/>
      <c r="G67" s="597"/>
      <c r="H67" s="330"/>
      <c r="I67" s="860"/>
      <c r="J67" s="597"/>
    </row>
    <row r="68" spans="1:15">
      <c r="A68" s="315">
        <f t="shared" si="7"/>
        <v>34</v>
      </c>
      <c r="B68" s="527"/>
      <c r="C68" s="528"/>
      <c r="D68" s="528"/>
      <c r="E68" s="528"/>
      <c r="F68" s="529" t="s">
        <v>402</v>
      </c>
      <c r="G68" s="598">
        <f>G40+G47+G54+G61+G66</f>
        <v>1181971.5507999999</v>
      </c>
      <c r="H68" s="329"/>
      <c r="I68" s="860"/>
      <c r="J68" s="598">
        <f>J40+J47+J54+J61+J66</f>
        <v>1152406.3599999999</v>
      </c>
    </row>
    <row r="69" spans="1:15">
      <c r="A69" s="315">
        <f t="shared" si="7"/>
        <v>35</v>
      </c>
      <c r="B69" s="531"/>
      <c r="C69" s="414"/>
      <c r="D69" s="414"/>
      <c r="E69" s="414"/>
      <c r="F69" s="532"/>
      <c r="G69" s="596"/>
      <c r="H69" s="318"/>
      <c r="I69" s="317"/>
      <c r="J69" s="596"/>
      <c r="K69" s="317"/>
      <c r="L69" s="317"/>
      <c r="M69" s="317"/>
      <c r="N69" s="317"/>
      <c r="O69" s="317"/>
    </row>
    <row r="70" spans="1:15">
      <c r="A70" s="315">
        <f t="shared" si="7"/>
        <v>36</v>
      </c>
      <c r="B70" s="519" t="s">
        <v>403</v>
      </c>
      <c r="F70" s="533"/>
      <c r="G70" s="597">
        <v>0</v>
      </c>
      <c r="H70" s="318"/>
      <c r="I70" s="317"/>
      <c r="J70" s="597">
        <v>0</v>
      </c>
      <c r="K70" s="317"/>
      <c r="L70" s="317"/>
      <c r="M70" s="317"/>
      <c r="N70" s="317"/>
      <c r="O70" s="317"/>
    </row>
    <row r="71" spans="1:15" ht="13.5" thickBot="1">
      <c r="A71" s="315">
        <f t="shared" si="7"/>
        <v>37</v>
      </c>
      <c r="B71" s="519"/>
      <c r="F71" s="533"/>
      <c r="G71" s="599">
        <f>G68-G70</f>
        <v>1181971.5507999999</v>
      </c>
      <c r="H71" s="318"/>
      <c r="I71" s="317"/>
      <c r="J71" s="599">
        <f>J68-J70</f>
        <v>1152406.3599999999</v>
      </c>
      <c r="K71" s="317"/>
      <c r="L71" s="317"/>
      <c r="M71" s="317"/>
      <c r="N71" s="317"/>
      <c r="O71" s="317"/>
    </row>
    <row r="72" spans="1:15" ht="13.5" thickTop="1">
      <c r="A72" s="320"/>
      <c r="B72" s="527"/>
      <c r="C72" s="534"/>
      <c r="D72" s="534"/>
      <c r="E72" s="534"/>
      <c r="F72" s="535"/>
      <c r="G72" s="530"/>
      <c r="H72" s="318"/>
      <c r="I72" s="317"/>
      <c r="J72" s="317"/>
      <c r="K72" s="317"/>
      <c r="L72" s="317"/>
      <c r="M72" s="317"/>
      <c r="N72" s="317"/>
      <c r="O72" s="317"/>
    </row>
    <row r="74" spans="1:15">
      <c r="B74" s="154" t="s">
        <v>519</v>
      </c>
    </row>
    <row r="75" spans="1:15">
      <c r="B75" s="319" t="s">
        <v>690</v>
      </c>
    </row>
    <row r="78" spans="1:15">
      <c r="F78" s="340" t="s">
        <v>729</v>
      </c>
      <c r="G78" s="928">
        <f>'Page 9-11 - Funct'!D187</f>
        <v>1181971.4455114617</v>
      </c>
    </row>
    <row r="79" spans="1:15">
      <c r="G79" s="929">
        <f>G78-G71</f>
        <v>-0.10528853815048933</v>
      </c>
    </row>
  </sheetData>
  <mergeCells count="4">
    <mergeCell ref="A2:G2"/>
    <mergeCell ref="A3:H3"/>
    <mergeCell ref="A4:H4"/>
    <mergeCell ref="B6:E6"/>
  </mergeCells>
  <printOptions horizontalCentered="1"/>
  <pageMargins left="0.75" right="0.75" top="0.75" bottom="0.75" header="0.5" footer="0.5"/>
  <pageSetup scale="74" orientation="portrait" r:id="rId1"/>
  <headerFooter>
    <oddHeader>&amp;R&amp;"Arial,Regular"&amp;10Attachment O Work Paper
Page 12 of 20</oddHeader>
  </headerFooter>
  <ignoredErrors>
    <ignoredError sqref="C41:G41 C36:F39 C47:G47 C46:E46 C54:G55 C53:F53 C62:G62 C56:F60 C66:F66 C63:F65 C31:F33 C42:F42 C44:F44 C43:E43 C48:F51 C40:F40 C61:F61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/>
  <dimension ref="A1:J53"/>
  <sheetViews>
    <sheetView showGridLines="0" topLeftCell="A2" zoomScaleNormal="100" workbookViewId="0">
      <selection activeCell="O2" sqref="O2"/>
    </sheetView>
  </sheetViews>
  <sheetFormatPr defaultColWidth="29.21875" defaultRowHeight="12.75"/>
  <cols>
    <col min="1" max="1" width="3.44140625" style="65" bestFit="1" customWidth="1"/>
    <col min="2" max="2" width="29.21875" style="67" customWidth="1"/>
    <col min="3" max="6" width="11.77734375" style="67" hidden="1" customWidth="1"/>
    <col min="7" max="7" width="11.77734375" style="67" customWidth="1"/>
    <col min="8" max="254" width="8.88671875" style="67" customWidth="1"/>
    <col min="255" max="255" width="3.44140625" style="67" bestFit="1" customWidth="1"/>
    <col min="256" max="16384" width="29.21875" style="67"/>
  </cols>
  <sheetData>
    <row r="1" spans="1:10">
      <c r="B1" s="66"/>
      <c r="G1" s="638"/>
    </row>
    <row r="2" spans="1:10">
      <c r="B2" s="69"/>
      <c r="G2" s="68"/>
    </row>
    <row r="3" spans="1:10" ht="12.75" customHeight="1">
      <c r="A3" s="1107" t="s">
        <v>0</v>
      </c>
      <c r="B3" s="1108"/>
      <c r="C3" s="1108"/>
      <c r="D3" s="1108"/>
      <c r="E3" s="1108"/>
      <c r="F3" s="1108"/>
      <c r="G3" s="1108"/>
      <c r="H3" s="1080"/>
    </row>
    <row r="4" spans="1:10" ht="12.75" customHeight="1">
      <c r="A4" s="1107" t="s">
        <v>52</v>
      </c>
      <c r="B4" s="1108"/>
      <c r="C4" s="1108"/>
      <c r="D4" s="1108"/>
      <c r="E4" s="1108"/>
      <c r="F4" s="1108"/>
      <c r="G4" s="1108"/>
    </row>
    <row r="5" spans="1:10" ht="12.75" customHeight="1">
      <c r="A5" s="1109" t="str">
        <f>'Page 12b - A&amp;G Exp'!A4:H4</f>
        <v>Budget Year 2015</v>
      </c>
      <c r="B5" s="1110"/>
      <c r="C5" s="1110"/>
      <c r="D5" s="1110"/>
      <c r="E5" s="1110"/>
      <c r="F5" s="1110"/>
      <c r="G5" s="1110"/>
    </row>
    <row r="6" spans="1:10">
      <c r="B6" s="71"/>
      <c r="C6" s="72"/>
      <c r="D6" s="70"/>
      <c r="E6" s="70"/>
      <c r="F6" s="70"/>
      <c r="G6" s="73"/>
    </row>
    <row r="7" spans="1:10">
      <c r="B7" s="74" t="s">
        <v>1</v>
      </c>
      <c r="D7" s="65" t="s">
        <v>3</v>
      </c>
      <c r="E7" s="65" t="s">
        <v>4</v>
      </c>
      <c r="F7" s="65" t="s">
        <v>5</v>
      </c>
      <c r="G7" s="65" t="s">
        <v>2</v>
      </c>
    </row>
    <row r="8" spans="1:10">
      <c r="C8" s="70"/>
      <c r="D8" s="70"/>
      <c r="E8" s="70"/>
      <c r="F8" s="70"/>
      <c r="G8" s="70"/>
      <c r="I8" s="411"/>
      <c r="J8" s="412"/>
    </row>
    <row r="9" spans="1:10" ht="25.5">
      <c r="A9" s="75" t="s">
        <v>38</v>
      </c>
      <c r="B9" s="76" t="s">
        <v>52</v>
      </c>
      <c r="C9" s="77" t="s">
        <v>53</v>
      </c>
      <c r="D9" s="77" t="s">
        <v>54</v>
      </c>
      <c r="E9" s="77" t="s">
        <v>55</v>
      </c>
      <c r="F9" s="77" t="s">
        <v>33</v>
      </c>
      <c r="G9" s="78" t="s">
        <v>16</v>
      </c>
    </row>
    <row r="10" spans="1:10">
      <c r="A10" s="79"/>
      <c r="B10" s="548" t="s">
        <v>687</v>
      </c>
      <c r="C10" s="81"/>
      <c r="D10" s="81"/>
      <c r="E10" s="81"/>
      <c r="F10" s="81"/>
      <c r="G10" s="82"/>
    </row>
    <row r="11" spans="1:10">
      <c r="A11" s="79">
        <v>1</v>
      </c>
      <c r="B11" s="83" t="s">
        <v>56</v>
      </c>
      <c r="C11" s="84">
        <v>5279571.7372788899</v>
      </c>
      <c r="D11" s="84">
        <v>3805249.8736278894</v>
      </c>
      <c r="E11" s="84">
        <v>974256.94715386385</v>
      </c>
      <c r="F11" s="84">
        <v>10411.441939357785</v>
      </c>
      <c r="G11" s="497">
        <v>11576614.516425414</v>
      </c>
    </row>
    <row r="12" spans="1:10">
      <c r="A12" s="79">
        <f>A11+1</f>
        <v>2</v>
      </c>
      <c r="B12" s="83" t="s">
        <v>57</v>
      </c>
      <c r="C12" s="84">
        <v>90406.06348097416</v>
      </c>
      <c r="D12" s="84">
        <v>64869.934770689913</v>
      </c>
      <c r="E12" s="84">
        <v>16656.719509689359</v>
      </c>
      <c r="F12" s="84">
        <v>178.28223864653518</v>
      </c>
      <c r="G12" s="497">
        <v>528137.99575489271</v>
      </c>
    </row>
    <row r="13" spans="1:10">
      <c r="A13" s="79">
        <f t="shared" ref="A13:A24" si="0">A12+1</f>
        <v>3</v>
      </c>
      <c r="B13" s="83" t="s">
        <v>58</v>
      </c>
      <c r="C13" s="84">
        <v>561404.40810983384</v>
      </c>
      <c r="D13" s="84">
        <v>435528.4736946511</v>
      </c>
      <c r="E13" s="84">
        <v>103016.8397721525</v>
      </c>
      <c r="F13" s="84">
        <v>1458.2784233623474</v>
      </c>
      <c r="G13" s="497">
        <v>1075841.8168907382</v>
      </c>
    </row>
    <row r="14" spans="1:10">
      <c r="A14" s="79">
        <f t="shared" si="0"/>
        <v>4</v>
      </c>
      <c r="B14" s="83" t="s">
        <v>59</v>
      </c>
      <c r="C14" s="86">
        <v>5340297.9719731286</v>
      </c>
      <c r="D14" s="86">
        <v>4142916.9396894202</v>
      </c>
      <c r="E14" s="86">
        <v>979936.40298151551</v>
      </c>
      <c r="F14" s="86">
        <v>13871.685355934789</v>
      </c>
      <c r="G14" s="497">
        <v>11080049.21030499</v>
      </c>
    </row>
    <row r="15" spans="1:10">
      <c r="A15" s="79">
        <f t="shared" si="0"/>
        <v>5</v>
      </c>
      <c r="B15" s="80" t="s">
        <v>60</v>
      </c>
      <c r="C15" s="87">
        <f>SUM(C11:C14)</f>
        <v>11271680.180842826</v>
      </c>
      <c r="D15" s="87">
        <f>SUM(D11:D14)</f>
        <v>8448565.2217826508</v>
      </c>
      <c r="E15" s="87">
        <f>SUM(E11:E14)</f>
        <v>2073866.9094172213</v>
      </c>
      <c r="F15" s="87">
        <f>SUM(F11:F14)</f>
        <v>25919.687957301459</v>
      </c>
      <c r="G15" s="654">
        <f>SUM(G11:G14)</f>
        <v>24260643.539376035</v>
      </c>
    </row>
    <row r="16" spans="1:10">
      <c r="A16" s="79">
        <f t="shared" si="0"/>
        <v>6</v>
      </c>
      <c r="B16" s="88"/>
      <c r="C16" s="89"/>
      <c r="D16" s="89"/>
      <c r="E16" s="89"/>
      <c r="F16" s="89"/>
      <c r="G16" s="90"/>
    </row>
    <row r="17" spans="1:8">
      <c r="A17" s="79">
        <f t="shared" si="0"/>
        <v>7</v>
      </c>
      <c r="B17" s="83" t="s">
        <v>61</v>
      </c>
      <c r="C17" s="84">
        <v>2363087.1248751907</v>
      </c>
      <c r="D17" s="84">
        <v>1833244.8501897487</v>
      </c>
      <c r="E17" s="84">
        <v>433622.84781532304</v>
      </c>
      <c r="F17" s="84">
        <v>52563.177119736836</v>
      </c>
      <c r="G17" s="1077">
        <v>6550999.0157328052</v>
      </c>
    </row>
    <row r="18" spans="1:8">
      <c r="A18" s="79">
        <f t="shared" si="0"/>
        <v>8</v>
      </c>
      <c r="B18" s="83"/>
      <c r="C18" s="84"/>
      <c r="D18" s="84"/>
      <c r="E18" s="84"/>
      <c r="F18" s="84"/>
      <c r="G18" s="1078"/>
    </row>
    <row r="19" spans="1:8">
      <c r="A19" s="79">
        <f t="shared" si="0"/>
        <v>9</v>
      </c>
      <c r="B19" s="83" t="s">
        <v>62</v>
      </c>
      <c r="C19" s="84">
        <v>4664724.9140402405</v>
      </c>
      <c r="D19" s="84">
        <v>4533871.9184097052</v>
      </c>
      <c r="E19" s="84">
        <v>1006524.0474800207</v>
      </c>
      <c r="F19" s="84">
        <v>27123.120070034012</v>
      </c>
      <c r="G19" s="497">
        <v>11050672.91894082</v>
      </c>
    </row>
    <row r="20" spans="1:8">
      <c r="A20" s="79">
        <f t="shared" si="0"/>
        <v>10</v>
      </c>
      <c r="B20" s="88"/>
      <c r="C20" s="89"/>
      <c r="D20" s="89"/>
      <c r="E20" s="89"/>
      <c r="F20" s="89"/>
      <c r="G20" s="1079"/>
    </row>
    <row r="21" spans="1:8">
      <c r="A21" s="79">
        <f t="shared" si="0"/>
        <v>11</v>
      </c>
      <c r="B21" s="912"/>
      <c r="C21" s="89"/>
      <c r="D21" s="89"/>
      <c r="E21" s="89"/>
      <c r="F21" s="89"/>
      <c r="G21" s="1079"/>
    </row>
    <row r="22" spans="1:8">
      <c r="A22" s="79">
        <f t="shared" si="0"/>
        <v>12</v>
      </c>
      <c r="B22" s="913" t="s">
        <v>708</v>
      </c>
      <c r="C22" s="91">
        <v>1097565.0879327203</v>
      </c>
      <c r="D22" s="91">
        <v>915483.08850403759</v>
      </c>
      <c r="E22" s="91">
        <v>212540.86927735357</v>
      </c>
      <c r="F22" s="91">
        <v>5891.9542858890118</v>
      </c>
      <c r="G22" s="1077">
        <v>4033841.7557913396</v>
      </c>
      <c r="H22" s="910"/>
    </row>
    <row r="23" spans="1:8">
      <c r="A23" s="79">
        <f t="shared" si="0"/>
        <v>13</v>
      </c>
      <c r="B23" s="88"/>
      <c r="C23" s="94"/>
      <c r="D23" s="94"/>
      <c r="E23" s="94"/>
      <c r="F23" s="94"/>
      <c r="G23" s="215"/>
    </row>
    <row r="24" spans="1:8">
      <c r="A24" s="79">
        <f t="shared" si="0"/>
        <v>14</v>
      </c>
      <c r="B24" s="80" t="s">
        <v>63</v>
      </c>
      <c r="C24" s="87" t="e">
        <f>SUM(C15:C19)+#REF!</f>
        <v>#REF!</v>
      </c>
      <c r="D24" s="87" t="e">
        <f>SUM(D15:D19)+#REF!</f>
        <v>#REF!</v>
      </c>
      <c r="E24" s="87" t="e">
        <f>SUM(E15:E19)+#REF!</f>
        <v>#REF!</v>
      </c>
      <c r="F24" s="87" t="e">
        <f>SUM(F15:F19)+#REF!</f>
        <v>#REF!</v>
      </c>
      <c r="G24" s="85">
        <f>SUM(G15:G22)</f>
        <v>45896157.229840994</v>
      </c>
    </row>
    <row r="25" spans="1:8">
      <c r="A25" s="95"/>
      <c r="B25" s="96"/>
      <c r="C25" s="97"/>
      <c r="D25" s="97"/>
      <c r="E25" s="97"/>
      <c r="F25" s="97"/>
      <c r="G25" s="98"/>
    </row>
    <row r="26" spans="1:8">
      <c r="A26" s="67"/>
      <c r="G26" s="99"/>
    </row>
    <row r="27" spans="1:8">
      <c r="F27" s="81"/>
      <c r="G27" s="81"/>
    </row>
    <row r="28" spans="1:8">
      <c r="B28" s="154" t="s">
        <v>519</v>
      </c>
    </row>
    <row r="29" spans="1:8">
      <c r="B29" s="153" t="s">
        <v>583</v>
      </c>
      <c r="F29" s="81"/>
      <c r="G29" s="81"/>
    </row>
    <row r="30" spans="1:8">
      <c r="B30" s="518"/>
      <c r="F30" s="81"/>
      <c r="G30" s="81"/>
    </row>
    <row r="31" spans="1:8">
      <c r="F31" s="81"/>
      <c r="G31" s="81"/>
    </row>
    <row r="33" spans="2:8" ht="25.5">
      <c r="B33" s="914" t="s">
        <v>709</v>
      </c>
      <c r="G33" s="982">
        <v>45904418.989841007</v>
      </c>
      <c r="H33" s="916"/>
    </row>
    <row r="34" spans="2:8">
      <c r="B34" s="914" t="s">
        <v>710</v>
      </c>
      <c r="G34" s="982"/>
      <c r="H34" s="916"/>
    </row>
    <row r="35" spans="2:8">
      <c r="B35" s="915" t="s">
        <v>711</v>
      </c>
      <c r="C35" s="92">
        <v>-45155.184665329863</v>
      </c>
      <c r="D35" s="92">
        <v>-38036.690595807318</v>
      </c>
      <c r="E35" s="92">
        <v>-9133.3315441126379</v>
      </c>
      <c r="F35" s="92">
        <v>-215.79319475018377</v>
      </c>
      <c r="G35" s="982">
        <v>-5576.2799999999988</v>
      </c>
      <c r="H35" s="916"/>
    </row>
    <row r="36" spans="2:8">
      <c r="B36" s="915" t="s">
        <v>712</v>
      </c>
      <c r="C36" s="93">
        <v>34622.341750450942</v>
      </c>
      <c r="D36" s="93">
        <v>29164.298864562821</v>
      </c>
      <c r="E36" s="93">
        <v>7002.9018458036135</v>
      </c>
      <c r="F36" s="93">
        <v>165.45753918262488</v>
      </c>
      <c r="G36" s="982">
        <v>13838.04</v>
      </c>
      <c r="H36" s="916"/>
    </row>
    <row r="37" spans="2:8">
      <c r="G37" s="983">
        <f>G33-G35-G36</f>
        <v>45896157.229841009</v>
      </c>
    </row>
    <row r="38" spans="2:8">
      <c r="B38" s="667" t="s">
        <v>713</v>
      </c>
      <c r="C38" s="947"/>
      <c r="D38" s="947"/>
      <c r="E38" s="947"/>
      <c r="F38" s="947"/>
      <c r="G38" s="365">
        <f>G37-G24</f>
        <v>0</v>
      </c>
    </row>
    <row r="39" spans="2:8">
      <c r="B39" s="947"/>
      <c r="C39" s="947"/>
      <c r="D39" s="947"/>
      <c r="E39" s="947"/>
      <c r="F39" s="947"/>
      <c r="G39" s="947"/>
    </row>
    <row r="40" spans="2:8">
      <c r="B40" s="947" t="s">
        <v>715</v>
      </c>
      <c r="C40" s="947"/>
      <c r="D40" s="947"/>
      <c r="E40" s="947"/>
      <c r="F40" s="947"/>
      <c r="G40" s="947"/>
    </row>
    <row r="41" spans="2:8">
      <c r="B41" s="947"/>
      <c r="C41" s="947"/>
      <c r="D41" s="947"/>
      <c r="E41" s="947"/>
      <c r="F41" s="947"/>
      <c r="G41" s="947"/>
    </row>
    <row r="42" spans="2:8">
      <c r="B42" s="1076" t="s">
        <v>714</v>
      </c>
      <c r="C42" s="947"/>
      <c r="D42" s="947"/>
      <c r="E42" s="947"/>
      <c r="F42" s="947"/>
      <c r="G42" s="982">
        <v>2748036.7303248565</v>
      </c>
      <c r="H42" s="394"/>
    </row>
    <row r="43" spans="2:8">
      <c r="B43" s="947" t="s">
        <v>716</v>
      </c>
      <c r="C43" s="947"/>
      <c r="D43" s="947"/>
      <c r="E43" s="947"/>
      <c r="F43" s="947"/>
      <c r="G43" s="982">
        <v>1294066.7854664833</v>
      </c>
      <c r="H43" s="394"/>
    </row>
    <row r="44" spans="2:8">
      <c r="B44" s="947" t="s">
        <v>717</v>
      </c>
      <c r="C44" s="947"/>
      <c r="D44" s="947"/>
      <c r="E44" s="947"/>
      <c r="F44" s="947"/>
      <c r="G44" s="373">
        <f>-G35</f>
        <v>5576.2799999999988</v>
      </c>
      <c r="H44" s="394"/>
    </row>
    <row r="45" spans="2:8">
      <c r="B45" s="947" t="s">
        <v>718</v>
      </c>
      <c r="C45" s="947"/>
      <c r="D45" s="947"/>
      <c r="E45" s="947"/>
      <c r="F45" s="947"/>
      <c r="G45" s="373">
        <f>-G36</f>
        <v>-13838.04</v>
      </c>
      <c r="H45" s="394"/>
    </row>
    <row r="46" spans="2:8">
      <c r="B46" s="947" t="s">
        <v>719</v>
      </c>
      <c r="C46" s="947"/>
      <c r="D46" s="947"/>
      <c r="E46" s="947"/>
      <c r="F46" s="947"/>
      <c r="G46" s="917">
        <f>SUM(G42:G45)</f>
        <v>4033841.7557913396</v>
      </c>
      <c r="H46" s="394"/>
    </row>
    <row r="47" spans="2:8">
      <c r="B47" s="667" t="s">
        <v>713</v>
      </c>
      <c r="C47" s="947"/>
      <c r="D47" s="947"/>
      <c r="E47" s="947"/>
      <c r="F47" s="947"/>
      <c r="G47" s="373">
        <f>G46-G22</f>
        <v>0</v>
      </c>
      <c r="H47" s="394"/>
    </row>
    <row r="48" spans="2:8">
      <c r="B48" s="947"/>
      <c r="C48" s="947"/>
      <c r="D48" s="947"/>
      <c r="E48" s="947"/>
      <c r="F48" s="947"/>
      <c r="G48" s="373"/>
      <c r="H48" s="394"/>
    </row>
    <row r="49" spans="2:8">
      <c r="B49" s="947"/>
      <c r="C49" s="947"/>
      <c r="D49" s="947"/>
      <c r="E49" s="947"/>
      <c r="F49" s="947"/>
      <c r="G49" s="373"/>
      <c r="H49" s="394"/>
    </row>
    <row r="50" spans="2:8">
      <c r="G50" s="394"/>
      <c r="H50" s="394"/>
    </row>
    <row r="51" spans="2:8">
      <c r="G51" s="394"/>
      <c r="H51" s="394"/>
    </row>
    <row r="52" spans="2:8">
      <c r="G52" s="394"/>
      <c r="H52" s="394"/>
    </row>
    <row r="53" spans="2:8">
      <c r="G53" s="394"/>
      <c r="H53" s="394"/>
    </row>
  </sheetData>
  <mergeCells count="3">
    <mergeCell ref="A3:G3"/>
    <mergeCell ref="A4:G4"/>
    <mergeCell ref="A5:G5"/>
  </mergeCells>
  <printOptions horizontalCentered="1"/>
  <pageMargins left="0.75" right="0.75" top="0.75" bottom="0.75" header="0.5" footer="0.5"/>
  <pageSetup scale="80" orientation="portrait" r:id="rId1"/>
  <headerFooter alignWithMargins="0">
    <oddHeader>&amp;R&amp;"Arial,Regular"&amp;10Attachment O Work Paper
Page 13 of 20</oddHeader>
  </headerFooter>
  <ignoredErrors>
    <ignoredError sqref="G34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6"/>
  <sheetViews>
    <sheetView showGridLines="0" zoomScale="90" zoomScaleNormal="90" workbookViewId="0">
      <pane xSplit="3" ySplit="10" topLeftCell="D11" activePane="bottomRight" state="frozen"/>
      <selection activeCell="O2" sqref="O2"/>
      <selection pane="topRight" activeCell="O2" sqref="O2"/>
      <selection pane="bottomLeft" activeCell="O2" sqref="O2"/>
      <selection pane="bottomRight" activeCell="O2" sqref="O2"/>
    </sheetView>
  </sheetViews>
  <sheetFormatPr defaultRowHeight="15" outlineLevelCol="1"/>
  <cols>
    <col min="1" max="1" width="8.88671875" customWidth="1" outlineLevel="1"/>
    <col min="2" max="2" width="3.88671875" style="309" bestFit="1" customWidth="1"/>
    <col min="3" max="3" width="23.88671875" bestFit="1" customWidth="1"/>
    <col min="4" max="7" width="6.77734375" style="309" customWidth="1"/>
    <col min="8" max="20" width="9.77734375" customWidth="1"/>
  </cols>
  <sheetData>
    <row r="1" spans="1:21">
      <c r="T1" s="638"/>
    </row>
    <row r="2" spans="1:21">
      <c r="T2" s="1080"/>
      <c r="U2" s="638"/>
    </row>
    <row r="3" spans="1:21">
      <c r="B3" s="1104" t="s">
        <v>0</v>
      </c>
      <c r="C3" s="1104"/>
      <c r="D3" s="1104"/>
      <c r="E3" s="1104"/>
      <c r="F3" s="1104"/>
      <c r="G3" s="1104"/>
      <c r="H3" s="1104"/>
      <c r="I3" s="1104"/>
      <c r="J3" s="1104"/>
      <c r="K3" s="1104"/>
      <c r="L3" s="1104"/>
      <c r="M3" s="1104"/>
      <c r="N3" s="1104"/>
      <c r="O3" s="1104"/>
      <c r="P3" s="1104"/>
      <c r="Q3" s="1104"/>
      <c r="R3" s="1104"/>
      <c r="S3" s="1104"/>
      <c r="T3" s="1104"/>
    </row>
    <row r="4" spans="1:21">
      <c r="B4" s="1104" t="s">
        <v>419</v>
      </c>
      <c r="C4" s="1104"/>
      <c r="D4" s="1104"/>
      <c r="E4" s="1104"/>
      <c r="F4" s="1104"/>
      <c r="G4" s="1104"/>
      <c r="H4" s="1104"/>
      <c r="I4" s="1104"/>
      <c r="J4" s="1104"/>
      <c r="K4" s="1104"/>
      <c r="L4" s="1104"/>
      <c r="M4" s="1104"/>
      <c r="N4" s="1104"/>
      <c r="O4" s="1104"/>
      <c r="P4" s="1104"/>
      <c r="Q4" s="1104"/>
      <c r="R4" s="1104"/>
      <c r="S4" s="1104"/>
      <c r="T4" s="1104"/>
    </row>
    <row r="5" spans="1:21">
      <c r="B5" s="1111" t="s">
        <v>720</v>
      </c>
      <c r="C5" s="1111"/>
      <c r="D5" s="1111"/>
      <c r="E5" s="1111"/>
      <c r="F5" s="1111"/>
      <c r="G5" s="1111"/>
      <c r="H5" s="1111"/>
      <c r="I5" s="1111"/>
      <c r="J5" s="1111"/>
      <c r="K5" s="1111"/>
      <c r="L5" s="1111"/>
      <c r="M5" s="1111"/>
      <c r="N5" s="1111"/>
      <c r="O5" s="1111"/>
      <c r="P5" s="1111"/>
      <c r="Q5" s="1111"/>
      <c r="R5" s="1111"/>
      <c r="S5" s="1111"/>
      <c r="T5" s="1111"/>
    </row>
    <row r="6" spans="1:21">
      <c r="B6" s="339"/>
      <c r="C6" s="322"/>
      <c r="D6" s="339"/>
      <c r="E6" s="339"/>
      <c r="F6" s="339"/>
      <c r="G6" s="339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</row>
    <row r="7" spans="1:21">
      <c r="B7" s="339"/>
      <c r="C7" s="338" t="s">
        <v>1</v>
      </c>
      <c r="D7" s="339" t="s">
        <v>2</v>
      </c>
      <c r="E7" s="339" t="s">
        <v>3</v>
      </c>
      <c r="F7" s="339" t="s">
        <v>4</v>
      </c>
      <c r="G7" s="339" t="s">
        <v>5</v>
      </c>
      <c r="H7" s="339" t="s">
        <v>7</v>
      </c>
      <c r="I7" s="339" t="s">
        <v>6</v>
      </c>
      <c r="J7" s="339" t="s">
        <v>30</v>
      </c>
      <c r="K7" s="339" t="s">
        <v>31</v>
      </c>
      <c r="L7" s="339" t="s">
        <v>30</v>
      </c>
      <c r="M7" s="339" t="s">
        <v>31</v>
      </c>
      <c r="N7" s="339" t="s">
        <v>32</v>
      </c>
      <c r="O7" s="339" t="s">
        <v>74</v>
      </c>
      <c r="P7" s="339" t="s">
        <v>75</v>
      </c>
      <c r="Q7" s="339" t="s">
        <v>76</v>
      </c>
      <c r="R7" s="339" t="s">
        <v>77</v>
      </c>
      <c r="S7" s="339" t="s">
        <v>78</v>
      </c>
      <c r="T7" s="339" t="s">
        <v>79</v>
      </c>
    </row>
    <row r="8" spans="1:21">
      <c r="B8" s="339"/>
      <c r="C8" s="322"/>
      <c r="D8" s="339"/>
      <c r="E8" s="339"/>
      <c r="F8" s="339"/>
      <c r="G8" s="339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</row>
    <row r="9" spans="1:21" s="341" customFormat="1" ht="15.75">
      <c r="B9" s="311" t="s">
        <v>8</v>
      </c>
      <c r="C9" s="345"/>
      <c r="D9" s="350"/>
      <c r="E9" s="350"/>
      <c r="F9" s="350"/>
      <c r="G9" s="350"/>
      <c r="H9" s="350" t="s">
        <v>404</v>
      </c>
      <c r="I9" s="350" t="str">
        <f>$H9</f>
        <v>Forecast</v>
      </c>
      <c r="J9" s="350" t="str">
        <f t="shared" ref="J9:S9" si="0">$H9</f>
        <v>Forecast</v>
      </c>
      <c r="K9" s="350" t="str">
        <f t="shared" si="0"/>
        <v>Forecast</v>
      </c>
      <c r="L9" s="350" t="str">
        <f t="shared" si="0"/>
        <v>Forecast</v>
      </c>
      <c r="M9" s="350" t="str">
        <f t="shared" si="0"/>
        <v>Forecast</v>
      </c>
      <c r="N9" s="350" t="str">
        <f t="shared" si="0"/>
        <v>Forecast</v>
      </c>
      <c r="O9" s="350" t="str">
        <f t="shared" si="0"/>
        <v>Forecast</v>
      </c>
      <c r="P9" s="350" t="str">
        <f t="shared" si="0"/>
        <v>Forecast</v>
      </c>
      <c r="Q9" s="350" t="str">
        <f t="shared" si="0"/>
        <v>Forecast</v>
      </c>
      <c r="R9" s="350" t="str">
        <f t="shared" si="0"/>
        <v>Forecast</v>
      </c>
      <c r="S9" s="350" t="str">
        <f t="shared" si="0"/>
        <v>Forecast</v>
      </c>
      <c r="T9" s="351"/>
    </row>
    <row r="10" spans="1:21" s="341" customFormat="1" ht="15.75">
      <c r="B10" s="320" t="s">
        <v>10</v>
      </c>
      <c r="C10" s="349" t="s">
        <v>405</v>
      </c>
      <c r="D10" s="352" t="s">
        <v>378</v>
      </c>
      <c r="E10" s="352" t="s">
        <v>406</v>
      </c>
      <c r="F10" s="352" t="s">
        <v>407</v>
      </c>
      <c r="G10" s="352" t="s">
        <v>33</v>
      </c>
      <c r="H10" s="352" t="s">
        <v>408</v>
      </c>
      <c r="I10" s="352" t="s">
        <v>409</v>
      </c>
      <c r="J10" s="352" t="s">
        <v>410</v>
      </c>
      <c r="K10" s="352" t="s">
        <v>411</v>
      </c>
      <c r="L10" s="352" t="s">
        <v>20</v>
      </c>
      <c r="M10" s="352" t="s">
        <v>412</v>
      </c>
      <c r="N10" s="352" t="s">
        <v>413</v>
      </c>
      <c r="O10" s="352" t="s">
        <v>414</v>
      </c>
      <c r="P10" s="352" t="s">
        <v>415</v>
      </c>
      <c r="Q10" s="352" t="s">
        <v>416</v>
      </c>
      <c r="R10" s="352" t="s">
        <v>417</v>
      </c>
      <c r="S10" s="352" t="s">
        <v>418</v>
      </c>
      <c r="T10" s="353" t="s">
        <v>16</v>
      </c>
    </row>
    <row r="11" spans="1:21">
      <c r="B11" s="342">
        <v>1</v>
      </c>
      <c r="C11" s="357" t="s">
        <v>419</v>
      </c>
      <c r="D11" s="321"/>
      <c r="E11" s="316"/>
      <c r="F11" s="321"/>
      <c r="G11" s="321"/>
      <c r="H11" s="354"/>
      <c r="I11" s="354"/>
      <c r="J11" s="354"/>
      <c r="K11" s="354"/>
      <c r="L11" s="354"/>
      <c r="M11" s="354"/>
      <c r="N11" s="354"/>
      <c r="O11" s="354"/>
      <c r="P11" s="354"/>
      <c r="Q11" s="354"/>
      <c r="R11" s="354"/>
      <c r="S11" s="354"/>
      <c r="T11" s="355"/>
    </row>
    <row r="12" spans="1:21">
      <c r="A12">
        <v>11728</v>
      </c>
      <c r="B12" s="343">
        <f>+B11+1</f>
        <v>2</v>
      </c>
      <c r="C12" s="358" t="s">
        <v>420</v>
      </c>
      <c r="D12" s="316">
        <v>1020</v>
      </c>
      <c r="E12" s="316">
        <v>5230</v>
      </c>
      <c r="F12" s="321">
        <v>4081</v>
      </c>
      <c r="G12" s="321">
        <v>40801</v>
      </c>
      <c r="H12" s="984">
        <v>82891</v>
      </c>
      <c r="I12" s="984">
        <v>82891</v>
      </c>
      <c r="J12" s="984">
        <v>82891</v>
      </c>
      <c r="K12" s="984">
        <v>82891</v>
      </c>
      <c r="L12" s="984">
        <v>82891</v>
      </c>
      <c r="M12" s="984">
        <v>82891</v>
      </c>
      <c r="N12" s="984">
        <v>82891</v>
      </c>
      <c r="O12" s="984">
        <v>82891</v>
      </c>
      <c r="P12" s="984">
        <v>82891</v>
      </c>
      <c r="Q12" s="984">
        <v>82891</v>
      </c>
      <c r="R12" s="984">
        <v>82891</v>
      </c>
      <c r="S12" s="984">
        <v>82891</v>
      </c>
      <c r="T12" s="517">
        <f t="shared" ref="T12:T39" si="1">SUM(H12:S12)</f>
        <v>994692</v>
      </c>
    </row>
    <row r="13" spans="1:21">
      <c r="A13">
        <v>67904</v>
      </c>
      <c r="B13" s="343">
        <f>+B12+1</f>
        <v>3</v>
      </c>
      <c r="C13" s="358" t="s">
        <v>421</v>
      </c>
      <c r="D13" s="321">
        <v>1100</v>
      </c>
      <c r="E13" s="316">
        <v>5230</v>
      </c>
      <c r="F13" s="321">
        <v>4081</v>
      </c>
      <c r="G13" s="321">
        <v>40801</v>
      </c>
      <c r="H13" s="984">
        <v>72088</v>
      </c>
      <c r="I13" s="984">
        <v>72088</v>
      </c>
      <c r="J13" s="984">
        <v>72088</v>
      </c>
      <c r="K13" s="984">
        <v>72088</v>
      </c>
      <c r="L13" s="984">
        <v>72088</v>
      </c>
      <c r="M13" s="984">
        <v>72088</v>
      </c>
      <c r="N13" s="984">
        <v>72088</v>
      </c>
      <c r="O13" s="984">
        <v>72088</v>
      </c>
      <c r="P13" s="984">
        <v>72088</v>
      </c>
      <c r="Q13" s="984">
        <v>72088</v>
      </c>
      <c r="R13" s="984">
        <v>72088</v>
      </c>
      <c r="S13" s="984">
        <v>72088</v>
      </c>
      <c r="T13" s="517">
        <f t="shared" si="1"/>
        <v>865056</v>
      </c>
    </row>
    <row r="14" spans="1:21">
      <c r="A14">
        <v>11731</v>
      </c>
      <c r="B14" s="343">
        <f>+B13+1</f>
        <v>4</v>
      </c>
      <c r="C14" s="358" t="s">
        <v>422</v>
      </c>
      <c r="D14" s="321"/>
      <c r="E14" s="316"/>
      <c r="F14" s="321"/>
      <c r="G14" s="321">
        <v>40801</v>
      </c>
      <c r="H14" s="984">
        <v>773</v>
      </c>
      <c r="I14" s="984">
        <v>773</v>
      </c>
      <c r="J14" s="984">
        <v>773</v>
      </c>
      <c r="K14" s="984">
        <v>773</v>
      </c>
      <c r="L14" s="984">
        <v>773</v>
      </c>
      <c r="M14" s="984">
        <v>773</v>
      </c>
      <c r="N14" s="984">
        <v>773</v>
      </c>
      <c r="O14" s="984">
        <v>773</v>
      </c>
      <c r="P14" s="984">
        <v>773</v>
      </c>
      <c r="Q14" s="984">
        <v>773</v>
      </c>
      <c r="R14" s="984">
        <v>773</v>
      </c>
      <c r="S14" s="984">
        <v>773</v>
      </c>
      <c r="T14" s="517">
        <f>SUM(H14:S14)</f>
        <v>9276</v>
      </c>
    </row>
    <row r="15" spans="1:21">
      <c r="A15">
        <v>95533</v>
      </c>
      <c r="B15" s="343">
        <f t="shared" ref="B15:B42" si="2">+B14+1</f>
        <v>5</v>
      </c>
      <c r="C15" s="358" t="s">
        <v>423</v>
      </c>
      <c r="D15" s="321"/>
      <c r="E15" s="316"/>
      <c r="F15" s="321"/>
      <c r="G15" s="321">
        <v>40801</v>
      </c>
      <c r="H15" s="984">
        <v>67391.678199999995</v>
      </c>
      <c r="I15" s="984">
        <v>63766.178199999995</v>
      </c>
      <c r="J15" s="984">
        <v>63499.678199999995</v>
      </c>
      <c r="K15" s="984">
        <v>60894.678199999995</v>
      </c>
      <c r="L15" s="984">
        <v>59380.178199999995</v>
      </c>
      <c r="M15" s="984">
        <v>58069.928199999995</v>
      </c>
      <c r="N15" s="984">
        <v>67163.428199999995</v>
      </c>
      <c r="O15" s="984">
        <v>67067.428199999995</v>
      </c>
      <c r="P15" s="984">
        <v>60632.428199999995</v>
      </c>
      <c r="Q15" s="984">
        <v>62363.928199999995</v>
      </c>
      <c r="R15" s="984">
        <v>64429.178199999995</v>
      </c>
      <c r="S15" s="984">
        <v>64992.928199999995</v>
      </c>
      <c r="T15" s="517">
        <f>SUM(H15:S15)</f>
        <v>759651.63839999971</v>
      </c>
    </row>
    <row r="16" spans="1:21">
      <c r="A16">
        <v>11734</v>
      </c>
      <c r="B16" s="343">
        <f t="shared" si="2"/>
        <v>6</v>
      </c>
      <c r="C16" s="358" t="s">
        <v>424</v>
      </c>
      <c r="D16" s="321">
        <v>1310</v>
      </c>
      <c r="E16" s="316">
        <v>5230</v>
      </c>
      <c r="F16" s="321">
        <v>4081</v>
      </c>
      <c r="G16" s="321">
        <v>40801</v>
      </c>
      <c r="H16" s="984">
        <v>1241</v>
      </c>
      <c r="I16" s="984">
        <v>1241</v>
      </c>
      <c r="J16" s="984">
        <v>1241</v>
      </c>
      <c r="K16" s="984">
        <v>1241</v>
      </c>
      <c r="L16" s="984">
        <v>1241</v>
      </c>
      <c r="M16" s="984">
        <v>1241</v>
      </c>
      <c r="N16" s="984">
        <v>1241</v>
      </c>
      <c r="O16" s="984">
        <v>1241</v>
      </c>
      <c r="P16" s="984">
        <v>1241</v>
      </c>
      <c r="Q16" s="984">
        <v>1241</v>
      </c>
      <c r="R16" s="984">
        <v>1241</v>
      </c>
      <c r="S16" s="984">
        <v>1241</v>
      </c>
      <c r="T16" s="517">
        <f t="shared" si="1"/>
        <v>14892</v>
      </c>
    </row>
    <row r="17" spans="1:20">
      <c r="A17">
        <v>11735</v>
      </c>
      <c r="B17" s="343">
        <f t="shared" si="2"/>
        <v>7</v>
      </c>
      <c r="C17" s="358" t="s">
        <v>425</v>
      </c>
      <c r="D17" s="321">
        <v>1320</v>
      </c>
      <c r="E17" s="316">
        <v>5230</v>
      </c>
      <c r="F17" s="321">
        <v>4081</v>
      </c>
      <c r="G17" s="321">
        <v>40801</v>
      </c>
      <c r="H17" s="984">
        <v>1715</v>
      </c>
      <c r="I17" s="984">
        <v>1715</v>
      </c>
      <c r="J17" s="984">
        <v>1715</v>
      </c>
      <c r="K17" s="984">
        <v>1715</v>
      </c>
      <c r="L17" s="984">
        <v>1715</v>
      </c>
      <c r="M17" s="984">
        <v>1715</v>
      </c>
      <c r="N17" s="984">
        <v>1715</v>
      </c>
      <c r="O17" s="984">
        <v>1715</v>
      </c>
      <c r="P17" s="984">
        <v>1715</v>
      </c>
      <c r="Q17" s="984">
        <v>1715</v>
      </c>
      <c r="R17" s="984">
        <v>1715</v>
      </c>
      <c r="S17" s="984">
        <v>1715</v>
      </c>
      <c r="T17" s="517">
        <f t="shared" si="1"/>
        <v>20580</v>
      </c>
    </row>
    <row r="18" spans="1:20">
      <c r="A18">
        <v>11736</v>
      </c>
      <c r="B18" s="343">
        <f t="shared" si="2"/>
        <v>8</v>
      </c>
      <c r="C18" s="358" t="s">
        <v>426</v>
      </c>
      <c r="D18" s="321">
        <v>1330</v>
      </c>
      <c r="E18" s="316">
        <v>5230</v>
      </c>
      <c r="F18" s="321">
        <v>4081</v>
      </c>
      <c r="G18" s="321">
        <v>40801</v>
      </c>
      <c r="H18" s="984">
        <v>834</v>
      </c>
      <c r="I18" s="984">
        <v>834</v>
      </c>
      <c r="J18" s="984">
        <v>834</v>
      </c>
      <c r="K18" s="984">
        <v>834</v>
      </c>
      <c r="L18" s="984">
        <v>834</v>
      </c>
      <c r="M18" s="984">
        <v>834</v>
      </c>
      <c r="N18" s="984">
        <v>834</v>
      </c>
      <c r="O18" s="984">
        <v>834</v>
      </c>
      <c r="P18" s="984">
        <v>834</v>
      </c>
      <c r="Q18" s="984">
        <v>834</v>
      </c>
      <c r="R18" s="984">
        <v>834</v>
      </c>
      <c r="S18" s="984">
        <v>834</v>
      </c>
      <c r="T18" s="517">
        <f t="shared" si="1"/>
        <v>10008</v>
      </c>
    </row>
    <row r="19" spans="1:20">
      <c r="A19">
        <v>11737</v>
      </c>
      <c r="B19" s="343">
        <f t="shared" si="2"/>
        <v>9</v>
      </c>
      <c r="C19" s="358" t="s">
        <v>427</v>
      </c>
      <c r="D19" s="321">
        <v>1340</v>
      </c>
      <c r="E19" s="316">
        <v>5230</v>
      </c>
      <c r="F19" s="321">
        <v>4081</v>
      </c>
      <c r="G19" s="321">
        <v>40801</v>
      </c>
      <c r="H19" s="984">
        <v>1717</v>
      </c>
      <c r="I19" s="984">
        <v>1717</v>
      </c>
      <c r="J19" s="984">
        <v>1717</v>
      </c>
      <c r="K19" s="984">
        <v>1717</v>
      </c>
      <c r="L19" s="984">
        <v>1717</v>
      </c>
      <c r="M19" s="984">
        <v>1717</v>
      </c>
      <c r="N19" s="984">
        <v>1717</v>
      </c>
      <c r="O19" s="984">
        <v>1717</v>
      </c>
      <c r="P19" s="984">
        <v>1717</v>
      </c>
      <c r="Q19" s="984">
        <v>1717</v>
      </c>
      <c r="R19" s="984">
        <v>1717</v>
      </c>
      <c r="S19" s="984">
        <v>1717</v>
      </c>
      <c r="T19" s="517">
        <f t="shared" si="1"/>
        <v>20604</v>
      </c>
    </row>
    <row r="20" spans="1:20">
      <c r="A20">
        <v>11738</v>
      </c>
      <c r="B20" s="343">
        <f t="shared" si="2"/>
        <v>10</v>
      </c>
      <c r="C20" s="358" t="s">
        <v>428</v>
      </c>
      <c r="D20" s="321">
        <v>1350</v>
      </c>
      <c r="E20" s="316">
        <v>5230</v>
      </c>
      <c r="F20" s="321">
        <v>4081</v>
      </c>
      <c r="G20" s="321">
        <v>40801</v>
      </c>
      <c r="H20" s="984">
        <v>1250</v>
      </c>
      <c r="I20" s="984">
        <v>1250</v>
      </c>
      <c r="J20" s="984">
        <v>1250</v>
      </c>
      <c r="K20" s="984">
        <v>1250</v>
      </c>
      <c r="L20" s="984">
        <v>1250</v>
      </c>
      <c r="M20" s="984">
        <v>1250</v>
      </c>
      <c r="N20" s="984">
        <v>1250</v>
      </c>
      <c r="O20" s="984">
        <v>1250</v>
      </c>
      <c r="P20" s="984">
        <v>1250</v>
      </c>
      <c r="Q20" s="984">
        <v>1250</v>
      </c>
      <c r="R20" s="984">
        <v>1250</v>
      </c>
      <c r="S20" s="984">
        <v>1250</v>
      </c>
      <c r="T20" s="517">
        <f t="shared" si="1"/>
        <v>15000</v>
      </c>
    </row>
    <row r="21" spans="1:20">
      <c r="A21">
        <v>11739</v>
      </c>
      <c r="B21" s="343">
        <f t="shared" si="2"/>
        <v>11</v>
      </c>
      <c r="C21" s="358" t="s">
        <v>429</v>
      </c>
      <c r="D21" s="321">
        <v>1380</v>
      </c>
      <c r="E21" s="316">
        <v>5230</v>
      </c>
      <c r="F21" s="321">
        <v>4081</v>
      </c>
      <c r="G21" s="321">
        <v>40801</v>
      </c>
      <c r="H21" s="984">
        <v>1189</v>
      </c>
      <c r="I21" s="984">
        <v>1189</v>
      </c>
      <c r="J21" s="984">
        <v>1189</v>
      </c>
      <c r="K21" s="984">
        <v>1189</v>
      </c>
      <c r="L21" s="984">
        <v>1189</v>
      </c>
      <c r="M21" s="984">
        <v>1189</v>
      </c>
      <c r="N21" s="984">
        <v>1189</v>
      </c>
      <c r="O21" s="984">
        <v>1189</v>
      </c>
      <c r="P21" s="984">
        <v>1189</v>
      </c>
      <c r="Q21" s="984">
        <v>1189</v>
      </c>
      <c r="R21" s="984">
        <v>1189</v>
      </c>
      <c r="S21" s="984">
        <v>1189</v>
      </c>
      <c r="T21" s="517">
        <f t="shared" si="1"/>
        <v>14268</v>
      </c>
    </row>
    <row r="22" spans="1:20">
      <c r="A22">
        <v>11740</v>
      </c>
      <c r="B22" s="343">
        <f t="shared" si="2"/>
        <v>12</v>
      </c>
      <c r="C22" s="358" t="s">
        <v>430</v>
      </c>
      <c r="D22" s="321">
        <v>1400</v>
      </c>
      <c r="E22" s="316">
        <v>5230</v>
      </c>
      <c r="F22" s="321">
        <v>4081</v>
      </c>
      <c r="G22" s="321">
        <v>40801</v>
      </c>
      <c r="H22" s="984">
        <v>5939</v>
      </c>
      <c r="I22" s="984">
        <v>5939</v>
      </c>
      <c r="J22" s="984">
        <v>5939</v>
      </c>
      <c r="K22" s="984">
        <v>5939</v>
      </c>
      <c r="L22" s="984">
        <v>5939</v>
      </c>
      <c r="M22" s="984">
        <v>5939</v>
      </c>
      <c r="N22" s="984">
        <v>5939</v>
      </c>
      <c r="O22" s="984">
        <v>5939</v>
      </c>
      <c r="P22" s="984">
        <v>5939</v>
      </c>
      <c r="Q22" s="984">
        <v>5939</v>
      </c>
      <c r="R22" s="984">
        <v>5939</v>
      </c>
      <c r="S22" s="984">
        <v>5939</v>
      </c>
      <c r="T22" s="517">
        <f t="shared" si="1"/>
        <v>71268</v>
      </c>
    </row>
    <row r="23" spans="1:20">
      <c r="A23">
        <v>11741</v>
      </c>
      <c r="B23" s="343">
        <f t="shared" si="2"/>
        <v>13</v>
      </c>
      <c r="C23" s="358" t="s">
        <v>431</v>
      </c>
      <c r="D23" s="321">
        <v>1410</v>
      </c>
      <c r="E23" s="316">
        <v>5230</v>
      </c>
      <c r="F23" s="321">
        <v>4081</v>
      </c>
      <c r="G23" s="321">
        <v>40801</v>
      </c>
      <c r="H23" s="984">
        <v>3005</v>
      </c>
      <c r="I23" s="984">
        <v>3005</v>
      </c>
      <c r="J23" s="984">
        <v>3005</v>
      </c>
      <c r="K23" s="984">
        <v>3005</v>
      </c>
      <c r="L23" s="984">
        <v>3005</v>
      </c>
      <c r="M23" s="984">
        <v>3005</v>
      </c>
      <c r="N23" s="984">
        <v>3005</v>
      </c>
      <c r="O23" s="984">
        <v>3005</v>
      </c>
      <c r="P23" s="984">
        <v>3005</v>
      </c>
      <c r="Q23" s="984">
        <v>3005</v>
      </c>
      <c r="R23" s="984">
        <v>3005</v>
      </c>
      <c r="S23" s="984">
        <v>3005</v>
      </c>
      <c r="T23" s="517">
        <f t="shared" si="1"/>
        <v>36060</v>
      </c>
    </row>
    <row r="24" spans="1:20" ht="30.75" customHeight="1">
      <c r="A24">
        <v>11742</v>
      </c>
      <c r="B24" s="343">
        <f t="shared" si="2"/>
        <v>14</v>
      </c>
      <c r="C24" s="358" t="s">
        <v>432</v>
      </c>
      <c r="D24" s="321">
        <v>1430</v>
      </c>
      <c r="E24" s="316">
        <v>5230</v>
      </c>
      <c r="F24" s="321">
        <v>4081</v>
      </c>
      <c r="G24" s="321">
        <v>40801</v>
      </c>
      <c r="H24" s="984">
        <v>1262</v>
      </c>
      <c r="I24" s="984">
        <v>1262</v>
      </c>
      <c r="J24" s="984">
        <v>1262</v>
      </c>
      <c r="K24" s="984">
        <v>1262</v>
      </c>
      <c r="L24" s="984">
        <v>1262</v>
      </c>
      <c r="M24" s="984">
        <v>1262</v>
      </c>
      <c r="N24" s="984">
        <v>1262</v>
      </c>
      <c r="O24" s="984">
        <v>1262</v>
      </c>
      <c r="P24" s="984">
        <v>1262</v>
      </c>
      <c r="Q24" s="984">
        <v>1262</v>
      </c>
      <c r="R24" s="984">
        <v>1262</v>
      </c>
      <c r="S24" s="984">
        <v>1262</v>
      </c>
      <c r="T24" s="517">
        <f t="shared" si="1"/>
        <v>15144</v>
      </c>
    </row>
    <row r="25" spans="1:20">
      <c r="A25">
        <v>11743</v>
      </c>
      <c r="B25" s="343">
        <f t="shared" si="2"/>
        <v>15</v>
      </c>
      <c r="C25" s="358" t="s">
        <v>433</v>
      </c>
      <c r="D25" s="321">
        <v>1440</v>
      </c>
      <c r="E25" s="316">
        <v>5230</v>
      </c>
      <c r="F25" s="321">
        <v>4081</v>
      </c>
      <c r="G25" s="321">
        <v>40801</v>
      </c>
      <c r="H25" s="984">
        <v>6242</v>
      </c>
      <c r="I25" s="984">
        <v>6242</v>
      </c>
      <c r="J25" s="984">
        <v>6242</v>
      </c>
      <c r="K25" s="984">
        <v>6242</v>
      </c>
      <c r="L25" s="984">
        <v>6242</v>
      </c>
      <c r="M25" s="984">
        <v>6242</v>
      </c>
      <c r="N25" s="984">
        <v>6242</v>
      </c>
      <c r="O25" s="984">
        <v>6242</v>
      </c>
      <c r="P25" s="984">
        <v>6242</v>
      </c>
      <c r="Q25" s="984">
        <v>6242</v>
      </c>
      <c r="R25" s="984">
        <v>6242</v>
      </c>
      <c r="S25" s="984">
        <v>6242</v>
      </c>
      <c r="T25" s="517">
        <f t="shared" si="1"/>
        <v>74904</v>
      </c>
    </row>
    <row r="26" spans="1:20">
      <c r="A26">
        <v>159904</v>
      </c>
      <c r="B26" s="343">
        <f t="shared" si="2"/>
        <v>16</v>
      </c>
      <c r="C26" s="358" t="s">
        <v>585</v>
      </c>
      <c r="D26" s="321">
        <v>1500</v>
      </c>
      <c r="E26" s="316">
        <v>5230</v>
      </c>
      <c r="F26" s="321">
        <v>4081</v>
      </c>
      <c r="G26" s="321">
        <v>40801</v>
      </c>
      <c r="H26" s="984">
        <v>3257</v>
      </c>
      <c r="I26" s="984">
        <v>3257</v>
      </c>
      <c r="J26" s="984">
        <v>3257</v>
      </c>
      <c r="K26" s="984">
        <v>3257</v>
      </c>
      <c r="L26" s="984">
        <v>3257</v>
      </c>
      <c r="M26" s="984">
        <v>3257</v>
      </c>
      <c r="N26" s="984">
        <v>3257</v>
      </c>
      <c r="O26" s="984">
        <v>3257</v>
      </c>
      <c r="P26" s="984">
        <v>3257</v>
      </c>
      <c r="Q26" s="984">
        <v>3257</v>
      </c>
      <c r="R26" s="984">
        <v>3257</v>
      </c>
      <c r="S26" s="984">
        <v>3254</v>
      </c>
      <c r="T26" s="517">
        <f>SUM(H26:S26)</f>
        <v>39081</v>
      </c>
    </row>
    <row r="27" spans="1:20">
      <c r="A27">
        <v>261101</v>
      </c>
      <c r="B27" s="343">
        <f t="shared" si="2"/>
        <v>17</v>
      </c>
      <c r="C27" s="358" t="s">
        <v>586</v>
      </c>
      <c r="D27" s="359" t="s">
        <v>394</v>
      </c>
      <c r="E27" s="316">
        <v>5230</v>
      </c>
      <c r="F27" s="321">
        <v>4081</v>
      </c>
      <c r="G27" s="321">
        <v>40801</v>
      </c>
      <c r="H27" s="984">
        <v>0</v>
      </c>
      <c r="I27" s="984">
        <v>0</v>
      </c>
      <c r="J27" s="984">
        <v>0</v>
      </c>
      <c r="K27" s="984">
        <v>0</v>
      </c>
      <c r="L27" s="984">
        <v>0</v>
      </c>
      <c r="M27" s="984">
        <v>0</v>
      </c>
      <c r="N27" s="984">
        <v>0</v>
      </c>
      <c r="O27" s="984">
        <v>0</v>
      </c>
      <c r="P27" s="984">
        <v>0</v>
      </c>
      <c r="Q27" s="984">
        <v>0</v>
      </c>
      <c r="R27" s="984">
        <v>0</v>
      </c>
      <c r="S27" s="984">
        <v>0</v>
      </c>
      <c r="T27" s="517">
        <f t="shared" ref="T27:T29" si="3">SUM(H27:S27)</f>
        <v>0</v>
      </c>
    </row>
    <row r="28" spans="1:20">
      <c r="A28">
        <v>265903</v>
      </c>
      <c r="B28" s="343">
        <f t="shared" si="2"/>
        <v>18</v>
      </c>
      <c r="C28" s="358" t="s">
        <v>587</v>
      </c>
      <c r="D28" s="359" t="s">
        <v>394</v>
      </c>
      <c r="E28" s="316">
        <v>5230</v>
      </c>
      <c r="F28" s="321">
        <v>4081</v>
      </c>
      <c r="G28" s="321">
        <v>40801</v>
      </c>
      <c r="H28" s="984">
        <v>1979</v>
      </c>
      <c r="I28" s="984">
        <v>1979</v>
      </c>
      <c r="J28" s="984">
        <v>1979</v>
      </c>
      <c r="K28" s="984">
        <v>1979</v>
      </c>
      <c r="L28" s="984">
        <v>1979</v>
      </c>
      <c r="M28" s="984">
        <v>1979</v>
      </c>
      <c r="N28" s="984">
        <v>1979</v>
      </c>
      <c r="O28" s="984">
        <v>1979</v>
      </c>
      <c r="P28" s="984">
        <v>1979</v>
      </c>
      <c r="Q28" s="984">
        <v>1979</v>
      </c>
      <c r="R28" s="984">
        <v>1979</v>
      </c>
      <c r="S28" s="984">
        <v>1979</v>
      </c>
      <c r="T28" s="517">
        <f t="shared" si="3"/>
        <v>23748</v>
      </c>
    </row>
    <row r="29" spans="1:20">
      <c r="A29">
        <v>95300</v>
      </c>
      <c r="B29" s="343">
        <f t="shared" si="2"/>
        <v>19</v>
      </c>
      <c r="C29" s="358" t="s">
        <v>434</v>
      </c>
      <c r="D29" s="321">
        <v>1600</v>
      </c>
      <c r="E29" s="316">
        <v>5230</v>
      </c>
      <c r="F29" s="321">
        <v>4081</v>
      </c>
      <c r="G29" s="321">
        <v>40801</v>
      </c>
      <c r="H29" s="984">
        <v>13420</v>
      </c>
      <c r="I29" s="984">
        <v>13420</v>
      </c>
      <c r="J29" s="984">
        <v>13420</v>
      </c>
      <c r="K29" s="984">
        <v>13420</v>
      </c>
      <c r="L29" s="984">
        <v>13420</v>
      </c>
      <c r="M29" s="984">
        <v>13420</v>
      </c>
      <c r="N29" s="984">
        <v>13420</v>
      </c>
      <c r="O29" s="984">
        <v>13420</v>
      </c>
      <c r="P29" s="984">
        <v>13420</v>
      </c>
      <c r="Q29" s="984">
        <v>13420</v>
      </c>
      <c r="R29" s="984">
        <v>13420</v>
      </c>
      <c r="S29" s="984">
        <v>13420</v>
      </c>
      <c r="T29" s="517">
        <f t="shared" si="3"/>
        <v>161040</v>
      </c>
    </row>
    <row r="30" spans="1:20">
      <c r="A30">
        <v>95301</v>
      </c>
      <c r="B30" s="343">
        <f t="shared" si="2"/>
        <v>20</v>
      </c>
      <c r="C30" s="358" t="s">
        <v>435</v>
      </c>
      <c r="D30" s="321">
        <v>1610</v>
      </c>
      <c r="E30" s="316">
        <v>5230</v>
      </c>
      <c r="F30" s="321">
        <v>4081</v>
      </c>
      <c r="G30" s="321">
        <v>40801</v>
      </c>
      <c r="H30" s="984">
        <v>22525</v>
      </c>
      <c r="I30" s="984">
        <v>22525</v>
      </c>
      <c r="J30" s="984">
        <v>22525</v>
      </c>
      <c r="K30" s="984">
        <v>22525</v>
      </c>
      <c r="L30" s="984">
        <v>22525</v>
      </c>
      <c r="M30" s="984">
        <v>22525</v>
      </c>
      <c r="N30" s="984">
        <v>22525</v>
      </c>
      <c r="O30" s="984">
        <v>22525</v>
      </c>
      <c r="P30" s="984">
        <v>22525</v>
      </c>
      <c r="Q30" s="984">
        <v>22525</v>
      </c>
      <c r="R30" s="984">
        <v>22525</v>
      </c>
      <c r="S30" s="984">
        <v>22525</v>
      </c>
      <c r="T30" s="517">
        <f t="shared" si="1"/>
        <v>270300</v>
      </c>
    </row>
    <row r="31" spans="1:20">
      <c r="A31">
        <v>95302</v>
      </c>
      <c r="B31" s="343">
        <f t="shared" si="2"/>
        <v>21</v>
      </c>
      <c r="C31" s="358" t="s">
        <v>436</v>
      </c>
      <c r="D31" s="321">
        <v>1620</v>
      </c>
      <c r="E31" s="316">
        <v>5230</v>
      </c>
      <c r="F31" s="321">
        <v>4081</v>
      </c>
      <c r="G31" s="321">
        <v>40801</v>
      </c>
      <c r="H31" s="984">
        <v>13485</v>
      </c>
      <c r="I31" s="984">
        <v>13485</v>
      </c>
      <c r="J31" s="984">
        <v>13485</v>
      </c>
      <c r="K31" s="984">
        <v>13485</v>
      </c>
      <c r="L31" s="984">
        <v>13485</v>
      </c>
      <c r="M31" s="984">
        <v>13485</v>
      </c>
      <c r="N31" s="984">
        <v>13485</v>
      </c>
      <c r="O31" s="984">
        <v>13485</v>
      </c>
      <c r="P31" s="984">
        <v>13485</v>
      </c>
      <c r="Q31" s="984">
        <v>13485</v>
      </c>
      <c r="R31" s="984">
        <v>13485</v>
      </c>
      <c r="S31" s="984">
        <v>13485</v>
      </c>
      <c r="T31" s="517">
        <f t="shared" si="1"/>
        <v>161820</v>
      </c>
    </row>
    <row r="32" spans="1:20">
      <c r="A32">
        <v>11750</v>
      </c>
      <c r="B32" s="343">
        <f t="shared" si="2"/>
        <v>22</v>
      </c>
      <c r="C32" s="358" t="s">
        <v>437</v>
      </c>
      <c r="D32" s="359" t="s">
        <v>394</v>
      </c>
      <c r="E32" s="316">
        <v>5230</v>
      </c>
      <c r="F32" s="321">
        <v>4081</v>
      </c>
      <c r="G32" s="321">
        <v>40801</v>
      </c>
      <c r="H32" s="984">
        <v>711216</v>
      </c>
      <c r="I32" s="984">
        <v>711216</v>
      </c>
      <c r="J32" s="984">
        <v>711216</v>
      </c>
      <c r="K32" s="984">
        <v>711216</v>
      </c>
      <c r="L32" s="984">
        <v>711216</v>
      </c>
      <c r="M32" s="984">
        <v>711216</v>
      </c>
      <c r="N32" s="984">
        <v>711216</v>
      </c>
      <c r="O32" s="984">
        <v>711216</v>
      </c>
      <c r="P32" s="984">
        <v>711216</v>
      </c>
      <c r="Q32" s="984">
        <v>711216</v>
      </c>
      <c r="R32" s="984">
        <v>711216</v>
      </c>
      <c r="S32" s="984">
        <v>711216</v>
      </c>
      <c r="T32" s="517">
        <f t="shared" si="1"/>
        <v>8534592</v>
      </c>
    </row>
    <row r="33" spans="1:20">
      <c r="A33">
        <v>11755</v>
      </c>
      <c r="B33" s="343">
        <f t="shared" si="2"/>
        <v>23</v>
      </c>
      <c r="C33" s="358" t="s">
        <v>438</v>
      </c>
      <c r="D33" s="359" t="s">
        <v>394</v>
      </c>
      <c r="E33" s="316">
        <v>5230</v>
      </c>
      <c r="F33" s="321">
        <v>4081</v>
      </c>
      <c r="G33" s="321">
        <v>40801</v>
      </c>
      <c r="H33" s="984">
        <v>39943</v>
      </c>
      <c r="I33" s="984">
        <v>39943</v>
      </c>
      <c r="J33" s="984">
        <v>39943</v>
      </c>
      <c r="K33" s="984">
        <v>39943</v>
      </c>
      <c r="L33" s="984">
        <v>39943</v>
      </c>
      <c r="M33" s="984">
        <v>39943</v>
      </c>
      <c r="N33" s="984">
        <v>39943</v>
      </c>
      <c r="O33" s="984">
        <v>39943</v>
      </c>
      <c r="P33" s="984">
        <v>39943</v>
      </c>
      <c r="Q33" s="984">
        <v>39943</v>
      </c>
      <c r="R33" s="984">
        <v>39943</v>
      </c>
      <c r="S33" s="984">
        <v>39943</v>
      </c>
      <c r="T33" s="517">
        <f t="shared" si="1"/>
        <v>479316</v>
      </c>
    </row>
    <row r="34" spans="1:20">
      <c r="A34">
        <v>159906</v>
      </c>
      <c r="B34" s="343">
        <f t="shared" si="2"/>
        <v>24</v>
      </c>
      <c r="C34" s="358" t="s">
        <v>588</v>
      </c>
      <c r="D34" s="359" t="s">
        <v>394</v>
      </c>
      <c r="E34" s="316">
        <v>5230</v>
      </c>
      <c r="F34" s="321">
        <v>4081</v>
      </c>
      <c r="G34" s="321">
        <v>40801</v>
      </c>
      <c r="H34" s="984">
        <v>2185</v>
      </c>
      <c r="I34" s="984">
        <v>2185</v>
      </c>
      <c r="J34" s="984">
        <v>2185</v>
      </c>
      <c r="K34" s="984">
        <v>2185</v>
      </c>
      <c r="L34" s="984">
        <v>2185</v>
      </c>
      <c r="M34" s="984">
        <v>2185</v>
      </c>
      <c r="N34" s="984">
        <v>2185</v>
      </c>
      <c r="O34" s="984">
        <v>2185</v>
      </c>
      <c r="P34" s="984">
        <v>2185</v>
      </c>
      <c r="Q34" s="984">
        <v>2185</v>
      </c>
      <c r="R34" s="984">
        <v>2185</v>
      </c>
      <c r="S34" s="984">
        <v>2185</v>
      </c>
      <c r="T34" s="517">
        <f>SUM(H34:S34)</f>
        <v>26220</v>
      </c>
    </row>
    <row r="35" spans="1:20" ht="25.5">
      <c r="A35">
        <v>354705</v>
      </c>
      <c r="B35" s="343">
        <f t="shared" si="2"/>
        <v>25</v>
      </c>
      <c r="C35" s="358" t="s">
        <v>688</v>
      </c>
      <c r="D35" s="359" t="s">
        <v>394</v>
      </c>
      <c r="E35" s="316">
        <v>5230</v>
      </c>
      <c r="F35" s="321">
        <v>4081</v>
      </c>
      <c r="G35" s="321">
        <v>40801</v>
      </c>
      <c r="H35" s="984">
        <v>1216</v>
      </c>
      <c r="I35" s="984">
        <v>1216</v>
      </c>
      <c r="J35" s="984">
        <v>1216</v>
      </c>
      <c r="K35" s="984">
        <v>1216</v>
      </c>
      <c r="L35" s="984">
        <v>1216</v>
      </c>
      <c r="M35" s="984">
        <v>1216</v>
      </c>
      <c r="N35" s="984">
        <v>1216</v>
      </c>
      <c r="O35" s="984">
        <v>1216</v>
      </c>
      <c r="P35" s="984">
        <v>1216</v>
      </c>
      <c r="Q35" s="984">
        <v>1216</v>
      </c>
      <c r="R35" s="984">
        <v>1216</v>
      </c>
      <c r="S35" s="984">
        <v>1216</v>
      </c>
      <c r="T35" s="517">
        <f>SUM(H35:S35)</f>
        <v>14592</v>
      </c>
    </row>
    <row r="36" spans="1:20">
      <c r="A36">
        <v>11751</v>
      </c>
      <c r="B36" s="343">
        <f t="shared" si="2"/>
        <v>26</v>
      </c>
      <c r="C36" s="358" t="s">
        <v>483</v>
      </c>
      <c r="D36" s="359" t="s">
        <v>394</v>
      </c>
      <c r="E36" s="316">
        <v>5230</v>
      </c>
      <c r="F36" s="321">
        <v>4081</v>
      </c>
      <c r="G36" s="321">
        <v>40801</v>
      </c>
      <c r="H36" s="984">
        <v>0</v>
      </c>
      <c r="I36" s="984">
        <v>0</v>
      </c>
      <c r="J36" s="984">
        <v>0</v>
      </c>
      <c r="K36" s="984">
        <v>0</v>
      </c>
      <c r="L36" s="984">
        <v>0</v>
      </c>
      <c r="M36" s="984">
        <v>0</v>
      </c>
      <c r="N36" s="984">
        <v>0</v>
      </c>
      <c r="O36" s="984">
        <v>0</v>
      </c>
      <c r="P36" s="984">
        <v>0</v>
      </c>
      <c r="Q36" s="984">
        <v>0</v>
      </c>
      <c r="R36" s="984">
        <v>0</v>
      </c>
      <c r="S36" s="984">
        <v>0</v>
      </c>
      <c r="T36" s="517">
        <f>SUM(H36:S36)</f>
        <v>0</v>
      </c>
    </row>
    <row r="37" spans="1:20">
      <c r="A37">
        <v>143901</v>
      </c>
      <c r="B37" s="343">
        <f t="shared" si="2"/>
        <v>27</v>
      </c>
      <c r="C37" s="358" t="s">
        <v>439</v>
      </c>
      <c r="D37" s="359" t="s">
        <v>394</v>
      </c>
      <c r="E37" s="316">
        <v>5230</v>
      </c>
      <c r="F37" s="321">
        <v>4081</v>
      </c>
      <c r="G37" s="321">
        <v>40801</v>
      </c>
      <c r="H37" s="984">
        <v>58280</v>
      </c>
      <c r="I37" s="984">
        <v>58280</v>
      </c>
      <c r="J37" s="984">
        <v>58280</v>
      </c>
      <c r="K37" s="984">
        <v>58280</v>
      </c>
      <c r="L37" s="984">
        <v>58280</v>
      </c>
      <c r="M37" s="984">
        <v>58280</v>
      </c>
      <c r="N37" s="984">
        <v>58280</v>
      </c>
      <c r="O37" s="984">
        <v>58280</v>
      </c>
      <c r="P37" s="984">
        <v>58280</v>
      </c>
      <c r="Q37" s="984">
        <v>58280</v>
      </c>
      <c r="R37" s="984">
        <v>58280</v>
      </c>
      <c r="S37" s="984">
        <v>58280</v>
      </c>
      <c r="T37" s="517">
        <f>SUM(H37:S37)</f>
        <v>699360</v>
      </c>
    </row>
    <row r="38" spans="1:20">
      <c r="A38">
        <v>11758</v>
      </c>
      <c r="B38" s="343">
        <f t="shared" si="2"/>
        <v>28</v>
      </c>
      <c r="C38" s="358" t="s">
        <v>440</v>
      </c>
      <c r="D38" s="321">
        <v>1980</v>
      </c>
      <c r="E38" s="316">
        <v>5230</v>
      </c>
      <c r="F38" s="321">
        <v>4081</v>
      </c>
      <c r="G38" s="321">
        <v>40801</v>
      </c>
      <c r="H38" s="984">
        <v>4127</v>
      </c>
      <c r="I38" s="984">
        <v>4127</v>
      </c>
      <c r="J38" s="984">
        <v>4127</v>
      </c>
      <c r="K38" s="984">
        <v>4127</v>
      </c>
      <c r="L38" s="984">
        <v>4127</v>
      </c>
      <c r="M38" s="984">
        <v>4127</v>
      </c>
      <c r="N38" s="984">
        <v>4127</v>
      </c>
      <c r="O38" s="984">
        <v>4127</v>
      </c>
      <c r="P38" s="984">
        <v>4127</v>
      </c>
      <c r="Q38" s="984">
        <v>4127</v>
      </c>
      <c r="R38" s="984">
        <v>4127</v>
      </c>
      <c r="S38" s="984">
        <v>4127</v>
      </c>
      <c r="T38" s="517">
        <f t="shared" si="1"/>
        <v>49524</v>
      </c>
    </row>
    <row r="39" spans="1:20">
      <c r="A39">
        <v>11759</v>
      </c>
      <c r="B39" s="343">
        <f t="shared" si="2"/>
        <v>29</v>
      </c>
      <c r="C39" s="358" t="s">
        <v>441</v>
      </c>
      <c r="D39" s="321">
        <v>1990</v>
      </c>
      <c r="E39" s="316">
        <v>5230</v>
      </c>
      <c r="F39" s="321">
        <v>4081</v>
      </c>
      <c r="G39" s="321">
        <v>40801</v>
      </c>
      <c r="H39" s="984">
        <v>1345</v>
      </c>
      <c r="I39" s="984">
        <v>1345</v>
      </c>
      <c r="J39" s="984">
        <v>1345</v>
      </c>
      <c r="K39" s="984">
        <v>1345</v>
      </c>
      <c r="L39" s="984">
        <v>1345</v>
      </c>
      <c r="M39" s="984">
        <v>1345</v>
      </c>
      <c r="N39" s="984">
        <v>1345</v>
      </c>
      <c r="O39" s="984">
        <v>1345</v>
      </c>
      <c r="P39" s="984">
        <v>1345</v>
      </c>
      <c r="Q39" s="984">
        <v>1345</v>
      </c>
      <c r="R39" s="984">
        <v>1345</v>
      </c>
      <c r="S39" s="984">
        <v>1345</v>
      </c>
      <c r="T39" s="517">
        <f t="shared" si="1"/>
        <v>16140</v>
      </c>
    </row>
    <row r="40" spans="1:20">
      <c r="B40" s="343">
        <f t="shared" si="2"/>
        <v>30</v>
      </c>
      <c r="C40" s="340" t="s">
        <v>442</v>
      </c>
      <c r="D40" s="346"/>
      <c r="E40" s="316"/>
      <c r="F40" s="316"/>
      <c r="H40" s="655">
        <f t="shared" ref="H40:T40" si="4">SUM(H12:H39)</f>
        <v>1120515.6782</v>
      </c>
      <c r="I40" s="655">
        <f t="shared" si="4"/>
        <v>1116890.1782</v>
      </c>
      <c r="J40" s="655">
        <f t="shared" si="4"/>
        <v>1116623.6782</v>
      </c>
      <c r="K40" s="655">
        <f t="shared" si="4"/>
        <v>1114018.6782</v>
      </c>
      <c r="L40" s="655">
        <f t="shared" si="4"/>
        <v>1112504.1782</v>
      </c>
      <c r="M40" s="655">
        <f t="shared" si="4"/>
        <v>1111193.9282</v>
      </c>
      <c r="N40" s="655">
        <f t="shared" si="4"/>
        <v>1120287.4282</v>
      </c>
      <c r="O40" s="655">
        <f t="shared" si="4"/>
        <v>1120191.4282</v>
      </c>
      <c r="P40" s="655">
        <f t="shared" si="4"/>
        <v>1113756.4282</v>
      </c>
      <c r="Q40" s="655">
        <f t="shared" si="4"/>
        <v>1115487.9282</v>
      </c>
      <c r="R40" s="655">
        <f t="shared" si="4"/>
        <v>1117553.1782</v>
      </c>
      <c r="S40" s="655">
        <f t="shared" si="4"/>
        <v>1118113.9282</v>
      </c>
      <c r="T40" s="655">
        <f t="shared" si="4"/>
        <v>13397136.6384</v>
      </c>
    </row>
    <row r="41" spans="1:20">
      <c r="B41" s="343">
        <f t="shared" si="2"/>
        <v>31</v>
      </c>
      <c r="C41" s="326" t="s">
        <v>467</v>
      </c>
      <c r="D41" s="346"/>
      <c r="E41" s="316"/>
      <c r="F41" s="316"/>
      <c r="G41" s="340"/>
      <c r="H41" s="656"/>
      <c r="I41" s="656"/>
      <c r="J41" s="656"/>
      <c r="K41" s="656"/>
      <c r="L41" s="656"/>
      <c r="M41" s="656"/>
      <c r="N41" s="656"/>
      <c r="O41" s="656"/>
      <c r="P41" s="656"/>
      <c r="Q41" s="656"/>
      <c r="R41" s="656"/>
      <c r="S41" s="656"/>
      <c r="T41" s="657">
        <f>+T15</f>
        <v>759651.63839999971</v>
      </c>
    </row>
    <row r="42" spans="1:20" ht="15.75" thickBot="1">
      <c r="B42" s="343">
        <f t="shared" si="2"/>
        <v>32</v>
      </c>
      <c r="C42" s="329" t="s">
        <v>468</v>
      </c>
      <c r="D42" s="346"/>
      <c r="E42" s="316"/>
      <c r="F42" s="316"/>
      <c r="G42" s="340"/>
      <c r="H42" s="656"/>
      <c r="I42" s="656"/>
      <c r="J42" s="656"/>
      <c r="K42" s="656"/>
      <c r="L42" s="656"/>
      <c r="M42" s="656"/>
      <c r="N42" s="656"/>
      <c r="O42" s="656"/>
      <c r="P42" s="656"/>
      <c r="Q42" s="656"/>
      <c r="R42" s="656"/>
      <c r="S42" s="656"/>
      <c r="T42" s="658">
        <f>+T40-T41</f>
        <v>12637485</v>
      </c>
    </row>
    <row r="43" spans="1:20" ht="15.75" thickTop="1">
      <c r="B43" s="344"/>
      <c r="C43" s="335"/>
      <c r="D43" s="348"/>
      <c r="E43" s="348"/>
      <c r="F43" s="348"/>
      <c r="G43" s="348"/>
      <c r="H43" s="659"/>
      <c r="I43" s="659"/>
      <c r="J43" s="659"/>
      <c r="K43" s="659"/>
      <c r="L43" s="659"/>
      <c r="M43" s="659"/>
      <c r="N43" s="659"/>
      <c r="O43" s="659"/>
      <c r="P43" s="659"/>
      <c r="Q43" s="659"/>
      <c r="R43" s="659"/>
      <c r="S43" s="659"/>
      <c r="T43" s="369"/>
    </row>
    <row r="44" spans="1:20">
      <c r="B44" s="346"/>
      <c r="C44" s="330"/>
      <c r="D44" s="346"/>
      <c r="E44" s="346"/>
      <c r="F44" s="346"/>
      <c r="G44" s="346"/>
      <c r="H44" s="330"/>
      <c r="I44" s="330"/>
      <c r="J44" s="330"/>
      <c r="K44" s="330"/>
      <c r="L44" s="330"/>
      <c r="M44" s="330"/>
      <c r="N44" s="330"/>
      <c r="O44" s="330"/>
      <c r="P44" s="330"/>
      <c r="Q44" s="330"/>
      <c r="R44" s="330"/>
      <c r="S44" s="330"/>
      <c r="T44" s="330"/>
    </row>
    <row r="45" spans="1:20">
      <c r="E45" s="624" t="s">
        <v>519</v>
      </c>
      <c r="F45" s="153" t="s">
        <v>604</v>
      </c>
    </row>
    <row r="46" spans="1:20">
      <c r="F46" s="518"/>
    </row>
  </sheetData>
  <mergeCells count="3">
    <mergeCell ref="B3:T3"/>
    <mergeCell ref="B4:T4"/>
    <mergeCell ref="B5:T5"/>
  </mergeCells>
  <printOptions horizontalCentered="1"/>
  <pageMargins left="0.75" right="0.75" top="0.75" bottom="0.75" header="0.5" footer="0.5"/>
  <pageSetup scale="53" orientation="landscape" r:id="rId1"/>
  <headerFooter>
    <oddHeader>&amp;R&amp;"Arial,Regular"&amp;10Attachment O Work Paper
Page 14 of 20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1"/>
  <dimension ref="A1:G29"/>
  <sheetViews>
    <sheetView showGridLines="0" zoomScaleNormal="100" workbookViewId="0">
      <selection activeCell="O2" sqref="O2"/>
    </sheetView>
  </sheetViews>
  <sheetFormatPr defaultColWidth="11.77734375" defaultRowHeight="12.75"/>
  <cols>
    <col min="1" max="1" width="3.44140625" style="65" bestFit="1" customWidth="1"/>
    <col min="2" max="2" width="29.21875" style="67" customWidth="1"/>
    <col min="3" max="3" width="11.77734375" style="67" customWidth="1"/>
    <col min="4" max="250" width="8.88671875" style="67" customWidth="1"/>
    <col min="251" max="251" width="3.44140625" style="67" bestFit="1" customWidth="1"/>
    <col min="252" max="252" width="29.21875" style="67" customWidth="1"/>
    <col min="253" max="16384" width="11.77734375" style="67"/>
  </cols>
  <sheetData>
    <row r="1" spans="1:4">
      <c r="B1" s="66"/>
      <c r="C1" s="68"/>
      <c r="D1" s="638"/>
    </row>
    <row r="2" spans="1:4">
      <c r="B2" s="69"/>
      <c r="C2" s="68"/>
    </row>
    <row r="3" spans="1:4" ht="12.75" customHeight="1">
      <c r="A3" s="1107" t="s">
        <v>0</v>
      </c>
      <c r="B3" s="1108"/>
      <c r="C3" s="1108"/>
      <c r="D3" s="1080"/>
    </row>
    <row r="4" spans="1:4" ht="12.75" customHeight="1">
      <c r="A4" s="1107" t="s">
        <v>333</v>
      </c>
      <c r="B4" s="1108"/>
      <c r="C4" s="1108"/>
    </row>
    <row r="5" spans="1:4" ht="12.75" customHeight="1">
      <c r="A5" s="1110" t="str">
        <f>'Page 13 - Depr Exp'!A5:G5</f>
        <v>Budget Year 2015</v>
      </c>
      <c r="B5" s="1110"/>
      <c r="C5" s="1110"/>
      <c r="D5" s="638"/>
    </row>
    <row r="6" spans="1:4">
      <c r="B6" s="71"/>
      <c r="C6" s="73"/>
    </row>
    <row r="7" spans="1:4">
      <c r="B7" s="74" t="s">
        <v>1</v>
      </c>
      <c r="C7" s="65" t="s">
        <v>2</v>
      </c>
    </row>
    <row r="8" spans="1:4">
      <c r="C8" s="70"/>
    </row>
    <row r="9" spans="1:4" ht="25.5">
      <c r="A9" s="75" t="s">
        <v>38</v>
      </c>
      <c r="B9" s="76" t="s">
        <v>333</v>
      </c>
      <c r="C9" s="78" t="s">
        <v>334</v>
      </c>
    </row>
    <row r="10" spans="1:4">
      <c r="A10" s="79">
        <v>1</v>
      </c>
      <c r="B10" s="135" t="s">
        <v>335</v>
      </c>
      <c r="C10" s="497">
        <f>C24</f>
        <v>416000.00000000093</v>
      </c>
      <c r="D10" s="427"/>
    </row>
    <row r="11" spans="1:4">
      <c r="A11" s="79">
        <f>A10+1</f>
        <v>2</v>
      </c>
      <c r="B11" s="83"/>
      <c r="C11" s="85"/>
    </row>
    <row r="12" spans="1:4">
      <c r="A12" s="79">
        <f>A11+1</f>
        <v>3</v>
      </c>
      <c r="B12" s="83" t="s">
        <v>336</v>
      </c>
      <c r="C12" s="497">
        <f>C29</f>
        <v>1306827.2159674466</v>
      </c>
      <c r="D12" s="427"/>
    </row>
    <row r="13" spans="1:4">
      <c r="A13" s="79">
        <f>A12+1</f>
        <v>4</v>
      </c>
      <c r="B13" s="83"/>
      <c r="C13" s="90"/>
    </row>
    <row r="14" spans="1:4" ht="13.5" thickBot="1">
      <c r="A14" s="79">
        <f>A13+1</f>
        <v>5</v>
      </c>
      <c r="B14" s="80" t="s">
        <v>16</v>
      </c>
      <c r="C14" s="660">
        <f>+C10+C12</f>
        <v>1722827.2159674475</v>
      </c>
    </row>
    <row r="15" spans="1:4" ht="13.5" thickTop="1">
      <c r="A15" s="95"/>
      <c r="B15" s="96"/>
      <c r="C15" s="98"/>
    </row>
    <row r="16" spans="1:4">
      <c r="A16" s="67"/>
      <c r="C16" s="99"/>
    </row>
    <row r="17" spans="2:7">
      <c r="B17" s="626" t="s">
        <v>519</v>
      </c>
      <c r="C17" s="81"/>
    </row>
    <row r="18" spans="2:7">
      <c r="B18" s="153" t="s">
        <v>571</v>
      </c>
    </row>
    <row r="19" spans="2:7">
      <c r="B19" s="606" t="s">
        <v>589</v>
      </c>
      <c r="C19" s="81"/>
    </row>
    <row r="20" spans="2:7">
      <c r="B20" s="153"/>
      <c r="C20" s="81"/>
    </row>
    <row r="21" spans="2:7">
      <c r="B21" s="435"/>
      <c r="C21" s="81"/>
    </row>
    <row r="22" spans="2:7" ht="25.5">
      <c r="B22" s="985" t="s">
        <v>721</v>
      </c>
      <c r="C22" s="982">
        <v>-904671.91999999946</v>
      </c>
      <c r="D22" s="939"/>
      <c r="E22" s="70"/>
      <c r="F22" s="70"/>
      <c r="G22" s="695"/>
    </row>
    <row r="23" spans="2:7" ht="25.5">
      <c r="B23" s="986" t="s">
        <v>722</v>
      </c>
      <c r="C23" s="987">
        <v>1320671.9200000004</v>
      </c>
      <c r="D23" s="939"/>
      <c r="E23" s="70"/>
      <c r="F23" s="70"/>
      <c r="G23" s="695"/>
    </row>
    <row r="24" spans="2:7">
      <c r="B24" s="947" t="s">
        <v>335</v>
      </c>
      <c r="C24" s="988">
        <f>SUM(C22:C23)</f>
        <v>416000.00000000093</v>
      </c>
      <c r="D24" s="70"/>
      <c r="E24" s="70"/>
      <c r="F24" s="70"/>
    </row>
    <row r="25" spans="2:7">
      <c r="B25" s="947"/>
      <c r="C25" s="947"/>
      <c r="D25" s="70"/>
      <c r="E25" s="70"/>
      <c r="F25" s="70"/>
    </row>
    <row r="26" spans="2:7">
      <c r="B26" s="947"/>
      <c r="C26" s="947"/>
      <c r="D26" s="70"/>
      <c r="E26" s="70"/>
      <c r="F26" s="70"/>
    </row>
    <row r="27" spans="2:7" ht="25.5">
      <c r="B27" s="985" t="s">
        <v>723</v>
      </c>
      <c r="C27" s="982">
        <v>-23846169.736048829</v>
      </c>
      <c r="D27" s="939"/>
      <c r="E27" s="70"/>
      <c r="F27" s="70"/>
      <c r="G27" s="695"/>
    </row>
    <row r="28" spans="2:7" ht="25.5">
      <c r="B28" s="986" t="s">
        <v>724</v>
      </c>
      <c r="C28" s="987">
        <v>25152996.952016275</v>
      </c>
      <c r="D28" s="939"/>
      <c r="E28" s="70"/>
      <c r="F28" s="70"/>
      <c r="G28" s="695"/>
    </row>
    <row r="29" spans="2:7">
      <c r="B29" s="695" t="s">
        <v>335</v>
      </c>
      <c r="C29" s="694">
        <f>SUM(C27:C28)</f>
        <v>1306827.2159674466</v>
      </c>
    </row>
  </sheetData>
  <mergeCells count="3">
    <mergeCell ref="A3:C3"/>
    <mergeCell ref="A4:C4"/>
    <mergeCell ref="A5:C5"/>
  </mergeCells>
  <printOptions horizontalCentered="1"/>
  <pageMargins left="0.75" right="0.75" top="0.75" bottom="0.75" header="0.5" footer="0.5"/>
  <pageSetup scale="80" orientation="portrait" r:id="rId1"/>
  <headerFooter alignWithMargins="0">
    <oddHeader>&amp;R&amp;"Arial,Regular"&amp;10Attachment O Work Paper
Page 15 of 20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0"/>
  <sheetViews>
    <sheetView showGridLines="0" zoomScaleNormal="100" workbookViewId="0">
      <pane ySplit="9" topLeftCell="A26" activePane="bottomLeft" state="frozen"/>
      <selection activeCell="O2" sqref="O2"/>
      <selection pane="bottomLeft" activeCell="J26" sqref="J26"/>
    </sheetView>
  </sheetViews>
  <sheetFormatPr defaultRowHeight="12.75"/>
  <cols>
    <col min="1" max="1" width="3.44140625" style="339" bestFit="1" customWidth="1"/>
    <col min="2" max="2" width="10.6640625" style="339" customWidth="1"/>
    <col min="3" max="6" width="6.77734375" style="339" customWidth="1"/>
    <col min="7" max="7" width="13.88671875" style="322" bestFit="1" customWidth="1"/>
    <col min="8" max="8" width="5.88671875" style="322" customWidth="1"/>
    <col min="9" max="16384" width="8.88671875" style="322"/>
  </cols>
  <sheetData>
    <row r="1" spans="1:9">
      <c r="G1" s="638"/>
    </row>
    <row r="2" spans="1:9">
      <c r="A2" s="1107" t="s">
        <v>0</v>
      </c>
      <c r="B2" s="1107"/>
      <c r="C2" s="1107"/>
      <c r="D2" s="1107"/>
      <c r="E2" s="1107"/>
      <c r="F2" s="1107"/>
      <c r="G2" s="1107"/>
    </row>
    <row r="3" spans="1:9">
      <c r="A3" s="1107" t="s">
        <v>456</v>
      </c>
      <c r="B3" s="1107"/>
      <c r="C3" s="1107"/>
      <c r="D3" s="1107"/>
      <c r="E3" s="1107"/>
      <c r="F3" s="1107"/>
      <c r="G3" s="1107"/>
      <c r="I3" s="1080"/>
    </row>
    <row r="4" spans="1:9">
      <c r="A4" s="1110" t="str">
        <f>'Page 13 - Depr Exp'!A5:G5</f>
        <v>Budget Year 2015</v>
      </c>
      <c r="B4" s="1110"/>
      <c r="C4" s="1110"/>
      <c r="D4" s="1110"/>
      <c r="E4" s="1110"/>
      <c r="F4" s="1110"/>
      <c r="G4" s="1110"/>
    </row>
    <row r="6" spans="1:9">
      <c r="B6" s="338" t="s">
        <v>1</v>
      </c>
      <c r="C6" s="339" t="s">
        <v>2</v>
      </c>
      <c r="D6" s="339" t="s">
        <v>3</v>
      </c>
      <c r="E6" s="339" t="s">
        <v>4</v>
      </c>
      <c r="F6" s="339" t="s">
        <v>5</v>
      </c>
      <c r="G6" s="339" t="s">
        <v>7</v>
      </c>
    </row>
    <row r="8" spans="1:9">
      <c r="A8" s="342" t="s">
        <v>8</v>
      </c>
      <c r="B8" s="345"/>
      <c r="C8" s="350"/>
      <c r="D8" s="350"/>
      <c r="E8" s="350"/>
      <c r="F8" s="350"/>
      <c r="G8" s="370"/>
    </row>
    <row r="9" spans="1:9">
      <c r="A9" s="344" t="s">
        <v>10</v>
      </c>
      <c r="B9" s="362" t="s">
        <v>445</v>
      </c>
      <c r="C9" s="363" t="s">
        <v>378</v>
      </c>
      <c r="D9" s="363" t="s">
        <v>446</v>
      </c>
      <c r="E9" s="363" t="s">
        <v>379</v>
      </c>
      <c r="F9" s="363" t="s">
        <v>33</v>
      </c>
      <c r="G9" s="364" t="s">
        <v>16</v>
      </c>
    </row>
    <row r="10" spans="1:9">
      <c r="A10" s="342">
        <v>1</v>
      </c>
      <c r="B10" s="989" t="str">
        <f>"Budget "&amp;Info!B3</f>
        <v>Budget 2015</v>
      </c>
      <c r="C10" s="990" t="s">
        <v>443</v>
      </c>
      <c r="D10" s="991">
        <v>5100</v>
      </c>
      <c r="E10" s="991">
        <v>1100</v>
      </c>
      <c r="F10" s="991">
        <v>5611</v>
      </c>
      <c r="G10" s="992">
        <f>I10*1.03</f>
        <v>78410.325899999996</v>
      </c>
      <c r="H10" s="947"/>
      <c r="I10" s="992">
        <v>76126.53</v>
      </c>
    </row>
    <row r="11" spans="1:9">
      <c r="A11" s="343">
        <f>+A10+1</f>
        <v>2</v>
      </c>
      <c r="B11" s="993" t="str">
        <f>$B$10</f>
        <v>Budget 2015</v>
      </c>
      <c r="C11" s="994" t="s">
        <v>443</v>
      </c>
      <c r="D11" s="995">
        <v>5101</v>
      </c>
      <c r="E11" s="995">
        <v>2500</v>
      </c>
      <c r="F11" s="995">
        <v>5611</v>
      </c>
      <c r="G11" s="996">
        <f>I11*1.03</f>
        <v>1854</v>
      </c>
      <c r="H11" s="947"/>
      <c r="I11" s="996">
        <v>1800</v>
      </c>
    </row>
    <row r="12" spans="1:9">
      <c r="A12" s="343">
        <f t="shared" ref="A12:A13" si="0">+A11+1</f>
        <v>3</v>
      </c>
      <c r="B12" s="993" t="str">
        <f>$B$10</f>
        <v>Budget 2015</v>
      </c>
      <c r="C12" s="994" t="s">
        <v>443</v>
      </c>
      <c r="D12" s="995">
        <v>5101</v>
      </c>
      <c r="E12" s="995">
        <v>2600</v>
      </c>
      <c r="F12" s="995">
        <v>5611</v>
      </c>
      <c r="G12" s="996">
        <f t="shared" ref="G12:G13" si="1">I12*1.03</f>
        <v>185.4</v>
      </c>
      <c r="H12" s="947"/>
      <c r="I12" s="996">
        <v>180</v>
      </c>
    </row>
    <row r="13" spans="1:9">
      <c r="A13" s="343">
        <f t="shared" si="0"/>
        <v>4</v>
      </c>
      <c r="B13" s="993" t="str">
        <f>$B$10</f>
        <v>Budget 2015</v>
      </c>
      <c r="C13" s="994" t="s">
        <v>443</v>
      </c>
      <c r="D13" s="995">
        <v>5103</v>
      </c>
      <c r="E13" s="994" t="s">
        <v>394</v>
      </c>
      <c r="F13" s="995">
        <v>5611</v>
      </c>
      <c r="G13" s="996">
        <f t="shared" si="1"/>
        <v>2224.8000000000002</v>
      </c>
      <c r="H13" s="947"/>
      <c r="I13" s="997">
        <v>2160</v>
      </c>
    </row>
    <row r="14" spans="1:9">
      <c r="A14" s="343">
        <f t="shared" ref="A14:A61" si="2">+A13+1</f>
        <v>5</v>
      </c>
      <c r="B14" s="993"/>
      <c r="C14" s="995"/>
      <c r="D14" s="995"/>
      <c r="E14" s="995"/>
      <c r="F14" s="995"/>
      <c r="G14" s="998">
        <f>+SUM(G10:G13)</f>
        <v>82674.525899999993</v>
      </c>
      <c r="H14" s="947"/>
      <c r="I14" s="996">
        <f>+SUM(I10:I13)</f>
        <v>80266.53</v>
      </c>
    </row>
    <row r="15" spans="1:9">
      <c r="A15" s="343">
        <f t="shared" si="2"/>
        <v>6</v>
      </c>
      <c r="B15" s="993"/>
      <c r="C15" s="995"/>
      <c r="D15" s="995"/>
      <c r="E15" s="995"/>
      <c r="F15" s="995"/>
      <c r="G15" s="996"/>
      <c r="H15" s="947"/>
      <c r="I15" s="996"/>
    </row>
    <row r="16" spans="1:9">
      <c r="A16" s="343">
        <f t="shared" si="2"/>
        <v>7</v>
      </c>
      <c r="B16" s="993" t="str">
        <f t="shared" ref="B16:B32" si="3">$B$10</f>
        <v>Budget 2015</v>
      </c>
      <c r="C16" s="994" t="s">
        <v>528</v>
      </c>
      <c r="D16" s="995">
        <v>5100</v>
      </c>
      <c r="E16" s="995">
        <v>1100</v>
      </c>
      <c r="F16" s="995">
        <v>5612</v>
      </c>
      <c r="G16" s="996">
        <f t="shared" ref="G16:G23" si="4">I16*1.03</f>
        <v>675.16499999999996</v>
      </c>
      <c r="H16" s="947"/>
      <c r="I16" s="996">
        <v>655.5</v>
      </c>
    </row>
    <row r="17" spans="1:9">
      <c r="A17" s="343">
        <f t="shared" si="2"/>
        <v>8</v>
      </c>
      <c r="B17" s="993" t="str">
        <f t="shared" si="3"/>
        <v>Budget 2015</v>
      </c>
      <c r="C17" s="994" t="s">
        <v>443</v>
      </c>
      <c r="D17" s="995">
        <v>5100</v>
      </c>
      <c r="E17" s="995">
        <v>1120</v>
      </c>
      <c r="F17" s="995">
        <v>5612</v>
      </c>
      <c r="G17" s="996">
        <f t="shared" si="4"/>
        <v>9271.7716</v>
      </c>
      <c r="H17" s="947"/>
      <c r="I17" s="996">
        <v>9001.7199999999993</v>
      </c>
    </row>
    <row r="18" spans="1:9">
      <c r="A18" s="343">
        <f t="shared" si="2"/>
        <v>9</v>
      </c>
      <c r="B18" s="993" t="str">
        <f t="shared" si="3"/>
        <v>Budget 2015</v>
      </c>
      <c r="C18" s="995" t="s">
        <v>443</v>
      </c>
      <c r="D18" s="995">
        <v>5100</v>
      </c>
      <c r="E18" s="995">
        <v>1100</v>
      </c>
      <c r="F18" s="995">
        <v>5612</v>
      </c>
      <c r="G18" s="996">
        <f>I18*1.03-67181</f>
        <v>2583028.5185000002</v>
      </c>
      <c r="H18" s="947"/>
      <c r="I18" s="999">
        <v>2573018.9500000002</v>
      </c>
    </row>
    <row r="19" spans="1:9">
      <c r="A19" s="343">
        <f t="shared" si="2"/>
        <v>10</v>
      </c>
      <c r="B19" s="993" t="str">
        <f t="shared" si="3"/>
        <v>Budget 2015</v>
      </c>
      <c r="C19" s="994" t="s">
        <v>444</v>
      </c>
      <c r="D19" s="995">
        <v>5100</v>
      </c>
      <c r="E19" s="995">
        <v>1100</v>
      </c>
      <c r="F19" s="995">
        <v>5612</v>
      </c>
      <c r="G19" s="996">
        <f t="shared" si="4"/>
        <v>3655.4906000000001</v>
      </c>
      <c r="H19" s="947"/>
      <c r="I19" s="999">
        <v>3549.02</v>
      </c>
    </row>
    <row r="20" spans="1:9">
      <c r="A20" s="343">
        <f t="shared" si="2"/>
        <v>11</v>
      </c>
      <c r="B20" s="993" t="str">
        <f t="shared" si="3"/>
        <v>Budget 2015</v>
      </c>
      <c r="C20" s="995">
        <v>1690</v>
      </c>
      <c r="D20" s="995">
        <v>5100</v>
      </c>
      <c r="E20" s="995">
        <v>1100</v>
      </c>
      <c r="F20" s="995">
        <v>5612</v>
      </c>
      <c r="G20" s="996">
        <f t="shared" si="4"/>
        <v>9407.947900000001</v>
      </c>
      <c r="H20" s="947"/>
      <c r="I20" s="999">
        <v>9133.93</v>
      </c>
    </row>
    <row r="21" spans="1:9">
      <c r="A21" s="343">
        <f t="shared" si="2"/>
        <v>12</v>
      </c>
      <c r="B21" s="993" t="str">
        <f t="shared" si="3"/>
        <v>Budget 2015</v>
      </c>
      <c r="C21" s="994" t="s">
        <v>443</v>
      </c>
      <c r="D21" s="995">
        <v>5101</v>
      </c>
      <c r="E21" s="995">
        <v>2500</v>
      </c>
      <c r="F21" s="995">
        <v>5612</v>
      </c>
      <c r="G21" s="996">
        <f t="shared" si="4"/>
        <v>12360</v>
      </c>
      <c r="H21" s="947"/>
      <c r="I21" s="999">
        <v>12000</v>
      </c>
    </row>
    <row r="22" spans="1:9">
      <c r="A22" s="361">
        <f t="shared" si="2"/>
        <v>13</v>
      </c>
      <c r="B22" s="993" t="str">
        <f t="shared" si="3"/>
        <v>Budget 2015</v>
      </c>
      <c r="C22" s="995" t="s">
        <v>443</v>
      </c>
      <c r="D22" s="995">
        <v>5101</v>
      </c>
      <c r="E22" s="995">
        <v>2600</v>
      </c>
      <c r="F22" s="995">
        <v>5612</v>
      </c>
      <c r="G22" s="996">
        <f t="shared" si="4"/>
        <v>18540</v>
      </c>
      <c r="H22" s="947"/>
      <c r="I22" s="999">
        <v>18000</v>
      </c>
    </row>
    <row r="23" spans="1:9">
      <c r="A23" s="361">
        <f t="shared" si="2"/>
        <v>14</v>
      </c>
      <c r="B23" s="993" t="str">
        <f t="shared" si="3"/>
        <v>Budget 2015</v>
      </c>
      <c r="C23" s="994" t="s">
        <v>443</v>
      </c>
      <c r="D23" s="995">
        <v>5101</v>
      </c>
      <c r="E23" s="995">
        <v>2700</v>
      </c>
      <c r="F23" s="995">
        <v>5612</v>
      </c>
      <c r="G23" s="996">
        <f t="shared" si="4"/>
        <v>370.8</v>
      </c>
      <c r="H23" s="947"/>
      <c r="I23" s="999">
        <v>360</v>
      </c>
    </row>
    <row r="24" spans="1:9">
      <c r="A24" s="361">
        <f t="shared" si="2"/>
        <v>15</v>
      </c>
      <c r="B24" s="993" t="str">
        <f t="shared" si="3"/>
        <v>Budget 2015</v>
      </c>
      <c r="C24" s="995" t="s">
        <v>443</v>
      </c>
      <c r="D24" s="995">
        <v>5102</v>
      </c>
      <c r="E24" s="994" t="s">
        <v>394</v>
      </c>
      <c r="F24" s="995">
        <v>5612</v>
      </c>
      <c r="G24" s="996">
        <f t="shared" ref="G24:G32" si="5">I24*1.03</f>
        <v>28428</v>
      </c>
      <c r="H24" s="947"/>
      <c r="I24" s="999">
        <v>27600</v>
      </c>
    </row>
    <row r="25" spans="1:9">
      <c r="A25" s="361">
        <f t="shared" si="2"/>
        <v>16</v>
      </c>
      <c r="B25" s="993" t="str">
        <f t="shared" si="3"/>
        <v>Budget 2015</v>
      </c>
      <c r="C25" s="994" t="s">
        <v>443</v>
      </c>
      <c r="D25" s="995">
        <v>5103</v>
      </c>
      <c r="E25" s="994" t="s">
        <v>394</v>
      </c>
      <c r="F25" s="995">
        <v>5612</v>
      </c>
      <c r="G25" s="996">
        <f t="shared" si="5"/>
        <v>11124</v>
      </c>
      <c r="H25" s="947"/>
      <c r="I25" s="999">
        <v>10800</v>
      </c>
    </row>
    <row r="26" spans="1:9">
      <c r="A26" s="361">
        <f t="shared" si="2"/>
        <v>17</v>
      </c>
      <c r="B26" s="993" t="str">
        <f t="shared" si="3"/>
        <v>Budget 2015</v>
      </c>
      <c r="C26" s="995" t="s">
        <v>443</v>
      </c>
      <c r="D26" s="995">
        <v>5105</v>
      </c>
      <c r="E26" s="994" t="s">
        <v>394</v>
      </c>
      <c r="F26" s="995">
        <v>5612</v>
      </c>
      <c r="G26" s="996">
        <f t="shared" si="5"/>
        <v>13596</v>
      </c>
      <c r="H26" s="947"/>
      <c r="I26" s="999">
        <v>13200</v>
      </c>
    </row>
    <row r="27" spans="1:9">
      <c r="A27" s="361">
        <f t="shared" si="2"/>
        <v>18</v>
      </c>
      <c r="B27" s="993" t="str">
        <f t="shared" si="3"/>
        <v>Budget 2015</v>
      </c>
      <c r="C27" s="994" t="s">
        <v>443</v>
      </c>
      <c r="D27" s="995">
        <v>5106</v>
      </c>
      <c r="E27" s="995">
        <v>4000</v>
      </c>
      <c r="F27" s="995">
        <v>5612</v>
      </c>
      <c r="G27" s="996">
        <f t="shared" si="5"/>
        <v>247.20000000000002</v>
      </c>
      <c r="H27" s="947"/>
      <c r="I27" s="999">
        <v>240</v>
      </c>
    </row>
    <row r="28" spans="1:9">
      <c r="A28" s="361">
        <f t="shared" si="2"/>
        <v>19</v>
      </c>
      <c r="B28" s="993" t="str">
        <f t="shared" si="3"/>
        <v>Budget 2015</v>
      </c>
      <c r="C28" s="995" t="s">
        <v>443</v>
      </c>
      <c r="D28" s="995">
        <v>5107</v>
      </c>
      <c r="E28" s="994" t="s">
        <v>394</v>
      </c>
      <c r="F28" s="995">
        <v>5612</v>
      </c>
      <c r="G28" s="996">
        <f t="shared" si="5"/>
        <v>6180</v>
      </c>
      <c r="H28" s="947"/>
      <c r="I28" s="999">
        <v>6000</v>
      </c>
    </row>
    <row r="29" spans="1:9">
      <c r="A29" s="361">
        <f t="shared" si="2"/>
        <v>20</v>
      </c>
      <c r="B29" s="993" t="str">
        <f t="shared" si="3"/>
        <v>Budget 2015</v>
      </c>
      <c r="C29" s="994" t="s">
        <v>443</v>
      </c>
      <c r="D29" s="995">
        <v>5109</v>
      </c>
      <c r="E29" s="994" t="s">
        <v>394</v>
      </c>
      <c r="F29" s="995">
        <v>5612</v>
      </c>
      <c r="G29" s="996">
        <f t="shared" si="5"/>
        <v>-318875.64</v>
      </c>
      <c r="H29" s="947"/>
      <c r="I29" s="999">
        <v>-309588</v>
      </c>
    </row>
    <row r="30" spans="1:9">
      <c r="A30" s="361">
        <f t="shared" si="2"/>
        <v>21</v>
      </c>
      <c r="B30" s="993" t="str">
        <f t="shared" si="3"/>
        <v>Budget 2015</v>
      </c>
      <c r="C30" s="995" t="s">
        <v>443</v>
      </c>
      <c r="D30" s="995">
        <v>5110</v>
      </c>
      <c r="E30" s="995">
        <v>1000</v>
      </c>
      <c r="F30" s="995">
        <v>5612</v>
      </c>
      <c r="G30" s="996">
        <f t="shared" si="5"/>
        <v>51500</v>
      </c>
      <c r="H30" s="947"/>
      <c r="I30" s="999">
        <v>50000</v>
      </c>
    </row>
    <row r="31" spans="1:9">
      <c r="A31" s="361">
        <f t="shared" si="2"/>
        <v>22</v>
      </c>
      <c r="B31" s="993" t="str">
        <f t="shared" si="3"/>
        <v>Budget 2015</v>
      </c>
      <c r="C31" s="995" t="s">
        <v>443</v>
      </c>
      <c r="D31" s="995">
        <v>5116</v>
      </c>
      <c r="E31" s="994" t="s">
        <v>394</v>
      </c>
      <c r="F31" s="995">
        <v>5612</v>
      </c>
      <c r="G31" s="996">
        <f t="shared" si="5"/>
        <v>14832</v>
      </c>
      <c r="H31" s="947"/>
      <c r="I31" s="999">
        <v>14400</v>
      </c>
    </row>
    <row r="32" spans="1:9">
      <c r="A32" s="361">
        <f t="shared" si="2"/>
        <v>23</v>
      </c>
      <c r="B32" s="993" t="str">
        <f t="shared" si="3"/>
        <v>Budget 2015</v>
      </c>
      <c r="C32" s="994" t="s">
        <v>443</v>
      </c>
      <c r="D32" s="995">
        <v>5240</v>
      </c>
      <c r="E32" s="995">
        <v>3000</v>
      </c>
      <c r="F32" s="995">
        <v>5612</v>
      </c>
      <c r="G32" s="996">
        <f t="shared" si="5"/>
        <v>1236</v>
      </c>
      <c r="H32" s="947"/>
      <c r="I32" s="999">
        <v>1200</v>
      </c>
    </row>
    <row r="33" spans="1:9">
      <c r="A33" s="343">
        <f t="shared" si="2"/>
        <v>24</v>
      </c>
      <c r="G33" s="377">
        <f>+SUM(G16:G32)</f>
        <v>2445577.2536000004</v>
      </c>
      <c r="H33" s="947"/>
      <c r="I33" s="377">
        <f>+SUM(I16:I32)</f>
        <v>2439571.1200000006</v>
      </c>
    </row>
    <row r="34" spans="1:9">
      <c r="A34" s="343">
        <f t="shared" si="2"/>
        <v>25</v>
      </c>
      <c r="G34" s="381"/>
      <c r="H34" s="947"/>
      <c r="I34" s="381"/>
    </row>
    <row r="35" spans="1:9">
      <c r="A35" s="343">
        <f t="shared" si="2"/>
        <v>26</v>
      </c>
      <c r="B35" s="993" t="str">
        <f>$B$10</f>
        <v>Budget 2015</v>
      </c>
      <c r="C35" s="995" t="s">
        <v>450</v>
      </c>
      <c r="D35" s="995" t="s">
        <v>386</v>
      </c>
      <c r="E35" s="995" t="s">
        <v>387</v>
      </c>
      <c r="F35" s="995" t="s">
        <v>451</v>
      </c>
      <c r="G35" s="999">
        <f>I35*1.03</f>
        <v>491427.03890000004</v>
      </c>
      <c r="H35" s="947"/>
      <c r="I35" s="999">
        <v>477113.63</v>
      </c>
    </row>
    <row r="36" spans="1:9">
      <c r="A36" s="343">
        <f t="shared" si="2"/>
        <v>27</v>
      </c>
      <c r="B36" s="993" t="str">
        <f t="shared" ref="B36:B39" si="6">$B$10</f>
        <v>Budget 2015</v>
      </c>
      <c r="C36" s="994" t="s">
        <v>452</v>
      </c>
      <c r="D36" s="995" t="s">
        <v>386</v>
      </c>
      <c r="E36" s="995" t="s">
        <v>387</v>
      </c>
      <c r="F36" s="995" t="s">
        <v>451</v>
      </c>
      <c r="G36" s="999">
        <f t="shared" ref="G36:G52" si="7">I36*1.03</f>
        <v>103898.4587</v>
      </c>
      <c r="H36" s="947"/>
      <c r="I36" s="999">
        <v>100872.29</v>
      </c>
    </row>
    <row r="37" spans="1:9">
      <c r="A37" s="343">
        <f t="shared" si="2"/>
        <v>28</v>
      </c>
      <c r="B37" s="993" t="str">
        <f t="shared" si="6"/>
        <v>Budget 2015</v>
      </c>
      <c r="C37" s="994" t="s">
        <v>444</v>
      </c>
      <c r="D37" s="995" t="s">
        <v>386</v>
      </c>
      <c r="E37" s="995" t="s">
        <v>387</v>
      </c>
      <c r="F37" s="995" t="s">
        <v>451</v>
      </c>
      <c r="G37" s="999">
        <f t="shared" si="7"/>
        <v>7825.1571999999996</v>
      </c>
      <c r="H37" s="947"/>
      <c r="I37" s="999">
        <v>7597.24</v>
      </c>
    </row>
    <row r="38" spans="1:9">
      <c r="A38" s="343">
        <f t="shared" si="2"/>
        <v>29</v>
      </c>
      <c r="B38" s="993" t="str">
        <f t="shared" si="6"/>
        <v>Budget 2015</v>
      </c>
      <c r="C38" s="994" t="s">
        <v>529</v>
      </c>
      <c r="D38" s="995" t="s">
        <v>386</v>
      </c>
      <c r="E38" s="995" t="s">
        <v>387</v>
      </c>
      <c r="F38" s="995" t="s">
        <v>451</v>
      </c>
      <c r="G38" s="999">
        <f t="shared" si="7"/>
        <v>16101.99</v>
      </c>
      <c r="H38" s="947"/>
      <c r="I38" s="999">
        <v>15633</v>
      </c>
    </row>
    <row r="39" spans="1:9" s="642" customFormat="1">
      <c r="A39" s="343">
        <f t="shared" si="2"/>
        <v>30</v>
      </c>
      <c r="B39" s="993" t="str">
        <f t="shared" si="6"/>
        <v>Budget 2015</v>
      </c>
      <c r="C39" s="994" t="s">
        <v>388</v>
      </c>
      <c r="D39" s="995" t="s">
        <v>386</v>
      </c>
      <c r="E39" s="995" t="s">
        <v>387</v>
      </c>
      <c r="F39" s="995" t="s">
        <v>451</v>
      </c>
      <c r="G39" s="999">
        <f t="shared" si="7"/>
        <v>2663.9096000000004</v>
      </c>
      <c r="H39" s="947"/>
      <c r="I39" s="999">
        <v>2586.3200000000002</v>
      </c>
    </row>
    <row r="40" spans="1:9">
      <c r="A40" s="343">
        <f t="shared" si="2"/>
        <v>31</v>
      </c>
      <c r="B40" s="993" t="str">
        <f>$B$10</f>
        <v>Budget 2015</v>
      </c>
      <c r="C40" s="995" t="s">
        <v>450</v>
      </c>
      <c r="D40" s="995">
        <v>5101</v>
      </c>
      <c r="E40" s="995">
        <v>2500</v>
      </c>
      <c r="F40" s="995" t="s">
        <v>451</v>
      </c>
      <c r="G40" s="999">
        <f t="shared" si="7"/>
        <v>975.66750000000002</v>
      </c>
      <c r="H40" s="947"/>
      <c r="I40" s="999">
        <v>947.25</v>
      </c>
    </row>
    <row r="41" spans="1:9">
      <c r="A41" s="343">
        <f t="shared" si="2"/>
        <v>32</v>
      </c>
      <c r="B41" s="993" t="str">
        <f t="shared" ref="B41:B49" si="8">$B$10</f>
        <v>Budget 2015</v>
      </c>
      <c r="C41" s="994" t="s">
        <v>444</v>
      </c>
      <c r="D41" s="995">
        <v>5101</v>
      </c>
      <c r="E41" s="995">
        <v>2500</v>
      </c>
      <c r="F41" s="995" t="s">
        <v>451</v>
      </c>
      <c r="G41" s="999">
        <f t="shared" si="7"/>
        <v>383.66470000000004</v>
      </c>
      <c r="H41" s="947"/>
      <c r="I41" s="999">
        <v>372.49</v>
      </c>
    </row>
    <row r="42" spans="1:9">
      <c r="A42" s="343">
        <f t="shared" si="2"/>
        <v>33</v>
      </c>
      <c r="B42" s="993" t="str">
        <f t="shared" si="8"/>
        <v>Budget 2015</v>
      </c>
      <c r="C42" s="994" t="s">
        <v>529</v>
      </c>
      <c r="D42" s="995">
        <v>5101</v>
      </c>
      <c r="E42" s="995">
        <v>2500</v>
      </c>
      <c r="F42" s="995" t="s">
        <v>451</v>
      </c>
      <c r="G42" s="999">
        <f t="shared" si="7"/>
        <v>77.25</v>
      </c>
      <c r="H42" s="947"/>
      <c r="I42" s="999">
        <v>75</v>
      </c>
    </row>
    <row r="43" spans="1:9" s="642" customFormat="1">
      <c r="A43" s="343">
        <f t="shared" si="2"/>
        <v>34</v>
      </c>
      <c r="B43" s="993" t="str">
        <f t="shared" si="8"/>
        <v>Budget 2015</v>
      </c>
      <c r="C43" s="994" t="s">
        <v>450</v>
      </c>
      <c r="D43" s="995">
        <v>5101</v>
      </c>
      <c r="E43" s="995">
        <v>2600</v>
      </c>
      <c r="F43" s="995">
        <v>5615</v>
      </c>
      <c r="G43" s="999">
        <f t="shared" si="7"/>
        <v>111.54900000000001</v>
      </c>
      <c r="H43" s="947"/>
      <c r="I43" s="999">
        <v>108.3</v>
      </c>
    </row>
    <row r="44" spans="1:9">
      <c r="A44" s="343">
        <f t="shared" si="2"/>
        <v>35</v>
      </c>
      <c r="B44" s="993" t="str">
        <f t="shared" si="8"/>
        <v>Budget 2015</v>
      </c>
      <c r="C44" s="994" t="s">
        <v>444</v>
      </c>
      <c r="D44" s="995">
        <v>5101</v>
      </c>
      <c r="E44" s="995">
        <v>2600</v>
      </c>
      <c r="F44" s="995" t="s">
        <v>451</v>
      </c>
      <c r="G44" s="999">
        <f t="shared" si="7"/>
        <v>91.721500000000006</v>
      </c>
      <c r="H44" s="947"/>
      <c r="I44" s="999">
        <v>89.05</v>
      </c>
    </row>
    <row r="45" spans="1:9">
      <c r="A45" s="343">
        <f t="shared" si="2"/>
        <v>36</v>
      </c>
      <c r="B45" s="993" t="str">
        <f t="shared" si="8"/>
        <v>Budget 2015</v>
      </c>
      <c r="C45" s="994" t="s">
        <v>529</v>
      </c>
      <c r="D45" s="995">
        <v>5101</v>
      </c>
      <c r="E45" s="995">
        <v>2600</v>
      </c>
      <c r="F45" s="995" t="s">
        <v>451</v>
      </c>
      <c r="G45" s="999">
        <f t="shared" si="7"/>
        <v>61.5837</v>
      </c>
      <c r="H45" s="947"/>
      <c r="I45" s="999">
        <v>59.79</v>
      </c>
    </row>
    <row r="46" spans="1:9">
      <c r="A46" s="343">
        <f t="shared" si="2"/>
        <v>37</v>
      </c>
      <c r="B46" s="993" t="str">
        <f t="shared" si="8"/>
        <v>Budget 2015</v>
      </c>
      <c r="C46" s="994" t="s">
        <v>444</v>
      </c>
      <c r="D46" s="995">
        <v>5102</v>
      </c>
      <c r="E46" s="994" t="s">
        <v>394</v>
      </c>
      <c r="F46" s="995" t="s">
        <v>451</v>
      </c>
      <c r="G46" s="999">
        <f t="shared" si="7"/>
        <v>2106.2264</v>
      </c>
      <c r="H46" s="947"/>
      <c r="I46" s="999">
        <v>2044.88</v>
      </c>
    </row>
    <row r="47" spans="1:9" s="642" customFormat="1">
      <c r="A47" s="343">
        <f t="shared" si="2"/>
        <v>38</v>
      </c>
      <c r="B47" s="993" t="str">
        <f t="shared" si="8"/>
        <v>Budget 2015</v>
      </c>
      <c r="C47" s="994" t="s">
        <v>450</v>
      </c>
      <c r="D47" s="995">
        <v>5102</v>
      </c>
      <c r="E47" s="994" t="s">
        <v>394</v>
      </c>
      <c r="F47" s="995" t="s">
        <v>451</v>
      </c>
      <c r="G47" s="999">
        <f t="shared" si="7"/>
        <v>83.481499999999997</v>
      </c>
      <c r="H47" s="947"/>
      <c r="I47" s="999">
        <v>81.05</v>
      </c>
    </row>
    <row r="48" spans="1:9">
      <c r="A48" s="343">
        <f t="shared" si="2"/>
        <v>39</v>
      </c>
      <c r="B48" s="993" t="str">
        <f t="shared" si="8"/>
        <v>Budget 2015</v>
      </c>
      <c r="C48" s="994" t="s">
        <v>444</v>
      </c>
      <c r="D48" s="995">
        <v>5103</v>
      </c>
      <c r="E48" s="994" t="s">
        <v>394</v>
      </c>
      <c r="F48" s="995" t="s">
        <v>451</v>
      </c>
      <c r="G48" s="999">
        <f t="shared" si="7"/>
        <v>12.669</v>
      </c>
      <c r="H48" s="947"/>
      <c r="I48" s="999">
        <v>12.3</v>
      </c>
    </row>
    <row r="49" spans="1:15">
      <c r="A49" s="343">
        <f t="shared" si="2"/>
        <v>40</v>
      </c>
      <c r="B49" s="993" t="str">
        <f t="shared" si="8"/>
        <v>Budget 2015</v>
      </c>
      <c r="C49" s="994" t="s">
        <v>529</v>
      </c>
      <c r="D49" s="995">
        <v>5103</v>
      </c>
      <c r="E49" s="994" t="s">
        <v>394</v>
      </c>
      <c r="F49" s="995" t="s">
        <v>451</v>
      </c>
      <c r="G49" s="999">
        <f t="shared" si="7"/>
        <v>0</v>
      </c>
      <c r="H49" s="947"/>
      <c r="I49" s="999">
        <v>0</v>
      </c>
    </row>
    <row r="50" spans="1:15">
      <c r="A50" s="343">
        <f t="shared" si="2"/>
        <v>41</v>
      </c>
      <c r="B50" s="993" t="str">
        <f>$B$10</f>
        <v>Budget 2015</v>
      </c>
      <c r="C50" s="995" t="s">
        <v>450</v>
      </c>
      <c r="D50" s="995">
        <v>5105</v>
      </c>
      <c r="E50" s="994" t="s">
        <v>394</v>
      </c>
      <c r="F50" s="995" t="s">
        <v>451</v>
      </c>
      <c r="G50" s="999">
        <f t="shared" si="7"/>
        <v>2413.1046000000001</v>
      </c>
      <c r="H50" s="947"/>
      <c r="I50" s="999">
        <v>2342.8200000000002</v>
      </c>
    </row>
    <row r="51" spans="1:15">
      <c r="A51" s="343">
        <f t="shared" si="2"/>
        <v>42</v>
      </c>
      <c r="B51" s="993" t="str">
        <f>$B$10</f>
        <v>Budget 2015</v>
      </c>
      <c r="C51" s="994" t="s">
        <v>444</v>
      </c>
      <c r="D51" s="995">
        <v>5110</v>
      </c>
      <c r="E51" s="995">
        <v>2000</v>
      </c>
      <c r="F51" s="995" t="s">
        <v>451</v>
      </c>
      <c r="G51" s="999">
        <f t="shared" si="7"/>
        <v>5943.8725000000004</v>
      </c>
      <c r="H51" s="947"/>
      <c r="I51" s="999">
        <v>5770.75</v>
      </c>
    </row>
    <row r="52" spans="1:15">
      <c r="A52" s="343">
        <f t="shared" si="2"/>
        <v>43</v>
      </c>
      <c r="B52" s="993" t="str">
        <f>$B$10</f>
        <v>Budget 2015</v>
      </c>
      <c r="C52" s="995" t="s">
        <v>444</v>
      </c>
      <c r="D52" s="995">
        <v>5116</v>
      </c>
      <c r="E52" s="994" t="s">
        <v>394</v>
      </c>
      <c r="F52" s="995" t="s">
        <v>451</v>
      </c>
      <c r="G52" s="999">
        <f t="shared" si="7"/>
        <v>45.2273</v>
      </c>
      <c r="H52" s="947"/>
      <c r="I52" s="1000">
        <v>43.91</v>
      </c>
    </row>
    <row r="53" spans="1:15">
      <c r="A53" s="343">
        <f t="shared" si="2"/>
        <v>44</v>
      </c>
      <c r="G53" s="377">
        <f>+SUM(G35:G52)</f>
        <v>634222.57209999999</v>
      </c>
      <c r="H53" s="947"/>
      <c r="I53" s="377">
        <f>+SUM(I35:I52)</f>
        <v>615750.07000000018</v>
      </c>
    </row>
    <row r="54" spans="1:15">
      <c r="A54" s="343">
        <f t="shared" si="2"/>
        <v>45</v>
      </c>
      <c r="G54" s="381"/>
      <c r="H54" s="947"/>
      <c r="I54" s="381"/>
    </row>
    <row r="55" spans="1:15">
      <c r="A55" s="343">
        <f t="shared" si="2"/>
        <v>46</v>
      </c>
      <c r="B55" s="993" t="str">
        <f>$B$10</f>
        <v>Budget 2015</v>
      </c>
      <c r="C55" s="994" t="s">
        <v>444</v>
      </c>
      <c r="D55" s="995">
        <v>5100</v>
      </c>
      <c r="E55" s="995">
        <v>1100</v>
      </c>
      <c r="F55" s="995">
        <v>5616</v>
      </c>
      <c r="G55" s="999">
        <f>I55*1.03</f>
        <v>332.59730000000002</v>
      </c>
      <c r="H55" s="947"/>
      <c r="I55" s="999">
        <v>322.91000000000003</v>
      </c>
    </row>
    <row r="56" spans="1:15">
      <c r="A56" s="343">
        <f t="shared" si="2"/>
        <v>47</v>
      </c>
      <c r="G56" s="381"/>
      <c r="H56" s="947"/>
      <c r="I56" s="381"/>
    </row>
    <row r="57" spans="1:15" ht="15" customHeight="1">
      <c r="A57" s="343">
        <f t="shared" si="2"/>
        <v>48</v>
      </c>
      <c r="B57" s="366"/>
      <c r="E57" s="408"/>
      <c r="F57" s="408" t="s">
        <v>453</v>
      </c>
      <c r="G57" s="670">
        <f>+G14+G33+G53+G55</f>
        <v>3162806.9489000002</v>
      </c>
      <c r="H57" s="947"/>
      <c r="I57" s="377">
        <f>+I14+I33+I53+I55</f>
        <v>3135910.6300000008</v>
      </c>
      <c r="J57" s="939"/>
      <c r="K57" s="939"/>
      <c r="L57" s="939"/>
      <c r="M57" s="939"/>
      <c r="N57" s="939"/>
      <c r="O57" s="939"/>
    </row>
    <row r="58" spans="1:15">
      <c r="A58" s="343">
        <f t="shared" si="2"/>
        <v>49</v>
      </c>
      <c r="G58" s="381"/>
      <c r="H58" s="947"/>
      <c r="I58" s="381"/>
    </row>
    <row r="59" spans="1:15" ht="15" customHeight="1">
      <c r="A59" s="343">
        <f t="shared" si="2"/>
        <v>50</v>
      </c>
      <c r="D59" s="408"/>
      <c r="E59" s="408"/>
      <c r="F59" s="408" t="s">
        <v>692</v>
      </c>
      <c r="G59" s="369">
        <f>(G53+G55)</f>
        <v>634555.16940000001</v>
      </c>
      <c r="H59" s="950" t="s">
        <v>368</v>
      </c>
      <c r="I59" s="369">
        <f>(I53)</f>
        <v>615750.07000000018</v>
      </c>
    </row>
    <row r="60" spans="1:15">
      <c r="A60" s="343">
        <f t="shared" si="2"/>
        <v>51</v>
      </c>
      <c r="G60" s="381"/>
      <c r="H60" s="947"/>
      <c r="I60" s="381"/>
    </row>
    <row r="61" spans="1:15" ht="13.5" thickBot="1">
      <c r="A61" s="343">
        <f t="shared" si="2"/>
        <v>52</v>
      </c>
      <c r="G61" s="387">
        <f>+G57-G59</f>
        <v>2528251.7795000002</v>
      </c>
      <c r="H61" s="947"/>
      <c r="I61" s="387">
        <f>+I57-I59</f>
        <v>2520160.5600000005</v>
      </c>
    </row>
    <row r="62" spans="1:15" ht="13.5" thickTop="1">
      <c r="A62" s="344"/>
      <c r="B62" s="367"/>
      <c r="C62" s="348"/>
      <c r="D62" s="348"/>
      <c r="E62" s="348"/>
      <c r="F62" s="348"/>
      <c r="G62" s="369"/>
    </row>
    <row r="63" spans="1:15">
      <c r="G63" s="373"/>
    </row>
    <row r="64" spans="1:15">
      <c r="B64" s="1112" t="s">
        <v>455</v>
      </c>
      <c r="C64" s="1112"/>
      <c r="D64" s="1112"/>
      <c r="E64" s="1112"/>
      <c r="F64" s="1112"/>
      <c r="G64" s="1112"/>
    </row>
    <row r="66" spans="2:7">
      <c r="B66" s="626" t="s">
        <v>519</v>
      </c>
    </row>
    <row r="67" spans="2:7" ht="27.75" customHeight="1">
      <c r="B67" s="1113" t="s">
        <v>690</v>
      </c>
      <c r="C67" s="1113"/>
      <c r="D67" s="1113"/>
      <c r="E67" s="1113"/>
      <c r="F67" s="1113"/>
      <c r="G67" s="1113"/>
    </row>
    <row r="69" spans="2:7">
      <c r="F69" s="667" t="s">
        <v>725</v>
      </c>
      <c r="G69" s="443">
        <f>'Page 9-11 - Funct'!D58</f>
        <v>3162806.9386376995</v>
      </c>
    </row>
    <row r="70" spans="2:7">
      <c r="F70" s="667" t="s">
        <v>726</v>
      </c>
      <c r="G70" s="917">
        <f>G57-G69</f>
        <v>1.0262300726026297E-2</v>
      </c>
    </row>
  </sheetData>
  <mergeCells count="5">
    <mergeCell ref="A2:G2"/>
    <mergeCell ref="A3:G3"/>
    <mergeCell ref="A4:G4"/>
    <mergeCell ref="B64:G64"/>
    <mergeCell ref="B67:G67"/>
  </mergeCells>
  <printOptions horizontalCentered="1"/>
  <pageMargins left="0.75" right="0.75" top="0.75" bottom="0.75" header="0.5" footer="0.5"/>
  <pageSetup scale="85" orientation="portrait" r:id="rId1"/>
  <headerFooter>
    <oddHeader>&amp;R&amp;"Arial,Regular"&amp;10Attachment O Work Paper
Page 16 of 20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M36"/>
  <sheetViews>
    <sheetView showGridLines="0" zoomScaleNormal="100" workbookViewId="0">
      <selection activeCell="O2" sqref="O2"/>
    </sheetView>
  </sheetViews>
  <sheetFormatPr defaultColWidth="27" defaultRowHeight="12.75"/>
  <cols>
    <col min="1" max="1" width="3.44140625" style="27" bestFit="1" customWidth="1"/>
    <col min="2" max="2" width="29.77734375" style="29" customWidth="1"/>
    <col min="3" max="3" width="14" style="29" hidden="1" customWidth="1"/>
    <col min="4" max="4" width="8.5546875" style="29" hidden="1" customWidth="1"/>
    <col min="5" max="6" width="13.77734375" style="29" customWidth="1"/>
    <col min="7" max="7" width="3.21875" style="29" customWidth="1"/>
    <col min="8" max="8" width="12.33203125" style="29" customWidth="1"/>
    <col min="9" max="9" width="11.5546875" style="29" customWidth="1"/>
    <col min="10" max="10" width="10" style="29" customWidth="1"/>
    <col min="11" max="254" width="8.5546875" style="29" customWidth="1"/>
    <col min="255" max="255" width="3.44140625" style="29" bestFit="1" customWidth="1"/>
    <col min="256" max="16384" width="27" style="29"/>
  </cols>
  <sheetData>
    <row r="1" spans="1:13">
      <c r="B1" s="28"/>
      <c r="F1" s="638"/>
    </row>
    <row r="2" spans="1:13">
      <c r="B2" s="104"/>
      <c r="F2" s="103"/>
    </row>
    <row r="3" spans="1:13" ht="12.75" customHeight="1">
      <c r="A3" s="1088" t="s">
        <v>0</v>
      </c>
      <c r="B3" s="1114"/>
      <c r="C3" s="1114"/>
      <c r="D3" s="1114"/>
      <c r="E3" s="1114"/>
      <c r="F3" s="1114"/>
      <c r="H3" s="1080"/>
    </row>
    <row r="4" spans="1:13" ht="12.75" customHeight="1">
      <c r="A4" s="1088" t="s">
        <v>64</v>
      </c>
      <c r="B4" s="1114"/>
      <c r="C4" s="1114"/>
      <c r="D4" s="1114"/>
      <c r="E4" s="1114"/>
      <c r="F4" s="1114"/>
    </row>
    <row r="5" spans="1:13" ht="12.75" customHeight="1">
      <c r="A5" s="1115" t="str">
        <f>'Page 9-11 - Funct'!A4:D4</f>
        <v>Budget Year 2015</v>
      </c>
      <c r="B5" s="1114"/>
      <c r="C5" s="1114"/>
      <c r="D5" s="1114"/>
      <c r="E5" s="1114"/>
      <c r="F5" s="1114"/>
      <c r="H5" s="638"/>
    </row>
    <row r="6" spans="1:13">
      <c r="C6" s="41"/>
      <c r="D6" s="41"/>
      <c r="E6" s="41"/>
      <c r="F6" s="41"/>
    </row>
    <row r="7" spans="1:13">
      <c r="B7" s="105" t="s">
        <v>1</v>
      </c>
      <c r="E7" s="27" t="s">
        <v>2</v>
      </c>
      <c r="F7" s="27" t="s">
        <v>3</v>
      </c>
      <c r="G7" s="106"/>
      <c r="H7" s="27"/>
      <c r="I7" s="27"/>
      <c r="J7" s="27"/>
    </row>
    <row r="9" spans="1:13" ht="12.75" customHeight="1">
      <c r="A9" s="35"/>
      <c r="B9" s="107"/>
      <c r="C9" s="1116" t="s">
        <v>71</v>
      </c>
      <c r="D9" s="1117"/>
      <c r="E9" s="1118" t="str">
        <f>'Page 16 - FERC Acct 561'!B10</f>
        <v>Budget 2015</v>
      </c>
      <c r="F9" s="1117"/>
    </row>
    <row r="10" spans="1:13" ht="25.5">
      <c r="A10" s="109" t="s">
        <v>38</v>
      </c>
      <c r="B10" s="110" t="s">
        <v>65</v>
      </c>
      <c r="C10" s="111" t="s">
        <v>66</v>
      </c>
      <c r="D10" s="111" t="s">
        <v>67</v>
      </c>
      <c r="E10" s="111" t="s">
        <v>66</v>
      </c>
      <c r="F10" s="111" t="s">
        <v>67</v>
      </c>
    </row>
    <row r="11" spans="1:13">
      <c r="A11" s="35"/>
      <c r="B11" s="112"/>
      <c r="C11" s="113"/>
      <c r="D11" s="113"/>
      <c r="E11" s="113"/>
      <c r="F11" s="108"/>
      <c r="G11" s="28" t="s">
        <v>68</v>
      </c>
    </row>
    <row r="12" spans="1:13">
      <c r="A12" s="37">
        <v>1</v>
      </c>
      <c r="B12" s="36" t="s">
        <v>11</v>
      </c>
      <c r="C12" s="114">
        <v>15642742.080000002</v>
      </c>
      <c r="D12" s="115">
        <f>1-SUM(D16:D23)</f>
        <v>0.38540000000000008</v>
      </c>
      <c r="E12" s="1001">
        <v>16933276.333570126</v>
      </c>
      <c r="F12" s="115">
        <f>1-SUM(F16:F22)</f>
        <v>0.3397</v>
      </c>
    </row>
    <row r="13" spans="1:13">
      <c r="A13" s="37">
        <f>A12+1</f>
        <v>2</v>
      </c>
      <c r="B13" s="661" t="s">
        <v>591</v>
      </c>
      <c r="C13" s="116"/>
      <c r="D13" s="117"/>
      <c r="E13" s="1001">
        <f>894080+173777</f>
        <v>1067857</v>
      </c>
      <c r="F13" s="115"/>
      <c r="H13" s="940"/>
      <c r="I13" s="41"/>
      <c r="J13" s="41"/>
      <c r="K13" s="41"/>
      <c r="L13" s="41"/>
      <c r="M13" s="918"/>
    </row>
    <row r="14" spans="1:13">
      <c r="A14" s="37">
        <f>A13+1</f>
        <v>3</v>
      </c>
      <c r="B14" s="130" t="s">
        <v>72</v>
      </c>
      <c r="C14" s="129">
        <f>+C12-C13</f>
        <v>15642742.080000002</v>
      </c>
      <c r="D14" s="127"/>
      <c r="E14" s="1002">
        <f>+E12-E13</f>
        <v>15865419.333570126</v>
      </c>
      <c r="F14" s="128"/>
    </row>
    <row r="15" spans="1:13">
      <c r="A15" s="37">
        <f>A14+1</f>
        <v>4</v>
      </c>
      <c r="B15" s="36"/>
      <c r="C15" s="116"/>
      <c r="D15" s="117"/>
      <c r="E15" s="1003"/>
      <c r="F15" s="115"/>
    </row>
    <row r="16" spans="1:13">
      <c r="A16" s="37">
        <f>A15+1</f>
        <v>5</v>
      </c>
      <c r="B16" s="36" t="s">
        <v>12</v>
      </c>
      <c r="C16" s="116">
        <v>5597348.9699999997</v>
      </c>
      <c r="D16" s="115">
        <f>ROUND(C16/C$25,4)</f>
        <v>0.13789999999999999</v>
      </c>
      <c r="E16" s="1004">
        <v>6831128.5720808934</v>
      </c>
      <c r="F16" s="115">
        <f>ROUND(E16/E$25,4)</f>
        <v>0.1462</v>
      </c>
    </row>
    <row r="17" spans="1:7">
      <c r="A17" s="37">
        <f t="shared" ref="A17:A25" si="0">A16+1</f>
        <v>6</v>
      </c>
      <c r="B17" s="36"/>
      <c r="C17" s="116"/>
      <c r="D17" s="117"/>
      <c r="E17" s="1005"/>
      <c r="F17" s="115"/>
    </row>
    <row r="18" spans="1:7">
      <c r="A18" s="37">
        <f t="shared" si="0"/>
        <v>7</v>
      </c>
      <c r="B18" s="36" t="s">
        <v>13</v>
      </c>
      <c r="C18" s="114">
        <v>9715532.8300000001</v>
      </c>
      <c r="D18" s="115">
        <f>ROUND(C18/C$25,4)</f>
        <v>0.2394</v>
      </c>
      <c r="E18" s="1004">
        <v>13277917.108456885</v>
      </c>
      <c r="F18" s="115">
        <f>ROUND(E18/E$25,4)</f>
        <v>0.28420000000000001</v>
      </c>
    </row>
    <row r="19" spans="1:7">
      <c r="A19" s="37">
        <f t="shared" si="0"/>
        <v>8</v>
      </c>
      <c r="B19" s="36"/>
      <c r="C19" s="116"/>
      <c r="D19" s="117"/>
      <c r="E19" s="1005"/>
      <c r="F19" s="115"/>
    </row>
    <row r="20" spans="1:7">
      <c r="A20" s="37">
        <f t="shared" si="0"/>
        <v>9</v>
      </c>
      <c r="B20" s="36" t="s">
        <v>351</v>
      </c>
      <c r="C20" s="116"/>
      <c r="D20" s="117"/>
      <c r="E20" s="1005"/>
      <c r="F20" s="115"/>
    </row>
    <row r="21" spans="1:7">
      <c r="A21" s="37">
        <f t="shared" si="0"/>
        <v>10</v>
      </c>
      <c r="B21" s="126" t="s">
        <v>69</v>
      </c>
      <c r="C21" s="114">
        <v>7086030.0099999998</v>
      </c>
      <c r="D21" s="115">
        <f>ROUND(C21/C$25,4)</f>
        <v>0.17460000000000001</v>
      </c>
      <c r="E21" s="1001">
        <v>8632401.4590478987</v>
      </c>
      <c r="F21" s="115">
        <f>ROUND(E21/E$25,4)</f>
        <v>0.18479999999999999</v>
      </c>
    </row>
    <row r="22" spans="1:7">
      <c r="A22" s="37">
        <f t="shared" si="0"/>
        <v>11</v>
      </c>
      <c r="B22" s="152" t="s">
        <v>70</v>
      </c>
      <c r="C22" s="150">
        <v>2545336.13</v>
      </c>
      <c r="D22" s="151">
        <f>ROUND(C22/C$25,4)</f>
        <v>6.2700000000000006E-2</v>
      </c>
      <c r="E22" s="1001">
        <v>2106134.1539243031</v>
      </c>
      <c r="F22" s="151">
        <f>ROUND(E22/E$25,4)</f>
        <v>4.5100000000000001E-2</v>
      </c>
    </row>
    <row r="23" spans="1:7">
      <c r="A23" s="37">
        <f t="shared" si="0"/>
        <v>12</v>
      </c>
      <c r="B23" s="36" t="s">
        <v>350</v>
      </c>
      <c r="C23" s="116"/>
      <c r="D23" s="117"/>
      <c r="E23" s="1006">
        <f>+E21+E22</f>
        <v>10738535.612972202</v>
      </c>
      <c r="F23" s="115">
        <f>ROUND(E23/E$25,4)</f>
        <v>0.22989999999999999</v>
      </c>
    </row>
    <row r="24" spans="1:7">
      <c r="A24" s="37">
        <f>A23+1</f>
        <v>13</v>
      </c>
      <c r="B24" s="36"/>
      <c r="C24" s="114"/>
      <c r="D24" s="115"/>
      <c r="E24" s="114"/>
      <c r="F24" s="117"/>
      <c r="G24" s="28" t="s">
        <v>68</v>
      </c>
    </row>
    <row r="25" spans="1:7" ht="13.5" thickBot="1">
      <c r="A25" s="37">
        <f t="shared" si="0"/>
        <v>14</v>
      </c>
      <c r="B25" s="36" t="s">
        <v>16</v>
      </c>
      <c r="C25" s="118">
        <f>SUM(C14:C23)</f>
        <v>40586990.020000003</v>
      </c>
      <c r="D25" s="119">
        <f>SUM(D12:D23)</f>
        <v>1.0000000000000002</v>
      </c>
      <c r="E25" s="149">
        <f>SUM(E14:E19)+E23</f>
        <v>46713000.627080105</v>
      </c>
      <c r="F25" s="119">
        <f>SUM(F12:F19)+F23</f>
        <v>1</v>
      </c>
    </row>
    <row r="26" spans="1:7" ht="13.5" thickTop="1">
      <c r="A26" s="120"/>
      <c r="B26" s="121"/>
      <c r="C26" s="123"/>
      <c r="D26" s="122"/>
      <c r="E26" s="123"/>
      <c r="F26" s="122"/>
    </row>
    <row r="27" spans="1:7">
      <c r="B27" s="39"/>
      <c r="C27" s="124"/>
      <c r="D27" s="124"/>
      <c r="E27" s="124"/>
      <c r="F27" s="124"/>
    </row>
    <row r="28" spans="1:7">
      <c r="C28" s="125"/>
      <c r="D28" s="125"/>
      <c r="E28" s="911"/>
      <c r="F28" s="125"/>
    </row>
    <row r="29" spans="1:7">
      <c r="B29" s="625" t="s">
        <v>519</v>
      </c>
      <c r="C29" s="125"/>
      <c r="D29" s="125"/>
      <c r="E29" s="125"/>
      <c r="F29" s="125"/>
    </row>
    <row r="30" spans="1:7">
      <c r="B30" s="153" t="s">
        <v>590</v>
      </c>
      <c r="C30" s="125"/>
      <c r="D30" s="125"/>
      <c r="E30" s="125"/>
      <c r="F30" s="125"/>
    </row>
    <row r="31" spans="1:7">
      <c r="B31" s="662" t="s">
        <v>693</v>
      </c>
      <c r="C31" s="409"/>
      <c r="D31" s="41"/>
      <c r="E31" s="41"/>
      <c r="F31" s="41"/>
    </row>
    <row r="32" spans="1:7">
      <c r="C32" s="41"/>
      <c r="D32" s="41"/>
      <c r="E32" s="41"/>
      <c r="F32" s="41"/>
    </row>
    <row r="33" spans="2:6">
      <c r="B33" s="919" t="s">
        <v>727</v>
      </c>
      <c r="C33" s="41"/>
      <c r="D33" s="41"/>
      <c r="E33" s="920">
        <f>'Page 9-11 - Funct'!D70</f>
        <v>1067857.2779796084</v>
      </c>
      <c r="F33" s="41"/>
    </row>
    <row r="34" spans="2:6">
      <c r="B34" s="919" t="s">
        <v>581</v>
      </c>
      <c r="C34" s="41"/>
      <c r="D34" s="41"/>
      <c r="E34" s="921">
        <f>E33-E13</f>
        <v>0.27797960839234293</v>
      </c>
      <c r="F34" s="41"/>
    </row>
    <row r="35" spans="2:6">
      <c r="C35" s="41"/>
      <c r="D35" s="41"/>
      <c r="E35" s="41"/>
      <c r="F35" s="41"/>
    </row>
    <row r="36" spans="2:6">
      <c r="C36" s="41"/>
      <c r="D36" s="41"/>
      <c r="E36" s="41"/>
      <c r="F36" s="41"/>
    </row>
  </sheetData>
  <mergeCells count="5">
    <mergeCell ref="A3:F3"/>
    <mergeCell ref="A4:F4"/>
    <mergeCell ref="A5:F5"/>
    <mergeCell ref="C9:D9"/>
    <mergeCell ref="E9:F9"/>
  </mergeCells>
  <printOptions horizontalCentered="1"/>
  <pageMargins left="0.75" right="0.75" top="0.75" bottom="0.75" header="0.5" footer="0.5"/>
  <pageSetup scale="80" orientation="portrait" r:id="rId1"/>
  <headerFooter alignWithMargins="0">
    <oddHeader>&amp;R&amp;"Arial,Regular"&amp;10Attachment O Work Paper
Page 17 of 20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9">
    <pageSetUpPr fitToPage="1"/>
  </sheetPr>
  <dimension ref="A1:Q37"/>
  <sheetViews>
    <sheetView showGridLines="0" defaultGridColor="0" colorId="22" zoomScaleNormal="100" workbookViewId="0">
      <pane xSplit="2" topLeftCell="D1" activePane="topRight" state="frozen"/>
      <selection activeCell="O2" sqref="O2"/>
      <selection pane="topRight" activeCell="O2" sqref="O2"/>
    </sheetView>
  </sheetViews>
  <sheetFormatPr defaultColWidth="3.5546875" defaultRowHeight="12.75"/>
  <cols>
    <col min="1" max="1" width="3.5546875" style="322" bestFit="1" customWidth="1"/>
    <col min="2" max="2" width="39.44140625" style="322" customWidth="1"/>
    <col min="3" max="5" width="12.109375" style="322" customWidth="1"/>
    <col min="6" max="13" width="13.109375" style="322" customWidth="1"/>
    <col min="14" max="16" width="13.109375" style="322" bestFit="1" customWidth="1"/>
    <col min="17" max="255" width="9.77734375" style="322" customWidth="1"/>
    <col min="256" max="256" width="3.5546875" style="322" bestFit="1"/>
    <col min="257" max="16384" width="3.5546875" style="322"/>
  </cols>
  <sheetData>
    <row r="1" spans="1:17">
      <c r="B1" s="449"/>
      <c r="O1" s="330"/>
      <c r="P1" s="638"/>
    </row>
    <row r="2" spans="1:17">
      <c r="B2" s="440"/>
      <c r="D2" s="939"/>
      <c r="E2" s="414"/>
      <c r="F2" s="414"/>
      <c r="G2" s="414"/>
      <c r="H2" s="1081"/>
      <c r="O2" s="330"/>
      <c r="P2" s="330"/>
    </row>
    <row r="3" spans="1:17" ht="15">
      <c r="A3" s="1104"/>
      <c r="B3" s="1119"/>
      <c r="C3" s="1119"/>
      <c r="D3" s="1119"/>
      <c r="E3" s="1119"/>
      <c r="F3" s="1119"/>
      <c r="G3" s="1119"/>
      <c r="H3" s="1119"/>
      <c r="I3" s="1119"/>
      <c r="J3" s="1119"/>
      <c r="K3" s="1119"/>
      <c r="L3" s="1119"/>
      <c r="M3" s="1119"/>
      <c r="N3" s="1119"/>
      <c r="O3" s="1119"/>
    </row>
    <row r="4" spans="1:17" ht="15">
      <c r="A4" s="1120"/>
      <c r="B4" s="1119"/>
      <c r="C4" s="1119"/>
      <c r="D4" s="1119"/>
      <c r="E4" s="1119"/>
      <c r="F4" s="1119"/>
      <c r="G4" s="1119"/>
      <c r="H4" s="1119"/>
      <c r="I4" s="1119"/>
      <c r="J4" s="1119"/>
      <c r="K4" s="1119"/>
      <c r="L4" s="1119"/>
      <c r="M4" s="1119"/>
      <c r="N4" s="1119"/>
      <c r="O4" s="1119"/>
    </row>
    <row r="5" spans="1:17" ht="15">
      <c r="A5" s="1121" t="s">
        <v>0</v>
      </c>
      <c r="B5" s="1119"/>
      <c r="C5" s="1119"/>
      <c r="D5" s="1119"/>
      <c r="E5" s="1119"/>
      <c r="F5" s="1119"/>
      <c r="G5" s="1119"/>
      <c r="H5" s="1119"/>
      <c r="I5" s="1119"/>
      <c r="J5" s="1119"/>
      <c r="K5" s="1119"/>
      <c r="L5" s="1119"/>
      <c r="M5" s="1119"/>
      <c r="N5" s="1119"/>
      <c r="O5" s="1119"/>
    </row>
    <row r="6" spans="1:17" ht="12.75" customHeight="1">
      <c r="A6" s="1121" t="s">
        <v>91</v>
      </c>
      <c r="B6" s="1119"/>
      <c r="C6" s="1119"/>
      <c r="D6" s="1119"/>
      <c r="E6" s="1119"/>
      <c r="F6" s="1119"/>
      <c r="G6" s="1119"/>
      <c r="H6" s="1119"/>
      <c r="I6" s="1119"/>
      <c r="J6" s="1119"/>
      <c r="K6" s="1119"/>
      <c r="L6" s="1119"/>
      <c r="M6" s="1119"/>
      <c r="N6" s="1119"/>
      <c r="O6" s="1119"/>
      <c r="P6" s="638"/>
    </row>
    <row r="7" spans="1:17" ht="12.75" customHeight="1">
      <c r="A7" s="1122" t="str">
        <f>'Page 13 - Depr Exp'!A5:G5</f>
        <v>Budget Year 2015</v>
      </c>
      <c r="B7" s="1123"/>
      <c r="C7" s="1123"/>
      <c r="D7" s="1123"/>
      <c r="E7" s="1123"/>
      <c r="F7" s="1123"/>
      <c r="G7" s="1123"/>
      <c r="H7" s="1123"/>
      <c r="I7" s="1123"/>
      <c r="J7" s="1123"/>
      <c r="K7" s="1123"/>
      <c r="L7" s="1123"/>
      <c r="M7" s="1123"/>
      <c r="N7" s="1123"/>
      <c r="O7" s="1123"/>
    </row>
    <row r="9" spans="1:17">
      <c r="C9" s="443"/>
    </row>
    <row r="10" spans="1:17" s="339" customFormat="1">
      <c r="B10" s="428" t="s">
        <v>1</v>
      </c>
      <c r="C10" s="428" t="s">
        <v>2</v>
      </c>
      <c r="D10" s="428" t="s">
        <v>3</v>
      </c>
      <c r="E10" s="428" t="s">
        <v>4</v>
      </c>
      <c r="F10" s="428" t="s">
        <v>5</v>
      </c>
      <c r="G10" s="428" t="s">
        <v>7</v>
      </c>
      <c r="H10" s="428" t="s">
        <v>6</v>
      </c>
      <c r="I10" s="428" t="s">
        <v>30</v>
      </c>
      <c r="J10" s="428" t="s">
        <v>31</v>
      </c>
      <c r="K10" s="428" t="s">
        <v>32</v>
      </c>
      <c r="L10" s="428" t="s">
        <v>74</v>
      </c>
      <c r="M10" s="428" t="s">
        <v>75</v>
      </c>
      <c r="N10" s="428" t="s">
        <v>76</v>
      </c>
      <c r="O10" s="428" t="s">
        <v>77</v>
      </c>
      <c r="P10" s="428" t="s">
        <v>78</v>
      </c>
      <c r="Q10" s="428"/>
    </row>
    <row r="11" spans="1:17">
      <c r="D11" s="339"/>
      <c r="E11" s="339"/>
      <c r="F11" s="339"/>
      <c r="G11" s="339"/>
      <c r="H11" s="339"/>
      <c r="I11" s="339"/>
      <c r="J11" s="339"/>
      <c r="N11" s="393"/>
    </row>
    <row r="12" spans="1:17">
      <c r="A12" s="346"/>
      <c r="B12" s="434" t="s">
        <v>86</v>
      </c>
      <c r="C12" s="642"/>
      <c r="D12" s="1"/>
      <c r="E12" s="434"/>
      <c r="F12" s="438"/>
      <c r="G12" s="131"/>
      <c r="H12" s="131"/>
      <c r="I12" s="131"/>
      <c r="J12" s="131"/>
      <c r="K12" s="131"/>
      <c r="L12" s="434"/>
      <c r="M12" s="434"/>
      <c r="N12" s="434"/>
      <c r="O12" s="434"/>
      <c r="P12" s="434"/>
    </row>
    <row r="13" spans="1:17" ht="25.5">
      <c r="A13" s="430" t="s">
        <v>38</v>
      </c>
      <c r="B13" s="431" t="s">
        <v>92</v>
      </c>
      <c r="C13" s="133" t="s">
        <v>27</v>
      </c>
      <c r="D13" s="133" t="s">
        <v>34</v>
      </c>
      <c r="E13" s="133" t="s">
        <v>17</v>
      </c>
      <c r="F13" s="133" t="s">
        <v>18</v>
      </c>
      <c r="G13" s="133" t="s">
        <v>19</v>
      </c>
      <c r="H13" s="133" t="s">
        <v>20</v>
      </c>
      <c r="I13" s="133" t="s">
        <v>21</v>
      </c>
      <c r="J13" s="133" t="s">
        <v>22</v>
      </c>
      <c r="K13" s="133" t="s">
        <v>23</v>
      </c>
      <c r="L13" s="133" t="s">
        <v>24</v>
      </c>
      <c r="M13" s="133" t="s">
        <v>25</v>
      </c>
      <c r="N13" s="133" t="s">
        <v>26</v>
      </c>
      <c r="O13" s="133" t="s">
        <v>27</v>
      </c>
      <c r="P13" s="424" t="s">
        <v>28</v>
      </c>
    </row>
    <row r="14" spans="1:17" ht="19.899999999999999" customHeight="1">
      <c r="A14" s="436">
        <v>1</v>
      </c>
      <c r="B14" s="445" t="s">
        <v>595</v>
      </c>
      <c r="C14" s="429">
        <v>295261391</v>
      </c>
      <c r="D14" s="429">
        <v>295261391</v>
      </c>
      <c r="E14" s="429">
        <v>295261391</v>
      </c>
      <c r="F14" s="429">
        <v>295261391</v>
      </c>
      <c r="G14" s="429">
        <v>295261391</v>
      </c>
      <c r="H14" s="429">
        <v>295261391</v>
      </c>
      <c r="I14" s="429">
        <v>345261391</v>
      </c>
      <c r="J14" s="429">
        <v>345261391</v>
      </c>
      <c r="K14" s="429">
        <v>345261391</v>
      </c>
      <c r="L14" s="429">
        <v>345261391</v>
      </c>
      <c r="M14" s="429">
        <v>345261391</v>
      </c>
      <c r="N14" s="429">
        <v>345261391</v>
      </c>
      <c r="O14" s="429">
        <v>345261391</v>
      </c>
      <c r="P14" s="429">
        <f>SUM(C14:O14)/13</f>
        <v>322184467.92307693</v>
      </c>
    </row>
    <row r="15" spans="1:17" ht="19.899999999999999" customHeight="1">
      <c r="A15" s="436">
        <v>2</v>
      </c>
      <c r="B15" s="445"/>
      <c r="C15" s="429"/>
      <c r="D15" s="429"/>
      <c r="E15" s="429"/>
      <c r="F15" s="429"/>
      <c r="G15" s="429"/>
      <c r="H15" s="429"/>
      <c r="I15" s="429"/>
      <c r="J15" s="429"/>
      <c r="K15" s="429"/>
      <c r="L15" s="429"/>
      <c r="M15" s="429"/>
      <c r="N15" s="429"/>
      <c r="O15" s="429"/>
      <c r="P15" s="429"/>
    </row>
    <row r="16" spans="1:17" ht="19.899999999999999" customHeight="1">
      <c r="A16" s="436">
        <v>3</v>
      </c>
      <c r="B16" s="445" t="s">
        <v>93</v>
      </c>
      <c r="C16" s="429"/>
      <c r="D16" s="429"/>
      <c r="E16" s="429"/>
      <c r="F16" s="429"/>
      <c r="G16" s="429"/>
      <c r="H16" s="429"/>
      <c r="I16" s="429"/>
      <c r="J16" s="429"/>
      <c r="K16" s="429"/>
      <c r="L16" s="429"/>
      <c r="M16" s="448"/>
      <c r="N16" s="429"/>
      <c r="O16" s="448"/>
      <c r="P16" s="429">
        <f>SUM(C16:O16)/13</f>
        <v>0</v>
      </c>
    </row>
    <row r="17" spans="1:16" ht="19.899999999999999" customHeight="1">
      <c r="A17" s="436">
        <v>4</v>
      </c>
      <c r="C17" s="429"/>
      <c r="D17" s="429"/>
      <c r="E17" s="429"/>
      <c r="F17" s="429"/>
      <c r="G17" s="429"/>
      <c r="H17" s="429"/>
      <c r="I17" s="429"/>
      <c r="J17" s="429"/>
      <c r="K17" s="429"/>
      <c r="L17" s="429"/>
      <c r="M17" s="429"/>
      <c r="N17" s="429"/>
      <c r="O17" s="429"/>
      <c r="P17" s="429"/>
    </row>
    <row r="18" spans="1:16" ht="24" customHeight="1">
      <c r="A18" s="436">
        <v>5</v>
      </c>
      <c r="B18" s="132" t="s">
        <v>94</v>
      </c>
      <c r="C18" s="421">
        <f t="shared" ref="C18:O18" si="0">SUM(C14:C17)</f>
        <v>295261391</v>
      </c>
      <c r="D18" s="421">
        <f t="shared" si="0"/>
        <v>295261391</v>
      </c>
      <c r="E18" s="421">
        <f t="shared" si="0"/>
        <v>295261391</v>
      </c>
      <c r="F18" s="421">
        <f t="shared" si="0"/>
        <v>295261391</v>
      </c>
      <c r="G18" s="421">
        <f t="shared" si="0"/>
        <v>295261391</v>
      </c>
      <c r="H18" s="421">
        <f t="shared" si="0"/>
        <v>295261391</v>
      </c>
      <c r="I18" s="421">
        <f t="shared" si="0"/>
        <v>345261391</v>
      </c>
      <c r="J18" s="421">
        <f t="shared" si="0"/>
        <v>345261391</v>
      </c>
      <c r="K18" s="421">
        <f t="shared" si="0"/>
        <v>345261391</v>
      </c>
      <c r="L18" s="421">
        <f t="shared" si="0"/>
        <v>345261391</v>
      </c>
      <c r="M18" s="421">
        <f t="shared" si="0"/>
        <v>345261391</v>
      </c>
      <c r="N18" s="421">
        <f t="shared" si="0"/>
        <v>345261391</v>
      </c>
      <c r="O18" s="421">
        <f t="shared" si="0"/>
        <v>345261391</v>
      </c>
      <c r="P18" s="421">
        <f>SUM(P14:P17)</f>
        <v>322184467.92307693</v>
      </c>
    </row>
    <row r="19" spans="1:16" ht="22.9" customHeight="1">
      <c r="A19" s="436">
        <v>6</v>
      </c>
      <c r="B19" s="423" t="s">
        <v>95</v>
      </c>
      <c r="C19" s="444"/>
      <c r="D19" s="444"/>
      <c r="E19" s="444"/>
      <c r="F19" s="444"/>
      <c r="G19" s="444"/>
      <c r="H19" s="444"/>
      <c r="I19" s="444"/>
      <c r="J19" s="444"/>
      <c r="K19" s="444"/>
      <c r="L19" s="444"/>
      <c r="M19" s="444"/>
      <c r="N19" s="444"/>
      <c r="O19" s="444"/>
      <c r="P19" s="444"/>
    </row>
    <row r="20" spans="1:16" ht="19.899999999999999" customHeight="1">
      <c r="A20" s="436">
        <v>7</v>
      </c>
      <c r="B20" s="445" t="s">
        <v>594</v>
      </c>
      <c r="C20" s="444">
        <f>151261998+500</f>
        <v>151262498</v>
      </c>
      <c r="D20" s="444">
        <f>C24</f>
        <v>148723564</v>
      </c>
      <c r="E20" s="444">
        <f t="shared" ref="E20:O20" si="1">D24</f>
        <v>154705376</v>
      </c>
      <c r="F20" s="444">
        <f t="shared" si="1"/>
        <v>158797808</v>
      </c>
      <c r="G20" s="444">
        <f t="shared" si="1"/>
        <v>153004689</v>
      </c>
      <c r="H20" s="444">
        <f t="shared" si="1"/>
        <v>155125565</v>
      </c>
      <c r="I20" s="444">
        <f t="shared" si="1"/>
        <v>156202949</v>
      </c>
      <c r="J20" s="444">
        <f t="shared" si="1"/>
        <v>148604297</v>
      </c>
      <c r="K20" s="444">
        <f t="shared" si="1"/>
        <v>152448440</v>
      </c>
      <c r="L20" s="444">
        <f t="shared" si="1"/>
        <v>156715885</v>
      </c>
      <c r="M20" s="444">
        <f t="shared" si="1"/>
        <v>150811576</v>
      </c>
      <c r="N20" s="444">
        <f t="shared" si="1"/>
        <v>154750190</v>
      </c>
      <c r="O20" s="444">
        <f t="shared" si="1"/>
        <v>159593686</v>
      </c>
      <c r="P20" s="429">
        <f t="shared" ref="P20:P24" si="2">SUM(C20:O20)/13</f>
        <v>153903578.69230768</v>
      </c>
    </row>
    <row r="21" spans="1:16" ht="19.899999999999999" customHeight="1">
      <c r="A21" s="436">
        <v>8</v>
      </c>
      <c r="B21" s="445" t="s">
        <v>596</v>
      </c>
      <c r="C21" s="448">
        <v>6479561</v>
      </c>
      <c r="D21" s="448">
        <v>5981812</v>
      </c>
      <c r="E21" s="448">
        <v>4092432</v>
      </c>
      <c r="F21" s="448">
        <v>3455634</v>
      </c>
      <c r="G21" s="448">
        <v>2120876</v>
      </c>
      <c r="H21" s="448">
        <v>1077384</v>
      </c>
      <c r="I21" s="448">
        <v>1727743</v>
      </c>
      <c r="J21" s="448">
        <v>3844143</v>
      </c>
      <c r="K21" s="448">
        <v>4267445</v>
      </c>
      <c r="L21" s="448">
        <v>3502036</v>
      </c>
      <c r="M21" s="448">
        <v>3938614</v>
      </c>
      <c r="N21" s="448">
        <v>4843496</v>
      </c>
      <c r="O21" s="448">
        <v>5791021</v>
      </c>
      <c r="P21" s="429">
        <f t="shared" si="2"/>
        <v>3932476.6923076925</v>
      </c>
    </row>
    <row r="22" spans="1:16" ht="19.899999999999999" customHeight="1">
      <c r="A22" s="436">
        <v>9</v>
      </c>
      <c r="B22" s="445" t="s">
        <v>597</v>
      </c>
      <c r="C22" s="448">
        <v>-9018495</v>
      </c>
      <c r="D22" s="448">
        <v>0</v>
      </c>
      <c r="E22" s="448">
        <v>0</v>
      </c>
      <c r="F22" s="448">
        <v>-9248753</v>
      </c>
      <c r="G22" s="448">
        <v>0</v>
      </c>
      <c r="H22" s="448">
        <v>0</v>
      </c>
      <c r="I22" s="448">
        <v>-9326395</v>
      </c>
      <c r="J22" s="448">
        <v>0</v>
      </c>
      <c r="K22" s="448">
        <v>0</v>
      </c>
      <c r="L22" s="448">
        <v>-9406345</v>
      </c>
      <c r="M22" s="448">
        <v>0</v>
      </c>
      <c r="N22" s="448">
        <v>0</v>
      </c>
      <c r="O22" s="448">
        <v>-9476701</v>
      </c>
      <c r="P22" s="429">
        <f t="shared" si="2"/>
        <v>-3575129.923076923</v>
      </c>
    </row>
    <row r="23" spans="1:16" ht="19.899999999999999" customHeight="1">
      <c r="A23" s="436">
        <v>10</v>
      </c>
      <c r="B23" s="445" t="s">
        <v>98</v>
      </c>
      <c r="C23" s="448">
        <v>0</v>
      </c>
      <c r="D23" s="448">
        <v>0</v>
      </c>
      <c r="E23" s="448">
        <v>0</v>
      </c>
      <c r="F23" s="448">
        <v>22855.057042200002</v>
      </c>
      <c r="G23" s="448">
        <v>0</v>
      </c>
      <c r="H23" s="448">
        <v>0</v>
      </c>
      <c r="I23" s="448">
        <v>22855.057042200002</v>
      </c>
      <c r="J23" s="448">
        <v>0</v>
      </c>
      <c r="K23" s="448">
        <v>0</v>
      </c>
      <c r="L23" s="448">
        <v>22855.057042200002</v>
      </c>
      <c r="M23" s="448">
        <v>0</v>
      </c>
      <c r="N23" s="448">
        <v>0</v>
      </c>
      <c r="O23" s="448">
        <v>22855.057042200002</v>
      </c>
      <c r="P23" s="429">
        <f t="shared" si="2"/>
        <v>7032.3252437538467</v>
      </c>
    </row>
    <row r="24" spans="1:16" ht="26.25" customHeight="1">
      <c r="A24" s="436">
        <v>11</v>
      </c>
      <c r="B24" s="445" t="s">
        <v>96</v>
      </c>
      <c r="C24" s="444">
        <f>SUM(C20:C23)</f>
        <v>148723564</v>
      </c>
      <c r="D24" s="444">
        <f>SUM(D20:D23)</f>
        <v>154705376</v>
      </c>
      <c r="E24" s="444">
        <f t="shared" ref="E24" si="3">SUM(E20:E23)</f>
        <v>158797808</v>
      </c>
      <c r="F24" s="444">
        <f>SUM(F20:F22)</f>
        <v>153004689</v>
      </c>
      <c r="G24" s="444">
        <f t="shared" ref="G24:O24" si="4">SUM(G20:G22)</f>
        <v>155125565</v>
      </c>
      <c r="H24" s="444">
        <f t="shared" si="4"/>
        <v>156202949</v>
      </c>
      <c r="I24" s="444">
        <f t="shared" si="4"/>
        <v>148604297</v>
      </c>
      <c r="J24" s="444">
        <f t="shared" si="4"/>
        <v>152448440</v>
      </c>
      <c r="K24" s="444">
        <f t="shared" si="4"/>
        <v>156715885</v>
      </c>
      <c r="L24" s="444">
        <f t="shared" si="4"/>
        <v>150811576</v>
      </c>
      <c r="M24" s="444">
        <f t="shared" si="4"/>
        <v>154750190</v>
      </c>
      <c r="N24" s="444">
        <f t="shared" si="4"/>
        <v>159593686</v>
      </c>
      <c r="O24" s="444">
        <f t="shared" si="4"/>
        <v>155908006</v>
      </c>
      <c r="P24" s="429">
        <f t="shared" si="2"/>
        <v>154260925.46153846</v>
      </c>
    </row>
    <row r="25" spans="1:16" ht="20.25" customHeight="1">
      <c r="A25" s="436">
        <v>12</v>
      </c>
      <c r="B25" s="445" t="s">
        <v>600</v>
      </c>
      <c r="C25" s="1007">
        <v>-1068867.3059156002</v>
      </c>
      <c r="D25" s="444">
        <f>C25-D23</f>
        <v>-1068867.3059156002</v>
      </c>
      <c r="E25" s="444">
        <f t="shared" ref="E25" si="5">D25-E23</f>
        <v>-1068867.3059156002</v>
      </c>
      <c r="F25" s="444">
        <f>E25+F23</f>
        <v>-1046012.2488734002</v>
      </c>
      <c r="G25" s="444">
        <f t="shared" ref="G25:O25" si="6">F25+G23</f>
        <v>-1046012.2488734002</v>
      </c>
      <c r="H25" s="444">
        <f t="shared" si="6"/>
        <v>-1046012.2488734002</v>
      </c>
      <c r="I25" s="444">
        <f t="shared" si="6"/>
        <v>-1023157.1918312002</v>
      </c>
      <c r="J25" s="444">
        <f t="shared" si="6"/>
        <v>-1023157.1918312002</v>
      </c>
      <c r="K25" s="444">
        <f t="shared" si="6"/>
        <v>-1023157.1918312002</v>
      </c>
      <c r="L25" s="444">
        <f t="shared" si="6"/>
        <v>-1000302.1347890001</v>
      </c>
      <c r="M25" s="444">
        <f t="shared" si="6"/>
        <v>-1000302.1347890001</v>
      </c>
      <c r="N25" s="444">
        <f t="shared" si="6"/>
        <v>-1000302.1347890001</v>
      </c>
      <c r="O25" s="444">
        <f t="shared" si="6"/>
        <v>-977447.07774680015</v>
      </c>
      <c r="P25" s="444">
        <f>AVERAGE(C25:O25)</f>
        <v>-1030189.5170749538</v>
      </c>
    </row>
    <row r="26" spans="1:16" ht="33" customHeight="1">
      <c r="A26" s="433">
        <v>13</v>
      </c>
      <c r="B26" s="132" t="s">
        <v>97</v>
      </c>
      <c r="C26" s="421">
        <f>C18+C24+C25</f>
        <v>442916087.69408441</v>
      </c>
      <c r="D26" s="421">
        <f t="shared" ref="D26:O26" si="7">D18+D24+D25</f>
        <v>448897899.69408441</v>
      </c>
      <c r="E26" s="421">
        <f t="shared" si="7"/>
        <v>452990331.69408441</v>
      </c>
      <c r="F26" s="421">
        <f t="shared" si="7"/>
        <v>447220067.75112659</v>
      </c>
      <c r="G26" s="421">
        <f t="shared" si="7"/>
        <v>449340943.75112659</v>
      </c>
      <c r="H26" s="421">
        <f t="shared" si="7"/>
        <v>450418327.75112659</v>
      </c>
      <c r="I26" s="421">
        <f t="shared" si="7"/>
        <v>492842530.80816883</v>
      </c>
      <c r="J26" s="421">
        <f t="shared" si="7"/>
        <v>496686673.80816883</v>
      </c>
      <c r="K26" s="421">
        <f t="shared" si="7"/>
        <v>500954118.80816883</v>
      </c>
      <c r="L26" s="421">
        <f t="shared" si="7"/>
        <v>495072664.86521101</v>
      </c>
      <c r="M26" s="421">
        <f t="shared" si="7"/>
        <v>499011278.86521101</v>
      </c>
      <c r="N26" s="421">
        <f t="shared" si="7"/>
        <v>503854774.86521101</v>
      </c>
      <c r="O26" s="439">
        <f t="shared" si="7"/>
        <v>500191949.92225319</v>
      </c>
      <c r="P26" s="432">
        <f>P18+P24+P25</f>
        <v>475415203.86754048</v>
      </c>
    </row>
    <row r="27" spans="1:16">
      <c r="A27" s="339"/>
      <c r="C27" s="449"/>
      <c r="D27" s="947"/>
      <c r="E27" s="947"/>
      <c r="F27" s="947"/>
      <c r="G27" s="947"/>
      <c r="H27" s="947"/>
      <c r="I27" s="947"/>
      <c r="J27" s="947"/>
      <c r="K27" s="947"/>
      <c r="L27" s="947"/>
      <c r="M27" s="947"/>
      <c r="N27" s="947"/>
      <c r="O27" s="947"/>
    </row>
    <row r="28" spans="1:16">
      <c r="A28" s="339"/>
      <c r="B28" s="625" t="s">
        <v>519</v>
      </c>
      <c r="C28" s="449"/>
      <c r="D28" s="947"/>
      <c r="E28" s="947"/>
      <c r="F28" s="947"/>
      <c r="G28" s="947"/>
      <c r="H28" s="947"/>
      <c r="I28" s="947"/>
      <c r="J28" s="947"/>
      <c r="K28" s="947"/>
      <c r="L28" s="947"/>
      <c r="M28" s="947"/>
      <c r="N28" s="947"/>
      <c r="O28" s="947"/>
    </row>
    <row r="29" spans="1:16" s="642" customFormat="1">
      <c r="A29" s="339"/>
      <c r="B29" s="666" t="s">
        <v>730</v>
      </c>
      <c r="C29" s="449"/>
      <c r="D29" s="947"/>
      <c r="E29" s="947"/>
      <c r="F29" s="947"/>
      <c r="G29" s="947"/>
      <c r="H29" s="947"/>
      <c r="I29" s="947"/>
      <c r="J29" s="947"/>
      <c r="K29" s="947"/>
      <c r="L29" s="947"/>
      <c r="M29" s="947"/>
      <c r="N29" s="947"/>
      <c r="O29" s="947"/>
    </row>
    <row r="30" spans="1:16">
      <c r="A30" s="339"/>
      <c r="B30" s="666" t="s">
        <v>598</v>
      </c>
      <c r="C30" s="443"/>
      <c r="D30" s="420"/>
      <c r="E30" s="443"/>
      <c r="F30" s="947"/>
      <c r="G30" s="947"/>
      <c r="H30" s="947"/>
      <c r="I30" s="443"/>
      <c r="J30" s="947"/>
      <c r="K30" s="947"/>
      <c r="L30" s="947"/>
      <c r="M30" s="947"/>
      <c r="N30" s="947"/>
      <c r="O30" s="443"/>
      <c r="P30" s="443"/>
    </row>
    <row r="31" spans="1:16" s="642" customFormat="1">
      <c r="A31" s="339"/>
      <c r="B31" s="666" t="s">
        <v>599</v>
      </c>
      <c r="C31" s="443"/>
      <c r="D31" s="420"/>
      <c r="E31" s="443"/>
      <c r="F31" s="947"/>
      <c r="G31" s="947"/>
      <c r="H31" s="947"/>
      <c r="I31" s="443"/>
      <c r="J31" s="947"/>
      <c r="K31" s="947"/>
      <c r="L31" s="947"/>
      <c r="M31" s="947"/>
      <c r="N31" s="947"/>
      <c r="O31" s="443"/>
      <c r="P31" s="443"/>
    </row>
    <row r="32" spans="1:16">
      <c r="A32" s="339"/>
      <c r="B32" s="602"/>
      <c r="C32" s="443"/>
      <c r="D32" s="420"/>
      <c r="E32" s="443"/>
      <c r="F32" s="947"/>
      <c r="G32" s="947"/>
      <c r="H32" s="947"/>
      <c r="I32" s="443"/>
      <c r="J32" s="947"/>
      <c r="K32" s="947"/>
      <c r="L32" s="947"/>
      <c r="M32" s="947"/>
      <c r="N32" s="947"/>
      <c r="O32" s="443"/>
      <c r="P32" s="443"/>
    </row>
    <row r="33" spans="1:16">
      <c r="A33" s="339"/>
      <c r="B33" s="667" t="s">
        <v>593</v>
      </c>
      <c r="C33" s="443">
        <v>442916088</v>
      </c>
      <c r="D33" s="443">
        <v>448897900</v>
      </c>
      <c r="E33" s="443">
        <v>452990332</v>
      </c>
      <c r="F33" s="443">
        <v>447220068</v>
      </c>
      <c r="G33" s="443">
        <v>449340944</v>
      </c>
      <c r="H33" s="443">
        <v>450418328</v>
      </c>
      <c r="I33" s="443">
        <v>492842531</v>
      </c>
      <c r="J33" s="443">
        <v>496686674</v>
      </c>
      <c r="K33" s="443">
        <v>500954119</v>
      </c>
      <c r="L33" s="443">
        <v>495072665</v>
      </c>
      <c r="M33" s="443">
        <v>499011279</v>
      </c>
      <c r="N33" s="443">
        <v>503854775</v>
      </c>
      <c r="O33" s="443">
        <v>500191950</v>
      </c>
      <c r="P33" s="443"/>
    </row>
    <row r="34" spans="1:16">
      <c r="A34" s="339"/>
      <c r="B34" s="667" t="s">
        <v>581</v>
      </c>
      <c r="C34" s="668">
        <f>C26-C33</f>
        <v>-0.30591559410095215</v>
      </c>
      <c r="D34" s="668">
        <f>D26-D33</f>
        <v>-0.30591559410095215</v>
      </c>
      <c r="E34" s="668">
        <f t="shared" ref="E34:O34" si="8">E26-E33</f>
        <v>-0.30591559410095215</v>
      </c>
      <c r="F34" s="668">
        <f t="shared" si="8"/>
        <v>-0.24887341260910034</v>
      </c>
      <c r="G34" s="668">
        <f t="shared" si="8"/>
        <v>-0.24887341260910034</v>
      </c>
      <c r="H34" s="668">
        <f t="shared" si="8"/>
        <v>-0.24887341260910034</v>
      </c>
      <c r="I34" s="668">
        <f t="shared" si="8"/>
        <v>-0.19183117151260376</v>
      </c>
      <c r="J34" s="668">
        <f t="shared" si="8"/>
        <v>-0.19183117151260376</v>
      </c>
      <c r="K34" s="668">
        <f t="shared" si="8"/>
        <v>-0.19183117151260376</v>
      </c>
      <c r="L34" s="668">
        <f t="shared" si="8"/>
        <v>-0.13478899002075195</v>
      </c>
      <c r="M34" s="668">
        <f>M26-M33</f>
        <v>-0.13478899002075195</v>
      </c>
      <c r="N34" s="668">
        <f>N26-N33</f>
        <v>-0.13478899002075195</v>
      </c>
      <c r="O34" s="668">
        <f t="shared" si="8"/>
        <v>-7.7746808528900146E-2</v>
      </c>
      <c r="P34" s="451"/>
    </row>
    <row r="35" spans="1:16">
      <c r="B35" s="368"/>
    </row>
    <row r="36" spans="1:16" s="420" customFormat="1">
      <c r="M36" s="322"/>
      <c r="O36" s="443"/>
      <c r="P36" s="443"/>
    </row>
    <row r="37" spans="1:16">
      <c r="C37" s="64"/>
    </row>
  </sheetData>
  <mergeCells count="5">
    <mergeCell ref="A3:O3"/>
    <mergeCell ref="A4:O4"/>
    <mergeCell ref="A5:O5"/>
    <mergeCell ref="A6:O6"/>
    <mergeCell ref="A7:O7"/>
  </mergeCells>
  <printOptions horizontalCentered="1"/>
  <pageMargins left="0.5" right="0.5" top="0.75" bottom="0.5" header="0.5" footer="0.5"/>
  <pageSetup scale="47" orientation="landscape" horizontalDpi="300" verticalDpi="300" r:id="rId1"/>
  <headerFooter alignWithMargins="0">
    <oddHeader>&amp;R&amp;"Arial,Regular"&amp;10Attachment O Work Paper
Page 18 of 20</oddHeader>
  </headerFooter>
  <ignoredErrors>
    <ignoredError sqref="C15:O15 C26:O27 D24:E24 C17:O19 C16:I16 K16:O16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transitionEntry="1" codeName="Sheet8">
    <pageSetUpPr fitToPage="1"/>
  </sheetPr>
  <dimension ref="A1:W51"/>
  <sheetViews>
    <sheetView showGridLines="0" zoomScale="96" zoomScaleNormal="96" workbookViewId="0">
      <pane xSplit="7" ySplit="13" topLeftCell="H14" activePane="bottomRight" state="frozen"/>
      <selection activeCell="O2" sqref="O2"/>
      <selection pane="topRight" activeCell="O2" sqref="O2"/>
      <selection pane="bottomLeft" activeCell="O2" sqref="O2"/>
      <selection pane="bottomRight" activeCell="O2" sqref="O2"/>
    </sheetView>
  </sheetViews>
  <sheetFormatPr defaultColWidth="3.5546875" defaultRowHeight="12.75" customHeight="1" outlineLevelCol="1"/>
  <cols>
    <col min="1" max="1" width="7" style="642" hidden="1" customWidth="1" outlineLevel="1"/>
    <col min="2" max="2" width="3.5546875" style="322" bestFit="1" customWidth="1" collapsed="1"/>
    <col min="3" max="3" width="6.21875" style="322" customWidth="1"/>
    <col min="4" max="4" width="10.77734375" style="322" customWidth="1"/>
    <col min="5" max="5" width="11.88671875" style="322" customWidth="1"/>
    <col min="6" max="6" width="2.88671875" style="322" customWidth="1"/>
    <col min="7" max="19" width="11.88671875" style="322" customWidth="1"/>
    <col min="20" max="20" width="11.21875" style="322" customWidth="1"/>
    <col min="21" max="26" width="15.77734375" style="322" customWidth="1"/>
    <col min="27" max="27" width="7.77734375" style="322" customWidth="1"/>
    <col min="28" max="31" width="15.77734375" style="322" customWidth="1"/>
    <col min="32" max="256" width="9.77734375" style="322" customWidth="1"/>
    <col min="257" max="257" width="3.5546875" style="322" bestFit="1"/>
    <col min="258" max="16384" width="3.5546875" style="322"/>
  </cols>
  <sheetData>
    <row r="1" spans="1:23" ht="12.75" customHeight="1">
      <c r="C1" s="449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455"/>
      <c r="V1" s="638"/>
    </row>
    <row r="2" spans="1:23" ht="12.75" customHeight="1">
      <c r="C2" s="449"/>
      <c r="D2" s="64"/>
      <c r="E2" s="64"/>
      <c r="F2" s="64"/>
      <c r="G2" s="64"/>
      <c r="H2" s="64"/>
      <c r="I2" s="64"/>
      <c r="J2" s="939"/>
      <c r="K2" s="945"/>
      <c r="L2" s="945"/>
      <c r="M2" s="1081"/>
      <c r="N2" s="64"/>
      <c r="O2" s="64"/>
      <c r="P2" s="64"/>
      <c r="Q2" s="64"/>
      <c r="R2" s="64"/>
      <c r="S2" s="455"/>
    </row>
    <row r="3" spans="1:23" ht="12.75" customHeight="1">
      <c r="B3" s="1104"/>
      <c r="C3" s="1119"/>
      <c r="D3" s="1119"/>
      <c r="E3" s="1119"/>
      <c r="F3" s="1119"/>
      <c r="G3" s="1119"/>
      <c r="H3" s="1119"/>
      <c r="I3" s="1119"/>
      <c r="J3" s="1119"/>
      <c r="K3" s="1119"/>
      <c r="L3" s="1119"/>
      <c r="M3" s="1119"/>
      <c r="N3" s="1119"/>
      <c r="O3" s="1119"/>
      <c r="P3" s="1119"/>
      <c r="Q3" s="1119"/>
      <c r="R3" s="1119"/>
      <c r="S3" s="1119"/>
    </row>
    <row r="4" spans="1:23" ht="12.75" customHeight="1">
      <c r="C4" s="503"/>
      <c r="D4" s="64"/>
      <c r="E4" s="50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1:23" ht="12.75" customHeight="1">
      <c r="B5" s="1121" t="s">
        <v>0</v>
      </c>
      <c r="C5" s="1121"/>
      <c r="D5" s="1121"/>
      <c r="E5" s="1121"/>
      <c r="F5" s="1121"/>
      <c r="G5" s="1121"/>
      <c r="H5" s="1121"/>
      <c r="I5" s="1121"/>
      <c r="J5" s="1121"/>
      <c r="K5" s="1121"/>
      <c r="L5" s="1121"/>
      <c r="M5" s="1121"/>
      <c r="N5" s="1121"/>
      <c r="O5" s="1121"/>
      <c r="P5" s="1121"/>
      <c r="Q5" s="1121"/>
      <c r="R5" s="1121"/>
      <c r="S5" s="1121"/>
      <c r="T5" s="1121"/>
      <c r="V5" s="638"/>
    </row>
    <row r="6" spans="1:23" ht="12.75" customHeight="1">
      <c r="B6" s="1104" t="s">
        <v>73</v>
      </c>
      <c r="C6" s="1104"/>
      <c r="D6" s="1104"/>
      <c r="E6" s="1104"/>
      <c r="F6" s="1104"/>
      <c r="G6" s="1104"/>
      <c r="H6" s="1104"/>
      <c r="I6" s="1104"/>
      <c r="J6" s="1104"/>
      <c r="K6" s="1104"/>
      <c r="L6" s="1104"/>
      <c r="M6" s="1104"/>
      <c r="N6" s="1104"/>
      <c r="O6" s="1104"/>
      <c r="P6" s="1104"/>
      <c r="Q6" s="1104"/>
      <c r="R6" s="1104"/>
      <c r="S6" s="1104"/>
      <c r="T6" s="1104"/>
    </row>
    <row r="7" spans="1:23" ht="12.75" customHeight="1">
      <c r="B7" s="1121" t="s">
        <v>694</v>
      </c>
      <c r="C7" s="1121"/>
      <c r="D7" s="1121"/>
      <c r="E7" s="1121"/>
      <c r="F7" s="1121"/>
      <c r="G7" s="1121"/>
      <c r="H7" s="1121"/>
      <c r="I7" s="1121"/>
      <c r="J7" s="1121"/>
      <c r="K7" s="1121"/>
      <c r="L7" s="1121"/>
      <c r="M7" s="1121"/>
      <c r="N7" s="1121"/>
      <c r="O7" s="1121"/>
      <c r="P7" s="1121"/>
      <c r="Q7" s="1121"/>
      <c r="R7" s="1121"/>
      <c r="S7" s="1121"/>
      <c r="T7" s="1121"/>
      <c r="U7" s="642"/>
    </row>
    <row r="8" spans="1:23" ht="12.75" customHeight="1">
      <c r="C8" s="505"/>
      <c r="D8" s="131"/>
      <c r="E8" s="131"/>
      <c r="F8" s="131"/>
      <c r="G8" s="131"/>
      <c r="H8" s="457"/>
      <c r="I8" s="457"/>
      <c r="J8" s="457"/>
      <c r="K8" s="457"/>
      <c r="L8" s="457"/>
      <c r="M8" s="457"/>
      <c r="N8" s="131"/>
      <c r="O8" s="131"/>
      <c r="P8" s="131"/>
      <c r="Q8" s="131"/>
      <c r="R8" s="131"/>
      <c r="S8" s="131"/>
    </row>
    <row r="9" spans="1:23" ht="12.75" customHeight="1">
      <c r="B9" s="339"/>
      <c r="C9" s="1128" t="s">
        <v>1</v>
      </c>
      <c r="D9" s="1128"/>
      <c r="E9" s="1128"/>
      <c r="F9" s="1128"/>
      <c r="G9" s="428" t="s">
        <v>2</v>
      </c>
      <c r="H9" s="428" t="s">
        <v>3</v>
      </c>
      <c r="I9" s="428" t="s">
        <v>4</v>
      </c>
      <c r="J9" s="428" t="s">
        <v>5</v>
      </c>
      <c r="K9" s="428" t="s">
        <v>7</v>
      </c>
      <c r="L9" s="428" t="s">
        <v>6</v>
      </c>
      <c r="M9" s="428" t="s">
        <v>30</v>
      </c>
      <c r="N9" s="428" t="s">
        <v>31</v>
      </c>
      <c r="O9" s="428" t="s">
        <v>32</v>
      </c>
      <c r="P9" s="428" t="s">
        <v>74</v>
      </c>
      <c r="Q9" s="428" t="s">
        <v>75</v>
      </c>
      <c r="R9" s="428" t="s">
        <v>76</v>
      </c>
      <c r="S9" s="428" t="s">
        <v>77</v>
      </c>
      <c r="T9" s="428" t="s">
        <v>78</v>
      </c>
      <c r="U9" s="428" t="s">
        <v>79</v>
      </c>
      <c r="V9" s="428" t="s">
        <v>80</v>
      </c>
    </row>
    <row r="10" spans="1:23" ht="12.75" customHeight="1">
      <c r="C10" s="64"/>
      <c r="D10" s="513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422"/>
      <c r="S10" s="422"/>
    </row>
    <row r="11" spans="1:23" ht="12.75" customHeight="1">
      <c r="B11" s="506"/>
      <c r="C11" s="64"/>
      <c r="D11" s="415"/>
      <c r="E11" s="415"/>
      <c r="F11" s="415"/>
      <c r="G11" s="453" t="s">
        <v>81</v>
      </c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458" t="s">
        <v>487</v>
      </c>
      <c r="V11" s="458" t="s">
        <v>82</v>
      </c>
    </row>
    <row r="12" spans="1:23" ht="12.75" customHeight="1">
      <c r="B12" s="342" t="s">
        <v>8</v>
      </c>
      <c r="C12" s="493"/>
      <c r="D12" s="494"/>
      <c r="E12" s="494"/>
      <c r="F12" s="482"/>
      <c r="G12" s="480" t="s">
        <v>83</v>
      </c>
      <c r="H12" s="1139" t="s">
        <v>86</v>
      </c>
      <c r="I12" s="1140"/>
      <c r="J12" s="1140"/>
      <c r="K12" s="1140"/>
      <c r="L12" s="1140"/>
      <c r="M12" s="1140"/>
      <c r="N12" s="1140"/>
      <c r="O12" s="1140"/>
      <c r="P12" s="1140"/>
      <c r="Q12" s="1140"/>
      <c r="R12" s="1140"/>
      <c r="S12" s="1140"/>
      <c r="T12" s="1141"/>
      <c r="U12" s="459" t="s">
        <v>84</v>
      </c>
      <c r="V12" s="459" t="s">
        <v>85</v>
      </c>
    </row>
    <row r="13" spans="1:23" ht="12.75" customHeight="1">
      <c r="B13" s="344" t="s">
        <v>10</v>
      </c>
      <c r="C13" s="1136" t="s">
        <v>35</v>
      </c>
      <c r="D13" s="1137"/>
      <c r="E13" s="1137"/>
      <c r="F13" s="1138"/>
      <c r="G13" s="481" t="s">
        <v>82</v>
      </c>
      <c r="H13" s="458" t="s">
        <v>27</v>
      </c>
      <c r="I13" s="458" t="s">
        <v>34</v>
      </c>
      <c r="J13" s="458" t="s">
        <v>17</v>
      </c>
      <c r="K13" s="458" t="s">
        <v>18</v>
      </c>
      <c r="L13" s="458" t="s">
        <v>19</v>
      </c>
      <c r="M13" s="458" t="s">
        <v>20</v>
      </c>
      <c r="N13" s="458" t="s">
        <v>21</v>
      </c>
      <c r="O13" s="458" t="s">
        <v>22</v>
      </c>
      <c r="P13" s="458" t="s">
        <v>23</v>
      </c>
      <c r="Q13" s="458" t="s">
        <v>24</v>
      </c>
      <c r="R13" s="458" t="s">
        <v>25</v>
      </c>
      <c r="S13" s="458" t="s">
        <v>26</v>
      </c>
      <c r="T13" s="458" t="s">
        <v>27</v>
      </c>
      <c r="U13" s="454" t="s">
        <v>87</v>
      </c>
      <c r="V13" s="454" t="s">
        <v>545</v>
      </c>
    </row>
    <row r="14" spans="1:23" ht="12.75" customHeight="1">
      <c r="B14" s="343"/>
      <c r="C14" s="323"/>
      <c r="D14" s="324"/>
      <c r="E14" s="324"/>
      <c r="F14" s="325"/>
      <c r="G14" s="500"/>
      <c r="H14" s="470"/>
      <c r="I14" s="471"/>
      <c r="J14" s="465"/>
      <c r="K14" s="465"/>
      <c r="L14" s="465"/>
      <c r="M14" s="465"/>
      <c r="N14" s="465"/>
      <c r="O14" s="465"/>
      <c r="P14" s="465"/>
      <c r="Q14" s="465"/>
      <c r="R14" s="465"/>
      <c r="S14" s="465"/>
      <c r="T14" s="465"/>
      <c r="U14" s="465"/>
      <c r="V14" s="470"/>
    </row>
    <row r="15" spans="1:23" ht="12.75" customHeight="1">
      <c r="B15" s="343"/>
      <c r="C15" s="1125" t="s">
        <v>88</v>
      </c>
      <c r="D15" s="1126"/>
      <c r="E15" s="1126"/>
      <c r="F15" s="1127"/>
      <c r="G15" s="507"/>
      <c r="H15" s="508"/>
      <c r="I15" s="475"/>
      <c r="J15" s="475"/>
      <c r="K15" s="475"/>
      <c r="L15" s="475"/>
      <c r="M15" s="475"/>
      <c r="N15" s="475"/>
      <c r="O15" s="475"/>
      <c r="P15" s="475"/>
      <c r="Q15" s="475"/>
      <c r="R15" s="475"/>
      <c r="S15" s="475"/>
      <c r="T15" s="475"/>
      <c r="U15" s="475"/>
      <c r="V15" s="475"/>
    </row>
    <row r="16" spans="1:23" ht="12.75" customHeight="1">
      <c r="A16" s="642">
        <v>210910</v>
      </c>
      <c r="B16" s="343">
        <v>1</v>
      </c>
      <c r="C16" s="489">
        <v>5.9499999999999997E-2</v>
      </c>
      <c r="D16" s="492" t="s">
        <v>488</v>
      </c>
      <c r="E16" s="492"/>
      <c r="F16" s="488"/>
      <c r="G16" s="509">
        <v>5.9499999999999997E-2</v>
      </c>
      <c r="H16" s="463">
        <v>33000000</v>
      </c>
      <c r="I16" s="463">
        <v>33000000</v>
      </c>
      <c r="J16" s="463">
        <v>33000000</v>
      </c>
      <c r="K16" s="463">
        <v>33000000</v>
      </c>
      <c r="L16" s="463">
        <v>33000000</v>
      </c>
      <c r="M16" s="463">
        <v>33000000</v>
      </c>
      <c r="N16" s="463">
        <v>33000000</v>
      </c>
      <c r="O16" s="463">
        <v>33000000</v>
      </c>
      <c r="P16" s="463">
        <v>33000000</v>
      </c>
      <c r="Q16" s="463">
        <v>33000000</v>
      </c>
      <c r="R16" s="463">
        <v>33000000</v>
      </c>
      <c r="S16" s="463">
        <v>33000000</v>
      </c>
      <c r="T16" s="463">
        <v>33000000</v>
      </c>
      <c r="U16" s="463">
        <f>AVERAGE(H16:T16)</f>
        <v>33000000</v>
      </c>
      <c r="V16" s="463">
        <v>1963499.9999999998</v>
      </c>
      <c r="W16" s="641" t="s">
        <v>369</v>
      </c>
    </row>
    <row r="17" spans="1:23" ht="12.75" customHeight="1">
      <c r="A17" s="642">
        <v>210908</v>
      </c>
      <c r="B17" s="343">
        <f>1+B16</f>
        <v>2</v>
      </c>
      <c r="C17" s="489">
        <v>6.1499999999999999E-2</v>
      </c>
      <c r="D17" s="492" t="s">
        <v>489</v>
      </c>
      <c r="E17" s="492"/>
      <c r="F17" s="488"/>
      <c r="G17" s="509">
        <v>6.1499999999999999E-2</v>
      </c>
      <c r="H17" s="463">
        <v>30000000</v>
      </c>
      <c r="I17" s="463">
        <v>30000000</v>
      </c>
      <c r="J17" s="463">
        <v>30000000</v>
      </c>
      <c r="K17" s="463">
        <v>30000000</v>
      </c>
      <c r="L17" s="463">
        <v>30000000</v>
      </c>
      <c r="M17" s="463">
        <v>30000000</v>
      </c>
      <c r="N17" s="463">
        <v>30000000</v>
      </c>
      <c r="O17" s="463">
        <v>30000000</v>
      </c>
      <c r="P17" s="463">
        <v>30000000</v>
      </c>
      <c r="Q17" s="463">
        <v>30000000</v>
      </c>
      <c r="R17" s="463">
        <v>30000000</v>
      </c>
      <c r="S17" s="463">
        <v>30000000</v>
      </c>
      <c r="T17" s="463">
        <v>30000000</v>
      </c>
      <c r="U17" s="463">
        <f t="shared" ref="U17:U20" si="0">AVERAGE(H17:T17)</f>
        <v>30000000</v>
      </c>
      <c r="V17" s="463">
        <v>1845000.0000000002</v>
      </c>
      <c r="W17" s="641" t="s">
        <v>369</v>
      </c>
    </row>
    <row r="18" spans="1:23" ht="12.75" customHeight="1">
      <c r="A18" s="642">
        <v>210906</v>
      </c>
      <c r="B18" s="343">
        <f t="shared" ref="B18:B32" si="1">1+B17</f>
        <v>3</v>
      </c>
      <c r="C18" s="489">
        <v>6.3700000000000007E-2</v>
      </c>
      <c r="D18" s="492" t="s">
        <v>490</v>
      </c>
      <c r="E18" s="492"/>
      <c r="F18" s="488"/>
      <c r="G18" s="509">
        <v>6.3700000000000007E-2</v>
      </c>
      <c r="H18" s="463">
        <v>42000000</v>
      </c>
      <c r="I18" s="463">
        <v>42000000</v>
      </c>
      <c r="J18" s="463">
        <v>42000000</v>
      </c>
      <c r="K18" s="463">
        <v>42000000</v>
      </c>
      <c r="L18" s="463">
        <v>42000000</v>
      </c>
      <c r="M18" s="463">
        <v>42000000</v>
      </c>
      <c r="N18" s="463">
        <v>42000000</v>
      </c>
      <c r="O18" s="463">
        <v>42000000</v>
      </c>
      <c r="P18" s="463">
        <v>42000000</v>
      </c>
      <c r="Q18" s="463">
        <v>42000000</v>
      </c>
      <c r="R18" s="463">
        <v>42000000</v>
      </c>
      <c r="S18" s="463">
        <v>42000000</v>
      </c>
      <c r="T18" s="463">
        <v>42000000</v>
      </c>
      <c r="U18" s="463">
        <f t="shared" si="0"/>
        <v>42000000</v>
      </c>
      <c r="V18" s="463">
        <v>2675400</v>
      </c>
      <c r="W18" s="641" t="s">
        <v>369</v>
      </c>
    </row>
    <row r="19" spans="1:23" ht="12.75" customHeight="1">
      <c r="A19" s="642">
        <v>210934</v>
      </c>
      <c r="B19" s="343">
        <f t="shared" si="1"/>
        <v>4</v>
      </c>
      <c r="C19" s="489">
        <v>6.4699999999999994E-2</v>
      </c>
      <c r="D19" s="492" t="s">
        <v>491</v>
      </c>
      <c r="E19" s="492"/>
      <c r="F19" s="488"/>
      <c r="G19" s="509">
        <v>6.4699999999999994E-2</v>
      </c>
      <c r="H19" s="463">
        <v>50000000</v>
      </c>
      <c r="I19" s="463">
        <v>50000000</v>
      </c>
      <c r="J19" s="463">
        <v>50000000</v>
      </c>
      <c r="K19" s="463">
        <v>50000000</v>
      </c>
      <c r="L19" s="463">
        <v>50000000</v>
      </c>
      <c r="M19" s="463">
        <v>50000000</v>
      </c>
      <c r="N19" s="463">
        <v>50000000</v>
      </c>
      <c r="O19" s="463">
        <v>50000000</v>
      </c>
      <c r="P19" s="463">
        <v>50000000</v>
      </c>
      <c r="Q19" s="463">
        <v>50000000</v>
      </c>
      <c r="R19" s="463">
        <v>50000000</v>
      </c>
      <c r="S19" s="463">
        <v>50000000</v>
      </c>
      <c r="T19" s="463">
        <v>50000000</v>
      </c>
      <c r="U19" s="463">
        <f t="shared" si="0"/>
        <v>50000000</v>
      </c>
      <c r="V19" s="463">
        <v>3235000.0000000005</v>
      </c>
      <c r="W19" s="641" t="s">
        <v>369</v>
      </c>
    </row>
    <row r="20" spans="1:23" ht="12.75" customHeight="1">
      <c r="A20" s="642">
        <v>210914</v>
      </c>
      <c r="B20" s="343">
        <f t="shared" si="1"/>
        <v>5</v>
      </c>
      <c r="C20" s="489">
        <v>4.6300000000000001E-2</v>
      </c>
      <c r="D20" s="492" t="s">
        <v>492</v>
      </c>
      <c r="E20" s="492"/>
      <c r="F20" s="488"/>
      <c r="G20" s="509">
        <v>4.6300000000000001E-2</v>
      </c>
      <c r="H20" s="463">
        <v>140000000</v>
      </c>
      <c r="I20" s="463">
        <v>140000000</v>
      </c>
      <c r="J20" s="463">
        <v>140000000</v>
      </c>
      <c r="K20" s="463">
        <v>140000000</v>
      </c>
      <c r="L20" s="463">
        <v>140000000</v>
      </c>
      <c r="M20" s="463">
        <v>140000000</v>
      </c>
      <c r="N20" s="463">
        <v>140000000</v>
      </c>
      <c r="O20" s="463">
        <v>140000000</v>
      </c>
      <c r="P20" s="463">
        <v>140000000</v>
      </c>
      <c r="Q20" s="463">
        <v>140000000</v>
      </c>
      <c r="R20" s="463">
        <v>140000000</v>
      </c>
      <c r="S20" s="463">
        <v>140000000</v>
      </c>
      <c r="T20" s="463">
        <v>140000000</v>
      </c>
      <c r="U20" s="463">
        <f t="shared" si="0"/>
        <v>140000000</v>
      </c>
      <c r="V20" s="463">
        <v>6482000.0000000009</v>
      </c>
      <c r="W20" s="641" t="s">
        <v>369</v>
      </c>
    </row>
    <row r="21" spans="1:23" s="642" customFormat="1" ht="12.75" customHeight="1">
      <c r="A21" s="642">
        <v>261702</v>
      </c>
      <c r="B21" s="343">
        <f t="shared" si="1"/>
        <v>6</v>
      </c>
      <c r="C21" s="674">
        <v>4.6799999999999994E-2</v>
      </c>
      <c r="D21" s="673" t="s">
        <v>601</v>
      </c>
      <c r="E21" s="492"/>
      <c r="F21" s="665"/>
      <c r="G21" s="664">
        <v>4.6800000000000001E-2</v>
      </c>
      <c r="H21" s="463">
        <v>60000000</v>
      </c>
      <c r="I21" s="463">
        <v>60000000</v>
      </c>
      <c r="J21" s="463">
        <v>60000000</v>
      </c>
      <c r="K21" s="463">
        <v>60000000</v>
      </c>
      <c r="L21" s="463">
        <v>60000000</v>
      </c>
      <c r="M21" s="463">
        <v>60000000</v>
      </c>
      <c r="N21" s="463">
        <v>60000000</v>
      </c>
      <c r="O21" s="463">
        <v>60000000</v>
      </c>
      <c r="P21" s="463">
        <v>60000000</v>
      </c>
      <c r="Q21" s="463">
        <v>60000000</v>
      </c>
      <c r="R21" s="463">
        <v>60000000</v>
      </c>
      <c r="S21" s="463">
        <v>60000000</v>
      </c>
      <c r="T21" s="463">
        <v>60000000</v>
      </c>
      <c r="U21" s="463">
        <f t="shared" ref="U21:U22" si="2">AVERAGE(H21:T21)</f>
        <v>60000000</v>
      </c>
      <c r="V21" s="463">
        <v>2807999.9999999995</v>
      </c>
      <c r="W21" s="641" t="s">
        <v>369</v>
      </c>
    </row>
    <row r="22" spans="1:23" s="642" customFormat="1" ht="12.75" customHeight="1">
      <c r="A22" s="642">
        <v>261700</v>
      </c>
      <c r="B22" s="343">
        <f t="shared" si="1"/>
        <v>7</v>
      </c>
      <c r="C22" s="674">
        <v>5.4699999999999999E-2</v>
      </c>
      <c r="D22" s="673" t="s">
        <v>602</v>
      </c>
      <c r="E22" s="672"/>
      <c r="F22" s="665"/>
      <c r="G22" s="664">
        <v>5.4699999999999999E-2</v>
      </c>
      <c r="H22" s="463">
        <v>90000000</v>
      </c>
      <c r="I22" s="463">
        <v>90000000</v>
      </c>
      <c r="J22" s="463">
        <v>90000000</v>
      </c>
      <c r="K22" s="463">
        <v>90000000</v>
      </c>
      <c r="L22" s="463">
        <v>90000000</v>
      </c>
      <c r="M22" s="463">
        <v>90000000</v>
      </c>
      <c r="N22" s="463">
        <v>90000000</v>
      </c>
      <c r="O22" s="463">
        <v>90000000</v>
      </c>
      <c r="P22" s="463">
        <v>90000000</v>
      </c>
      <c r="Q22" s="463">
        <v>90000000</v>
      </c>
      <c r="R22" s="463">
        <v>90000000</v>
      </c>
      <c r="S22" s="463">
        <v>90000000</v>
      </c>
      <c r="T22" s="463">
        <v>90000000</v>
      </c>
      <c r="U22" s="463">
        <f t="shared" si="2"/>
        <v>90000000</v>
      </c>
      <c r="V22" s="463">
        <v>4923000.0000000009</v>
      </c>
      <c r="W22" s="641" t="s">
        <v>369</v>
      </c>
    </row>
    <row r="23" spans="1:23" ht="12.75" customHeight="1">
      <c r="B23" s="343">
        <f t="shared" si="1"/>
        <v>8</v>
      </c>
      <c r="C23" s="1134" t="s">
        <v>89</v>
      </c>
      <c r="D23" s="1135"/>
      <c r="E23" s="446"/>
      <c r="F23" s="483"/>
      <c r="G23" s="510"/>
      <c r="H23" s="472">
        <f t="shared" ref="H23:V23" si="3">SUM(H16:H22)</f>
        <v>445000000</v>
      </c>
      <c r="I23" s="472">
        <f t="shared" si="3"/>
        <v>445000000</v>
      </c>
      <c r="J23" s="472">
        <f t="shared" si="3"/>
        <v>445000000</v>
      </c>
      <c r="K23" s="472">
        <f t="shared" si="3"/>
        <v>445000000</v>
      </c>
      <c r="L23" s="472">
        <f t="shared" si="3"/>
        <v>445000000</v>
      </c>
      <c r="M23" s="472">
        <f t="shared" si="3"/>
        <v>445000000</v>
      </c>
      <c r="N23" s="472">
        <f t="shared" si="3"/>
        <v>445000000</v>
      </c>
      <c r="O23" s="472">
        <f t="shared" si="3"/>
        <v>445000000</v>
      </c>
      <c r="P23" s="472">
        <f t="shared" si="3"/>
        <v>445000000</v>
      </c>
      <c r="Q23" s="472">
        <f t="shared" si="3"/>
        <v>445000000</v>
      </c>
      <c r="R23" s="472">
        <f t="shared" si="3"/>
        <v>445000000</v>
      </c>
      <c r="S23" s="472">
        <f t="shared" si="3"/>
        <v>445000000</v>
      </c>
      <c r="T23" s="472">
        <f t="shared" si="3"/>
        <v>445000000</v>
      </c>
      <c r="U23" s="472">
        <f t="shared" si="3"/>
        <v>445000000</v>
      </c>
      <c r="V23" s="472">
        <f t="shared" si="3"/>
        <v>23931900</v>
      </c>
    </row>
    <row r="24" spans="1:23" ht="14.25" customHeight="1">
      <c r="B24" s="343">
        <f t="shared" si="1"/>
        <v>9</v>
      </c>
      <c r="C24" s="484"/>
      <c r="D24" s="491"/>
      <c r="E24" s="491"/>
      <c r="F24" s="485"/>
      <c r="G24" s="511"/>
      <c r="H24" s="464"/>
      <c r="I24" s="464"/>
      <c r="J24" s="464"/>
      <c r="K24" s="464"/>
      <c r="L24" s="464"/>
      <c r="M24" s="464"/>
      <c r="N24" s="464"/>
      <c r="O24" s="464"/>
      <c r="P24" s="464"/>
      <c r="Q24" s="464"/>
      <c r="R24" s="464"/>
      <c r="S24" s="464"/>
      <c r="T24" s="464"/>
      <c r="U24" s="464"/>
      <c r="V24" s="464"/>
    </row>
    <row r="25" spans="1:23" ht="12.75" customHeight="1">
      <c r="B25" s="343">
        <f t="shared" si="1"/>
        <v>10</v>
      </c>
      <c r="C25" s="486"/>
      <c r="D25" s="487"/>
      <c r="E25" s="487"/>
      <c r="F25" s="501"/>
      <c r="G25" s="477"/>
      <c r="H25" s="474"/>
      <c r="I25" s="474"/>
      <c r="J25" s="474"/>
      <c r="K25" s="474"/>
      <c r="L25" s="474"/>
      <c r="M25" s="474"/>
      <c r="N25" s="474"/>
      <c r="O25" s="474"/>
      <c r="P25" s="474"/>
      <c r="Q25" s="474"/>
      <c r="R25" s="474"/>
      <c r="S25" s="474"/>
      <c r="T25" s="474"/>
      <c r="U25" s="474"/>
      <c r="V25" s="474"/>
    </row>
    <row r="26" spans="1:23" ht="12.75" customHeight="1">
      <c r="B26" s="343">
        <f t="shared" si="1"/>
        <v>11</v>
      </c>
      <c r="C26" s="495"/>
      <c r="D26" s="490"/>
      <c r="E26" s="490"/>
      <c r="F26" s="478"/>
      <c r="G26" s="478"/>
      <c r="H26" s="462"/>
      <c r="I26" s="462"/>
      <c r="J26" s="462"/>
      <c r="K26" s="462"/>
      <c r="L26" s="462"/>
      <c r="M26" s="462"/>
      <c r="N26" s="462"/>
      <c r="O26" s="462"/>
      <c r="P26" s="462"/>
      <c r="Q26" s="462"/>
      <c r="R26" s="462"/>
      <c r="S26" s="473"/>
      <c r="T26" s="473"/>
      <c r="U26" s="462"/>
      <c r="V26" s="462"/>
    </row>
    <row r="27" spans="1:23" ht="12.75" customHeight="1">
      <c r="A27" s="642">
        <v>118544</v>
      </c>
      <c r="B27" s="343">
        <f t="shared" si="1"/>
        <v>12</v>
      </c>
      <c r="C27" s="1132" t="s">
        <v>493</v>
      </c>
      <c r="D27" s="1133"/>
      <c r="E27" s="1133"/>
      <c r="F27" s="496"/>
      <c r="G27" s="559" t="s">
        <v>368</v>
      </c>
      <c r="H27" s="463">
        <v>-5157022.3375478098</v>
      </c>
      <c r="I27" s="463">
        <v>-5095303.1054724455</v>
      </c>
      <c r="J27" s="463">
        <v>-5033583.8733970802</v>
      </c>
      <c r="K27" s="463">
        <v>-4971864.641321715</v>
      </c>
      <c r="L27" s="463">
        <v>-4910145.4092463497</v>
      </c>
      <c r="M27" s="463">
        <v>-4848426.1771709844</v>
      </c>
      <c r="N27" s="463">
        <v>-4786706.9450956201</v>
      </c>
      <c r="O27" s="463">
        <v>-4724987.7130202549</v>
      </c>
      <c r="P27" s="463">
        <v>-4663268.4809448896</v>
      </c>
      <c r="Q27" s="463">
        <v>-4601549.2488695253</v>
      </c>
      <c r="R27" s="463">
        <v>-4539830.01679416</v>
      </c>
      <c r="S27" s="463">
        <v>-4478110.7847187947</v>
      </c>
      <c r="T27" s="463">
        <v>-4416391.5526434295</v>
      </c>
      <c r="U27" s="463">
        <f>AVERAGE(H27:T27)</f>
        <v>-4786706.9450956192</v>
      </c>
      <c r="V27" s="1008">
        <v>740630.7849043794</v>
      </c>
      <c r="W27" s="594" t="s">
        <v>369</v>
      </c>
    </row>
    <row r="28" spans="1:23" ht="12.75" customHeight="1">
      <c r="B28" s="343">
        <f t="shared" si="1"/>
        <v>13</v>
      </c>
      <c r="C28" s="555"/>
      <c r="D28" s="496"/>
      <c r="E28" s="496"/>
      <c r="F28" s="498"/>
      <c r="G28" s="556"/>
      <c r="H28" s="557"/>
      <c r="I28" s="557"/>
      <c r="J28" s="557"/>
      <c r="K28" s="557"/>
      <c r="L28" s="557"/>
      <c r="M28" s="557"/>
      <c r="N28" s="557"/>
      <c r="O28" s="951"/>
      <c r="P28" s="558"/>
      <c r="Q28" s="333"/>
      <c r="R28" s="558"/>
      <c r="S28" s="558"/>
      <c r="T28" s="558"/>
      <c r="U28" s="558"/>
      <c r="V28" s="558"/>
    </row>
    <row r="29" spans="1:23" ht="12.75" customHeight="1">
      <c r="B29" s="343">
        <f t="shared" si="1"/>
        <v>14</v>
      </c>
      <c r="C29" s="555" t="s">
        <v>501</v>
      </c>
      <c r="D29" s="496"/>
      <c r="E29" s="496"/>
      <c r="F29" s="498"/>
      <c r="G29" s="556"/>
      <c r="H29" s="560">
        <f>-H27</f>
        <v>5157022.3375478098</v>
      </c>
      <c r="I29" s="560">
        <f t="shared" ref="I29:U29" si="4">-I27</f>
        <v>5095303.1054724455</v>
      </c>
      <c r="J29" s="560">
        <f t="shared" si="4"/>
        <v>5033583.8733970802</v>
      </c>
      <c r="K29" s="560">
        <f t="shared" si="4"/>
        <v>4971864.641321715</v>
      </c>
      <c r="L29" s="560">
        <f t="shared" si="4"/>
        <v>4910145.4092463497</v>
      </c>
      <c r="M29" s="560">
        <f t="shared" si="4"/>
        <v>4848426.1771709844</v>
      </c>
      <c r="N29" s="560">
        <f t="shared" si="4"/>
        <v>4786706.9450956201</v>
      </c>
      <c r="O29" s="560">
        <f t="shared" si="4"/>
        <v>4724987.7130202549</v>
      </c>
      <c r="P29" s="560">
        <f t="shared" si="4"/>
        <v>4663268.4809448896</v>
      </c>
      <c r="Q29" s="560">
        <f t="shared" si="4"/>
        <v>4601549.2488695253</v>
      </c>
      <c r="R29" s="560">
        <f t="shared" si="4"/>
        <v>4539830.01679416</v>
      </c>
      <c r="S29" s="560">
        <f t="shared" si="4"/>
        <v>4478110.7847187947</v>
      </c>
      <c r="T29" s="560">
        <f t="shared" si="4"/>
        <v>4416391.5526434295</v>
      </c>
      <c r="U29" s="560">
        <f t="shared" si="4"/>
        <v>4786706.9450956192</v>
      </c>
      <c r="V29" s="560">
        <v>0</v>
      </c>
    </row>
    <row r="30" spans="1:23" ht="12.75" customHeight="1">
      <c r="B30" s="343">
        <f t="shared" si="1"/>
        <v>15</v>
      </c>
      <c r="C30" s="555"/>
      <c r="D30" s="496"/>
      <c r="E30" s="496"/>
      <c r="F30" s="498"/>
      <c r="G30" s="556"/>
      <c r="H30" s="557"/>
      <c r="I30" s="557"/>
      <c r="J30" s="557"/>
      <c r="K30" s="557"/>
      <c r="L30" s="557"/>
      <c r="M30" s="557"/>
      <c r="N30" s="557"/>
      <c r="O30" s="558"/>
      <c r="P30" s="558"/>
      <c r="Q30" s="558"/>
      <c r="R30" s="558"/>
      <c r="S30" s="558"/>
      <c r="T30" s="558"/>
      <c r="U30" s="558"/>
      <c r="V30" s="558"/>
    </row>
    <row r="31" spans="1:23" ht="12.75" customHeight="1">
      <c r="B31" s="343">
        <f t="shared" si="1"/>
        <v>16</v>
      </c>
      <c r="C31" s="476"/>
      <c r="D31" s="499"/>
      <c r="E31" s="499"/>
      <c r="F31" s="479"/>
      <c r="G31" s="479"/>
      <c r="H31" s="467"/>
      <c r="I31" s="466"/>
      <c r="J31" s="466"/>
      <c r="K31" s="466"/>
      <c r="L31" s="466"/>
      <c r="M31" s="466"/>
      <c r="N31" s="466"/>
      <c r="O31" s="466"/>
      <c r="P31" s="466"/>
      <c r="Q31" s="466"/>
      <c r="R31" s="466"/>
      <c r="S31" s="466"/>
      <c r="T31" s="468"/>
      <c r="U31" s="469"/>
      <c r="V31" s="466"/>
    </row>
    <row r="32" spans="1:23" ht="12.75" customHeight="1">
      <c r="B32" s="343">
        <f t="shared" si="1"/>
        <v>17</v>
      </c>
      <c r="C32" s="1129" t="s">
        <v>90</v>
      </c>
      <c r="D32" s="1130"/>
      <c r="E32" s="1130"/>
      <c r="F32" s="1131"/>
      <c r="G32" s="512"/>
      <c r="H32" s="502">
        <f>H27+H29+H23</f>
        <v>445000000</v>
      </c>
      <c r="I32" s="502">
        <f t="shared" ref="I32:V32" si="5">I27+I29+I23</f>
        <v>445000000</v>
      </c>
      <c r="J32" s="502">
        <f t="shared" si="5"/>
        <v>445000000</v>
      </c>
      <c r="K32" s="502">
        <f t="shared" si="5"/>
        <v>445000000</v>
      </c>
      <c r="L32" s="502">
        <f t="shared" si="5"/>
        <v>445000000</v>
      </c>
      <c r="M32" s="502">
        <f t="shared" si="5"/>
        <v>445000000</v>
      </c>
      <c r="N32" s="502">
        <f t="shared" si="5"/>
        <v>445000000</v>
      </c>
      <c r="O32" s="502">
        <f t="shared" si="5"/>
        <v>445000000</v>
      </c>
      <c r="P32" s="502">
        <f t="shared" si="5"/>
        <v>445000000</v>
      </c>
      <c r="Q32" s="502">
        <f t="shared" si="5"/>
        <v>445000000</v>
      </c>
      <c r="R32" s="502">
        <f t="shared" si="5"/>
        <v>445000000</v>
      </c>
      <c r="S32" s="502">
        <f t="shared" si="5"/>
        <v>445000000</v>
      </c>
      <c r="T32" s="502">
        <f t="shared" si="5"/>
        <v>445000000</v>
      </c>
      <c r="U32" s="516">
        <f t="shared" si="5"/>
        <v>445000000</v>
      </c>
      <c r="V32" s="516">
        <f t="shared" si="5"/>
        <v>24672530.784904379</v>
      </c>
    </row>
    <row r="33" spans="3:22" ht="12.75" customHeight="1">
      <c r="J33" s="443"/>
    </row>
    <row r="34" spans="3:22" ht="12.75" customHeight="1">
      <c r="C34" s="625" t="s">
        <v>519</v>
      </c>
      <c r="D34" s="1124" t="s">
        <v>571</v>
      </c>
      <c r="E34" s="1124"/>
      <c r="F34" s="1124"/>
      <c r="G34" s="1124"/>
      <c r="J34" s="443"/>
    </row>
    <row r="35" spans="3:22" ht="12.75" customHeight="1">
      <c r="C35" s="604" t="s">
        <v>369</v>
      </c>
      <c r="D35" s="153" t="s">
        <v>603</v>
      </c>
      <c r="E35" s="606"/>
      <c r="J35" s="443"/>
      <c r="V35" s="642"/>
    </row>
    <row r="36" spans="3:22" ht="12.75" customHeight="1">
      <c r="C36" s="642"/>
      <c r="D36" s="642"/>
      <c r="E36" s="153"/>
      <c r="J36" s="443"/>
    </row>
    <row r="37" spans="3:22" ht="12.75" customHeight="1">
      <c r="E37" s="602"/>
      <c r="J37" s="443"/>
    </row>
    <row r="38" spans="3:22" ht="12.75" customHeight="1">
      <c r="D38" s="604"/>
      <c r="E38" s="153"/>
      <c r="J38" s="443"/>
    </row>
    <row r="39" spans="3:22" ht="12.75" customHeight="1">
      <c r="J39" s="443"/>
      <c r="S39" s="456"/>
    </row>
    <row r="40" spans="3:22" ht="12.75" customHeight="1">
      <c r="J40" s="443"/>
      <c r="S40" s="460"/>
    </row>
    <row r="41" spans="3:22" ht="12.75" customHeight="1">
      <c r="J41" s="443"/>
    </row>
    <row r="42" spans="3:22" ht="12.75" customHeight="1">
      <c r="J42" s="443"/>
      <c r="P42" s="461"/>
    </row>
    <row r="51" spans="20:20" ht="12.75" customHeight="1">
      <c r="T51" s="449"/>
    </row>
  </sheetData>
  <mergeCells count="12">
    <mergeCell ref="B3:S3"/>
    <mergeCell ref="H12:T12"/>
    <mergeCell ref="B7:T7"/>
    <mergeCell ref="B6:T6"/>
    <mergeCell ref="B5:T5"/>
    <mergeCell ref="D34:G34"/>
    <mergeCell ref="C15:F15"/>
    <mergeCell ref="C9:F9"/>
    <mergeCell ref="C32:F32"/>
    <mergeCell ref="C27:E27"/>
    <mergeCell ref="C23:D23"/>
    <mergeCell ref="C13:F13"/>
  </mergeCells>
  <printOptions horizontalCentered="1"/>
  <pageMargins left="0.25" right="0.25" top="0.5" bottom="0.5" header="0.5" footer="0.36"/>
  <pageSetup scale="48" orientation="landscape" r:id="rId1"/>
  <headerFooter alignWithMargins="0">
    <oddHeader>&amp;R&amp;"Arial,Regular"&amp;10Attachment O Work Paper
Page 19 of 20</oddHeader>
  </headerFooter>
  <colBreaks count="1" manualBreakCount="1">
    <brk id="19" max="1048575" man="1"/>
  </colBreaks>
  <ignoredErrors>
    <ignoredError sqref="D37 C35" numberStoredAsText="1"/>
    <ignoredError sqref="H32" unlockedFormula="1"/>
  </ignoredErrors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showGridLines="0" zoomScaleNormal="100" workbookViewId="0">
      <selection activeCell="O2" sqref="O2"/>
    </sheetView>
  </sheetViews>
  <sheetFormatPr defaultRowHeight="12.75"/>
  <cols>
    <col min="1" max="1" width="3.6640625" style="339" customWidth="1"/>
    <col min="2" max="2" width="3.88671875" style="322" bestFit="1" customWidth="1"/>
    <col min="3" max="3" width="4.109375" style="339" customWidth="1"/>
    <col min="4" max="4" width="3.33203125" style="339" customWidth="1"/>
    <col min="5" max="5" width="4.109375" style="339" customWidth="1"/>
    <col min="6" max="6" width="4.21875" style="339" customWidth="1"/>
    <col min="7" max="7" width="3.88671875" style="339" bestFit="1" customWidth="1"/>
    <col min="8" max="8" width="4.44140625" style="339" customWidth="1"/>
    <col min="9" max="9" width="5.44140625" style="339" bestFit="1" customWidth="1"/>
    <col min="10" max="10" width="5" style="339" customWidth="1"/>
    <col min="11" max="11" width="10" style="373" bestFit="1" customWidth="1"/>
    <col min="12" max="12" width="2.44140625" style="322" bestFit="1" customWidth="1"/>
    <col min="13" max="16384" width="8.88671875" style="322"/>
  </cols>
  <sheetData>
    <row r="1" spans="1:19">
      <c r="K1" s="638"/>
    </row>
    <row r="3" spans="1:19">
      <c r="A3" s="1107" t="s">
        <v>0</v>
      </c>
      <c r="B3" s="1107"/>
      <c r="C3" s="1107"/>
      <c r="D3" s="1107"/>
      <c r="E3" s="1107"/>
      <c r="F3" s="1107"/>
      <c r="G3" s="1107"/>
      <c r="H3" s="1107"/>
      <c r="I3" s="1107"/>
      <c r="J3" s="1107"/>
      <c r="K3" s="1107"/>
      <c r="L3" s="375"/>
      <c r="N3" s="376"/>
      <c r="O3" s="376"/>
      <c r="P3" s="934"/>
      <c r="Q3" s="934"/>
      <c r="R3" s="375"/>
      <c r="S3" s="375"/>
    </row>
    <row r="4" spans="1:19">
      <c r="A4" s="1107" t="s">
        <v>457</v>
      </c>
      <c r="B4" s="1107"/>
      <c r="C4" s="1107"/>
      <c r="D4" s="1107"/>
      <c r="E4" s="1107"/>
      <c r="F4" s="1107"/>
      <c r="G4" s="1107"/>
      <c r="H4" s="1107"/>
      <c r="I4" s="1107"/>
      <c r="J4" s="1107"/>
      <c r="K4" s="1107"/>
      <c r="L4" s="375"/>
      <c r="M4" s="375"/>
      <c r="N4" s="375"/>
      <c r="O4" s="375"/>
      <c r="P4" s="375"/>
      <c r="Q4" s="375"/>
      <c r="R4" s="375"/>
      <c r="S4" s="375"/>
    </row>
    <row r="5" spans="1:19">
      <c r="A5" s="1110" t="str">
        <f>'Page 13 - Depr Exp'!A5:G5</f>
        <v>Budget Year 2015</v>
      </c>
      <c r="B5" s="1110"/>
      <c r="C5" s="1110"/>
      <c r="D5" s="1110"/>
      <c r="E5" s="1110"/>
      <c r="F5" s="1110"/>
      <c r="G5" s="1110"/>
      <c r="H5" s="1110"/>
      <c r="I5" s="1110"/>
      <c r="J5" s="1110"/>
      <c r="K5" s="1110"/>
      <c r="L5" s="376"/>
      <c r="M5" s="376"/>
      <c r="N5" s="376"/>
      <c r="O5" s="376"/>
      <c r="P5" s="376"/>
      <c r="Q5" s="376"/>
      <c r="R5" s="376"/>
      <c r="S5" s="376"/>
    </row>
    <row r="6" spans="1:19">
      <c r="B6" s="339"/>
      <c r="K6" s="374"/>
      <c r="L6" s="339"/>
      <c r="M6" s="339"/>
      <c r="N6" s="339"/>
      <c r="O6" s="339"/>
      <c r="P6" s="339"/>
      <c r="Q6" s="339"/>
      <c r="R6" s="339"/>
    </row>
    <row r="7" spans="1:19">
      <c r="B7" s="1149" t="s">
        <v>1</v>
      </c>
      <c r="C7" s="1149"/>
      <c r="D7" s="1149"/>
      <c r="E7" s="1149"/>
      <c r="F7" s="1149"/>
      <c r="G7" s="1149"/>
      <c r="H7" s="1149"/>
      <c r="I7" s="1149"/>
      <c r="J7" s="1149"/>
      <c r="K7" s="339" t="s">
        <v>2</v>
      </c>
      <c r="M7" s="638"/>
    </row>
    <row r="9" spans="1:19">
      <c r="A9" s="342" t="s">
        <v>8</v>
      </c>
      <c r="B9" s="323"/>
      <c r="C9" s="379"/>
      <c r="D9" s="379"/>
      <c r="E9" s="379"/>
      <c r="F9" s="379"/>
      <c r="G9" s="379"/>
      <c r="H9" s="379"/>
      <c r="I9" s="379"/>
      <c r="J9" s="379"/>
      <c r="K9" s="377"/>
    </row>
    <row r="10" spans="1:19">
      <c r="A10" s="344" t="s">
        <v>10</v>
      </c>
      <c r="B10" s="335"/>
      <c r="C10" s="348"/>
      <c r="D10" s="348"/>
      <c r="E10" s="348"/>
      <c r="F10" s="348"/>
      <c r="G10" s="348"/>
      <c r="H10" s="348"/>
      <c r="I10" s="348"/>
      <c r="J10" s="348"/>
      <c r="K10" s="378" t="s">
        <v>66</v>
      </c>
    </row>
    <row r="11" spans="1:19">
      <c r="A11" s="342">
        <v>1</v>
      </c>
      <c r="B11" s="1150" t="s">
        <v>463</v>
      </c>
      <c r="C11" s="1151"/>
      <c r="D11" s="1151"/>
      <c r="E11" s="1151"/>
      <c r="F11" s="1151"/>
      <c r="G11" s="1151"/>
      <c r="H11" s="1151"/>
      <c r="I11" s="1151"/>
      <c r="J11" s="1151"/>
      <c r="K11" s="325"/>
    </row>
    <row r="12" spans="1:19">
      <c r="A12" s="343">
        <f t="shared" ref="A12:A28" si="0">+A11+1</f>
        <v>2</v>
      </c>
      <c r="B12" s="383" t="s">
        <v>445</v>
      </c>
      <c r="C12" s="384" t="s">
        <v>449</v>
      </c>
      <c r="D12" s="384" t="s">
        <v>377</v>
      </c>
      <c r="E12" s="384" t="s">
        <v>378</v>
      </c>
      <c r="F12" s="384" t="s">
        <v>446</v>
      </c>
      <c r="G12" s="384" t="s">
        <v>379</v>
      </c>
      <c r="H12" s="384" t="s">
        <v>447</v>
      </c>
      <c r="I12" s="384" t="s">
        <v>448</v>
      </c>
      <c r="J12" s="384" t="s">
        <v>33</v>
      </c>
      <c r="K12" s="382"/>
    </row>
    <row r="13" spans="1:19" ht="13.5" thickBot="1">
      <c r="A13" s="343">
        <f t="shared" si="0"/>
        <v>3</v>
      </c>
      <c r="B13" s="1009">
        <f>Info!B3</f>
        <v>2015</v>
      </c>
      <c r="C13" s="380" t="s">
        <v>381</v>
      </c>
      <c r="D13" s="878" t="s">
        <v>701</v>
      </c>
      <c r="E13" s="346" t="s">
        <v>394</v>
      </c>
      <c r="F13" s="346" t="s">
        <v>461</v>
      </c>
      <c r="G13" s="346" t="s">
        <v>462</v>
      </c>
      <c r="H13" s="346" t="s">
        <v>394</v>
      </c>
      <c r="I13" s="346" t="s">
        <v>385</v>
      </c>
      <c r="J13" s="346" t="s">
        <v>462</v>
      </c>
      <c r="K13" s="387">
        <f>'Page 20a - FERC 454 Recon'!M97</f>
        <v>85494.20174782681</v>
      </c>
      <c r="L13" s="932" t="s">
        <v>368</v>
      </c>
    </row>
    <row r="14" spans="1:19" ht="13.5" thickTop="1">
      <c r="A14" s="343">
        <f t="shared" si="0"/>
        <v>4</v>
      </c>
      <c r="B14" s="951"/>
      <c r="C14" s="380"/>
      <c r="D14" s="380"/>
      <c r="E14" s="380"/>
      <c r="F14" s="380"/>
      <c r="G14" s="380"/>
      <c r="H14" s="380"/>
      <c r="I14" s="380"/>
      <c r="J14" s="380"/>
      <c r="K14" s="333"/>
    </row>
    <row r="15" spans="1:19">
      <c r="A15" s="343">
        <f t="shared" si="0"/>
        <v>5</v>
      </c>
      <c r="B15" s="1152" t="s">
        <v>465</v>
      </c>
      <c r="C15" s="1153"/>
      <c r="D15" s="1153"/>
      <c r="E15" s="1153"/>
      <c r="F15" s="1153"/>
      <c r="G15" s="1153"/>
      <c r="H15" s="1153"/>
      <c r="I15" s="1153"/>
      <c r="J15" s="1153"/>
      <c r="K15" s="333"/>
    </row>
    <row r="16" spans="1:19">
      <c r="A16" s="343">
        <f t="shared" si="0"/>
        <v>6</v>
      </c>
      <c r="B16" s="1147" t="s">
        <v>458</v>
      </c>
      <c r="C16" s="1148"/>
      <c r="D16" s="1148"/>
      <c r="E16" s="1148"/>
      <c r="F16" s="1148"/>
      <c r="G16" s="1148"/>
      <c r="H16" s="1148"/>
      <c r="I16" s="1148"/>
      <c r="J16" s="1148"/>
      <c r="K16" s="381">
        <v>3786534</v>
      </c>
    </row>
    <row r="17" spans="1:18">
      <c r="A17" s="343">
        <f t="shared" si="0"/>
        <v>7</v>
      </c>
      <c r="B17" s="1147" t="s">
        <v>459</v>
      </c>
      <c r="C17" s="1148"/>
      <c r="D17" s="1148"/>
      <c r="E17" s="1148"/>
      <c r="F17" s="1148"/>
      <c r="G17" s="1148"/>
      <c r="H17" s="1148"/>
      <c r="I17" s="1148"/>
      <c r="J17" s="1148"/>
      <c r="K17" s="381">
        <v>439161.42</v>
      </c>
      <c r="L17" s="642"/>
    </row>
    <row r="18" spans="1:18">
      <c r="A18" s="343">
        <f t="shared" si="0"/>
        <v>8</v>
      </c>
      <c r="B18" s="1147" t="s">
        <v>460</v>
      </c>
      <c r="C18" s="1148"/>
      <c r="D18" s="1148"/>
      <c r="E18" s="1148"/>
      <c r="F18" s="1148"/>
      <c r="G18" s="1148"/>
      <c r="H18" s="1148"/>
      <c r="I18" s="1148"/>
      <c r="J18" s="1148"/>
      <c r="K18" s="381">
        <f>'Page 20b - MISO Tariff Revenue'!R18</f>
        <v>28239535.767000001</v>
      </c>
      <c r="L18" s="932" t="s">
        <v>369</v>
      </c>
      <c r="M18" s="642"/>
    </row>
    <row r="19" spans="1:18">
      <c r="A19" s="343">
        <f t="shared" si="0"/>
        <v>9</v>
      </c>
      <c r="B19" s="1147" t="s">
        <v>464</v>
      </c>
      <c r="C19" s="1148"/>
      <c r="D19" s="1148"/>
      <c r="E19" s="1148"/>
      <c r="F19" s="1148"/>
      <c r="G19" s="1148"/>
      <c r="H19" s="1148"/>
      <c r="I19" s="1148"/>
      <c r="J19" s="1148"/>
      <c r="K19" s="381">
        <v>1015694.2112</v>
      </c>
      <c r="L19" s="368"/>
      <c r="M19" s="642"/>
    </row>
    <row r="20" spans="1:18">
      <c r="A20" s="343">
        <f t="shared" si="0"/>
        <v>10</v>
      </c>
      <c r="B20" s="1145" t="s">
        <v>466</v>
      </c>
      <c r="C20" s="1146"/>
      <c r="D20" s="1146"/>
      <c r="E20" s="1146"/>
      <c r="F20" s="1146"/>
      <c r="G20" s="1146"/>
      <c r="H20" s="1146"/>
      <c r="I20" s="1146"/>
      <c r="J20" s="1146"/>
      <c r="K20" s="671">
        <f>+SUM(K16:K18)-K19</f>
        <v>31449536.9758</v>
      </c>
    </row>
    <row r="21" spans="1:18">
      <c r="A21" s="343">
        <f t="shared" si="0"/>
        <v>11</v>
      </c>
      <c r="B21" s="951"/>
      <c r="C21" s="346"/>
      <c r="D21" s="346"/>
      <c r="E21" s="346"/>
      <c r="F21" s="346"/>
      <c r="G21" s="346"/>
      <c r="H21" s="346"/>
      <c r="I21" s="346"/>
      <c r="J21" s="346"/>
      <c r="K21" s="381"/>
    </row>
    <row r="22" spans="1:18">
      <c r="A22" s="343">
        <f t="shared" si="0"/>
        <v>12</v>
      </c>
      <c r="B22" s="951" t="s">
        <v>494</v>
      </c>
      <c r="C22" s="346"/>
      <c r="D22" s="346"/>
      <c r="E22" s="346"/>
      <c r="F22" s="346"/>
      <c r="G22" s="346"/>
      <c r="H22" s="346"/>
      <c r="I22" s="346"/>
      <c r="J22" s="346"/>
      <c r="K22" s="381"/>
    </row>
    <row r="23" spans="1:18">
      <c r="A23" s="343">
        <f>+A25+1</f>
        <v>15</v>
      </c>
      <c r="B23" s="1147" t="s">
        <v>459</v>
      </c>
      <c r="C23" s="1148"/>
      <c r="D23" s="1148"/>
      <c r="E23" s="1148"/>
      <c r="F23" s="1148"/>
      <c r="G23" s="1148"/>
      <c r="H23" s="1148"/>
      <c r="I23" s="1148"/>
      <c r="J23" s="1148"/>
      <c r="K23" s="388">
        <f>+K17</f>
        <v>439161.42</v>
      </c>
    </row>
    <row r="24" spans="1:18">
      <c r="A24" s="343">
        <f>+A22+1</f>
        <v>13</v>
      </c>
      <c r="B24" s="948" t="s">
        <v>495</v>
      </c>
      <c r="C24" s="346"/>
      <c r="D24" s="346"/>
      <c r="E24" s="346"/>
      <c r="F24" s="346"/>
      <c r="G24" s="346"/>
      <c r="H24" s="346"/>
      <c r="I24" s="346"/>
      <c r="J24" s="346"/>
      <c r="K24" s="1010">
        <v>18208328</v>
      </c>
      <c r="L24" s="932" t="s">
        <v>372</v>
      </c>
      <c r="M24" s="939"/>
      <c r="N24" s="939"/>
      <c r="O24" s="939"/>
      <c r="P24" s="939"/>
      <c r="Q24" s="939"/>
      <c r="R24" s="939"/>
    </row>
    <row r="25" spans="1:18">
      <c r="A25" s="343">
        <f t="shared" si="0"/>
        <v>14</v>
      </c>
      <c r="B25" s="948" t="s">
        <v>532</v>
      </c>
      <c r="C25" s="346"/>
      <c r="D25" s="346"/>
      <c r="E25" s="346"/>
      <c r="F25" s="346"/>
      <c r="G25" s="346"/>
      <c r="H25" s="346"/>
      <c r="I25" s="346"/>
      <c r="J25" s="346"/>
      <c r="K25" s="1010">
        <v>6603848</v>
      </c>
      <c r="L25" s="932" t="s">
        <v>372</v>
      </c>
      <c r="M25" s="939"/>
      <c r="N25" s="939"/>
      <c r="O25" s="939"/>
      <c r="P25" s="939"/>
      <c r="Q25" s="939"/>
      <c r="R25" s="939"/>
    </row>
    <row r="26" spans="1:18">
      <c r="A26" s="343">
        <f>+A23+1</f>
        <v>16</v>
      </c>
      <c r="B26" s="326"/>
      <c r="C26" s="327"/>
      <c r="D26" s="327"/>
      <c r="E26" s="327"/>
      <c r="F26" s="327"/>
      <c r="G26" s="327"/>
      <c r="H26" s="327"/>
      <c r="I26" s="327"/>
      <c r="J26" s="327"/>
      <c r="K26" s="670">
        <f>SUM(K23:K25)</f>
        <v>25251337.420000002</v>
      </c>
    </row>
    <row r="27" spans="1:18">
      <c r="A27" s="343">
        <f t="shared" si="0"/>
        <v>17</v>
      </c>
      <c r="B27" s="329"/>
      <c r="C27" s="346"/>
      <c r="D27" s="346"/>
      <c r="E27" s="346"/>
      <c r="F27" s="346"/>
      <c r="G27" s="346"/>
      <c r="H27" s="346"/>
      <c r="I27" s="346"/>
      <c r="J27" s="346"/>
      <c r="K27" s="381"/>
    </row>
    <row r="28" spans="1:18" ht="13.5" thickBot="1">
      <c r="A28" s="343">
        <f t="shared" si="0"/>
        <v>18</v>
      </c>
      <c r="B28" s="1145" t="s">
        <v>496</v>
      </c>
      <c r="C28" s="1146"/>
      <c r="D28" s="1146"/>
      <c r="E28" s="1146"/>
      <c r="F28" s="1146"/>
      <c r="G28" s="1146"/>
      <c r="H28" s="1146"/>
      <c r="I28" s="1146"/>
      <c r="J28" s="1146"/>
      <c r="K28" s="385">
        <f>+K20-K26</f>
        <v>6198199.5557999983</v>
      </c>
    </row>
    <row r="29" spans="1:18" ht="13.5" thickTop="1">
      <c r="A29" s="344"/>
      <c r="B29" s="335"/>
      <c r="C29" s="348"/>
      <c r="D29" s="348"/>
      <c r="E29" s="348"/>
      <c r="F29" s="348"/>
      <c r="G29" s="348"/>
      <c r="H29" s="348"/>
      <c r="I29" s="348"/>
      <c r="J29" s="348"/>
      <c r="K29" s="369"/>
    </row>
    <row r="31" spans="1:18">
      <c r="B31" s="1144"/>
      <c r="C31" s="1144"/>
      <c r="D31" s="1144"/>
      <c r="E31" s="1144"/>
      <c r="F31" s="1144"/>
      <c r="G31" s="1144"/>
      <c r="H31" s="1144"/>
      <c r="I31" s="1144"/>
      <c r="J31" s="1144"/>
      <c r="K31" s="1144"/>
    </row>
    <row r="32" spans="1:18">
      <c r="B32" s="625" t="s">
        <v>519</v>
      </c>
    </row>
    <row r="33" spans="2:12">
      <c r="B33" s="1143" t="s">
        <v>583</v>
      </c>
      <c r="C33" s="1143"/>
      <c r="D33" s="1143"/>
      <c r="E33" s="1143"/>
      <c r="F33" s="1143"/>
      <c r="G33" s="1143"/>
      <c r="H33" s="1143"/>
      <c r="I33" s="1143"/>
      <c r="J33" s="1143"/>
      <c r="K33" s="1143"/>
    </row>
    <row r="34" spans="2:12">
      <c r="C34" s="606"/>
    </row>
    <row r="35" spans="2:12" ht="21.75" customHeight="1">
      <c r="B35" s="932" t="s">
        <v>368</v>
      </c>
      <c r="C35" s="456" t="s">
        <v>736</v>
      </c>
    </row>
    <row r="36" spans="2:12" ht="39" customHeight="1">
      <c r="B36" s="696" t="s">
        <v>369</v>
      </c>
      <c r="C36" s="1142" t="s">
        <v>738</v>
      </c>
      <c r="D36" s="1142"/>
      <c r="E36" s="1142"/>
      <c r="F36" s="1142"/>
      <c r="G36" s="1142"/>
      <c r="H36" s="1142"/>
      <c r="I36" s="1142"/>
      <c r="J36" s="1142"/>
      <c r="K36" s="1142"/>
      <c r="L36" s="1142"/>
    </row>
    <row r="37" spans="2:12" ht="22.5" customHeight="1">
      <c r="B37" s="932" t="s">
        <v>372</v>
      </c>
      <c r="C37" s="456" t="s">
        <v>737</v>
      </c>
    </row>
  </sheetData>
  <mergeCells count="16">
    <mergeCell ref="B19:J19"/>
    <mergeCell ref="A3:K3"/>
    <mergeCell ref="A4:K4"/>
    <mergeCell ref="A5:K5"/>
    <mergeCell ref="B7:J7"/>
    <mergeCell ref="B11:J11"/>
    <mergeCell ref="B15:J15"/>
    <mergeCell ref="B16:J16"/>
    <mergeCell ref="B17:J17"/>
    <mergeCell ref="B18:J18"/>
    <mergeCell ref="C36:L36"/>
    <mergeCell ref="B33:K33"/>
    <mergeCell ref="B31:K31"/>
    <mergeCell ref="B20:J20"/>
    <mergeCell ref="B28:J28"/>
    <mergeCell ref="B23:J23"/>
  </mergeCells>
  <printOptions horizontalCentered="1"/>
  <pageMargins left="0.75" right="0.75" top="0.75" bottom="0.75" header="0.5" footer="0.5"/>
  <pageSetup orientation="portrait" r:id="rId1"/>
  <headerFooter>
    <oddHeader>&amp;R&amp;"Arial,Regular"&amp;10Attachment O Work Paper
Page 20 of 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T149"/>
  <sheetViews>
    <sheetView showGridLines="0" topLeftCell="G1" zoomScaleNormal="100" workbookViewId="0">
      <selection activeCell="M6" sqref="M6"/>
    </sheetView>
  </sheetViews>
  <sheetFormatPr defaultRowHeight="12.75" outlineLevelCol="1"/>
  <cols>
    <col min="1" max="6" width="0" style="1" hidden="1" customWidth="1" outlineLevel="1"/>
    <col min="7" max="7" width="3.33203125" style="1" customWidth="1" collapsed="1"/>
    <col min="8" max="8" width="3.44140625" style="1" bestFit="1" customWidth="1"/>
    <col min="9" max="9" width="18.6640625" style="1" bestFit="1" customWidth="1"/>
    <col min="10" max="13" width="11.77734375" style="1" customWidth="1"/>
    <col min="14" max="15" width="11.77734375" style="1" hidden="1" customWidth="1"/>
    <col min="16" max="16" width="11.77734375" style="1" customWidth="1"/>
    <col min="17" max="18" width="11.5546875" style="1" bestFit="1" customWidth="1"/>
    <col min="19" max="16384" width="8.88671875" style="1"/>
  </cols>
  <sheetData>
    <row r="2" spans="1:17">
      <c r="P2" s="1080"/>
    </row>
    <row r="3" spans="1:17">
      <c r="H3" s="1084" t="s">
        <v>0</v>
      </c>
      <c r="I3" s="1084"/>
      <c r="J3" s="1084"/>
      <c r="K3" s="1084"/>
      <c r="L3" s="1084"/>
      <c r="M3" s="1084"/>
      <c r="N3" s="1084"/>
      <c r="O3" s="1084"/>
      <c r="P3" s="1084"/>
    </row>
    <row r="4" spans="1:17">
      <c r="H4" s="1084" t="s">
        <v>538</v>
      </c>
      <c r="I4" s="1084"/>
      <c r="J4" s="1084"/>
      <c r="K4" s="1084"/>
      <c r="L4" s="1084"/>
      <c r="M4" s="1084"/>
      <c r="N4" s="1084"/>
      <c r="O4" s="1084"/>
      <c r="P4" s="1084"/>
    </row>
    <row r="5" spans="1:17">
      <c r="H5" s="1084" t="str">
        <f>"For the 13 Months Ended December 31, "&amp;Info!B3</f>
        <v>For the 13 Months Ended December 31, 2015</v>
      </c>
      <c r="I5" s="1084"/>
      <c r="J5" s="1084"/>
      <c r="K5" s="1084"/>
      <c r="L5" s="1084"/>
      <c r="M5" s="1084"/>
      <c r="N5" s="1084"/>
      <c r="O5" s="1084"/>
      <c r="P5" s="1084"/>
      <c r="Q5" s="902"/>
    </row>
    <row r="6" spans="1:17">
      <c r="H6" s="2"/>
    </row>
    <row r="7" spans="1:17" s="4" customFormat="1">
      <c r="H7" s="3"/>
      <c r="I7" s="4" t="s">
        <v>1</v>
      </c>
      <c r="J7" s="4" t="s">
        <v>2</v>
      </c>
      <c r="K7" s="4" t="s">
        <v>3</v>
      </c>
      <c r="L7" s="4" t="s">
        <v>4</v>
      </c>
      <c r="M7" s="4" t="s">
        <v>5</v>
      </c>
      <c r="O7" s="4" t="s">
        <v>6</v>
      </c>
      <c r="P7" s="4" t="s">
        <v>7</v>
      </c>
    </row>
    <row r="9" spans="1:17">
      <c r="H9" s="5" t="s">
        <v>8</v>
      </c>
      <c r="I9" s="6"/>
      <c r="J9" s="7"/>
      <c r="K9" s="8"/>
      <c r="L9" s="9"/>
      <c r="M9" s="7" t="s">
        <v>497</v>
      </c>
      <c r="N9" s="9"/>
      <c r="O9" s="7" t="s">
        <v>9</v>
      </c>
      <c r="P9" s="10"/>
    </row>
    <row r="10" spans="1:17" ht="13.5" customHeight="1">
      <c r="A10" s="25" t="s">
        <v>11</v>
      </c>
      <c r="B10" s="645" t="s">
        <v>572</v>
      </c>
      <c r="C10" s="25" t="s">
        <v>12</v>
      </c>
      <c r="D10" s="25" t="s">
        <v>13</v>
      </c>
      <c r="E10" s="25" t="s">
        <v>570</v>
      </c>
      <c r="F10" s="645" t="s">
        <v>573</v>
      </c>
      <c r="G10" s="25"/>
      <c r="H10" s="11" t="s">
        <v>10</v>
      </c>
      <c r="I10" s="12" t="s">
        <v>47</v>
      </c>
      <c r="J10" s="13" t="s">
        <v>11</v>
      </c>
      <c r="K10" s="13" t="s">
        <v>12</v>
      </c>
      <c r="L10" s="13" t="s">
        <v>13</v>
      </c>
      <c r="M10" s="13" t="s">
        <v>14</v>
      </c>
      <c r="N10" s="13" t="s">
        <v>14</v>
      </c>
      <c r="O10" s="13" t="s">
        <v>15</v>
      </c>
      <c r="P10" s="14" t="s">
        <v>16</v>
      </c>
    </row>
    <row r="11" spans="1:17">
      <c r="A11" s="1">
        <v>137346</v>
      </c>
      <c r="B11" s="1">
        <v>100319</v>
      </c>
      <c r="C11" s="1">
        <v>100335</v>
      </c>
      <c r="D11" s="1">
        <v>100331</v>
      </c>
      <c r="E11" s="1">
        <v>100323</v>
      </c>
      <c r="F11" s="1">
        <v>100317</v>
      </c>
      <c r="H11" s="5">
        <v>1</v>
      </c>
      <c r="I11" s="953" t="str">
        <f>"December "&amp;Info!B2</f>
        <v>December 2014</v>
      </c>
      <c r="J11" s="15">
        <v>322221281.49292237</v>
      </c>
      <c r="K11" s="955">
        <v>103749091.7708876</v>
      </c>
      <c r="L11" s="15">
        <v>189516835.68621942</v>
      </c>
      <c r="M11" s="15">
        <v>37506609.65029154</v>
      </c>
      <c r="N11" s="15">
        <v>1615581.06</v>
      </c>
      <c r="O11" s="15">
        <v>337228.18</v>
      </c>
      <c r="P11" s="16">
        <f>SUM(J11:M11)</f>
        <v>652993818.60032094</v>
      </c>
    </row>
    <row r="12" spans="1:17">
      <c r="A12" s="1">
        <v>137346</v>
      </c>
      <c r="B12" s="1">
        <v>100319</v>
      </c>
      <c r="C12" s="1">
        <v>100335</v>
      </c>
      <c r="D12" s="1">
        <v>100331</v>
      </c>
      <c r="E12" s="1">
        <v>100323</v>
      </c>
      <c r="F12" s="1">
        <v>100317</v>
      </c>
      <c r="H12" s="17">
        <f t="shared" ref="H12:H25" si="0">+H11+1</f>
        <v>2</v>
      </c>
      <c r="I12" s="953" t="str">
        <f>"January "&amp;Info!B3</f>
        <v>January 2015</v>
      </c>
      <c r="J12" s="15">
        <v>324142241.2633391</v>
      </c>
      <c r="K12" s="955">
        <v>104241942.12870124</v>
      </c>
      <c r="L12" s="15">
        <v>190429041.70392045</v>
      </c>
      <c r="M12" s="15">
        <v>37977911.012782551</v>
      </c>
      <c r="N12" s="15">
        <v>1669717.63</v>
      </c>
      <c r="O12" s="15">
        <v>337228.18</v>
      </c>
      <c r="P12" s="16">
        <f t="shared" ref="P12:P23" si="1">SUM(J12:M12)</f>
        <v>656791136.10874343</v>
      </c>
    </row>
    <row r="13" spans="1:17">
      <c r="A13" s="1">
        <v>137346</v>
      </c>
      <c r="B13" s="1">
        <v>100319</v>
      </c>
      <c r="C13" s="1">
        <v>100335</v>
      </c>
      <c r="D13" s="1">
        <v>100331</v>
      </c>
      <c r="E13" s="1">
        <v>100323</v>
      </c>
      <c r="F13" s="1">
        <v>100317</v>
      </c>
      <c r="H13" s="17">
        <f t="shared" si="0"/>
        <v>3</v>
      </c>
      <c r="I13" s="18" t="s">
        <v>17</v>
      </c>
      <c r="J13" s="15">
        <v>326063201.03375572</v>
      </c>
      <c r="K13" s="955">
        <v>104743932.73108239</v>
      </c>
      <c r="L13" s="15">
        <v>191341247.72162148</v>
      </c>
      <c r="M13" s="15">
        <v>38447581.146789163</v>
      </c>
      <c r="N13" s="15">
        <v>1723854.1999999997</v>
      </c>
      <c r="O13" s="15">
        <v>337228.18</v>
      </c>
      <c r="P13" s="16">
        <f t="shared" si="1"/>
        <v>660595962.63324881</v>
      </c>
    </row>
    <row r="14" spans="1:17">
      <c r="A14" s="1">
        <v>137346</v>
      </c>
      <c r="B14" s="1">
        <v>100319</v>
      </c>
      <c r="C14" s="1">
        <v>100335</v>
      </c>
      <c r="D14" s="1">
        <v>100331</v>
      </c>
      <c r="E14" s="1">
        <v>100323</v>
      </c>
      <c r="F14" s="1">
        <v>100317</v>
      </c>
      <c r="H14" s="17">
        <f t="shared" si="0"/>
        <v>4</v>
      </c>
      <c r="I14" s="18" t="s">
        <v>18</v>
      </c>
      <c r="J14" s="15">
        <v>327933860.5351997</v>
      </c>
      <c r="K14" s="955">
        <v>105159692.74544235</v>
      </c>
      <c r="L14" s="15">
        <v>192253453.73932251</v>
      </c>
      <c r="M14" s="15">
        <v>38708273.751240984</v>
      </c>
      <c r="N14" s="15">
        <v>1777990.7699999998</v>
      </c>
      <c r="O14" s="15">
        <v>337228.18</v>
      </c>
      <c r="P14" s="16">
        <f t="shared" si="1"/>
        <v>664055280.77120554</v>
      </c>
    </row>
    <row r="15" spans="1:17">
      <c r="A15" s="1">
        <v>137346</v>
      </c>
      <c r="B15" s="1">
        <v>100319</v>
      </c>
      <c r="C15" s="1">
        <v>100335</v>
      </c>
      <c r="D15" s="1">
        <v>100331</v>
      </c>
      <c r="E15" s="1">
        <v>100323</v>
      </c>
      <c r="F15" s="1">
        <v>100317</v>
      </c>
      <c r="H15" s="17">
        <f t="shared" si="0"/>
        <v>5</v>
      </c>
      <c r="I15" s="18" t="s">
        <v>19</v>
      </c>
      <c r="J15" s="15">
        <v>329807750.78658623</v>
      </c>
      <c r="K15" s="955">
        <v>105667577.19306679</v>
      </c>
      <c r="L15" s="15">
        <v>193169541.16992584</v>
      </c>
      <c r="M15" s="15">
        <v>39161582.909444883</v>
      </c>
      <c r="N15" s="15">
        <v>1832127.3399999999</v>
      </c>
      <c r="O15" s="15">
        <v>337228.18</v>
      </c>
      <c r="P15" s="16">
        <f t="shared" si="1"/>
        <v>667806452.05902374</v>
      </c>
    </row>
    <row r="16" spans="1:17">
      <c r="A16" s="1">
        <v>137346</v>
      </c>
      <c r="B16" s="1">
        <v>100319</v>
      </c>
      <c r="C16" s="1">
        <v>100335</v>
      </c>
      <c r="D16" s="1">
        <v>100331</v>
      </c>
      <c r="E16" s="1">
        <v>100323</v>
      </c>
      <c r="F16" s="1">
        <v>100317</v>
      </c>
      <c r="H16" s="17">
        <f t="shared" si="0"/>
        <v>6</v>
      </c>
      <c r="I16" s="18" t="s">
        <v>20</v>
      </c>
      <c r="J16" s="15">
        <v>331687371.19384903</v>
      </c>
      <c r="K16" s="955">
        <v>106176136.40152857</v>
      </c>
      <c r="L16" s="15">
        <v>194085628.60052916</v>
      </c>
      <c r="M16" s="15">
        <v>39631415.527651228</v>
      </c>
      <c r="N16" s="15">
        <v>1886263.9099999997</v>
      </c>
      <c r="O16" s="15">
        <v>337228.18</v>
      </c>
      <c r="P16" s="16">
        <f t="shared" si="1"/>
        <v>671580551.72355795</v>
      </c>
    </row>
    <row r="17" spans="1:16">
      <c r="A17" s="1">
        <v>137346</v>
      </c>
      <c r="B17" s="1">
        <v>100319</v>
      </c>
      <c r="C17" s="1">
        <v>100335</v>
      </c>
      <c r="D17" s="1">
        <v>100331</v>
      </c>
      <c r="E17" s="1">
        <v>100323</v>
      </c>
      <c r="F17" s="1">
        <v>100317</v>
      </c>
      <c r="H17" s="17">
        <f t="shared" si="0"/>
        <v>7</v>
      </c>
      <c r="I17" s="18" t="s">
        <v>21</v>
      </c>
      <c r="J17" s="15">
        <v>331780042.08053756</v>
      </c>
      <c r="K17" s="955">
        <v>106735637.149546</v>
      </c>
      <c r="L17" s="15">
        <v>195001716.03113249</v>
      </c>
      <c r="M17" s="15">
        <v>40021066.867313363</v>
      </c>
      <c r="N17" s="15">
        <v>1940400.4799999997</v>
      </c>
      <c r="O17" s="15">
        <v>337228.18</v>
      </c>
      <c r="P17" s="16">
        <f t="shared" si="1"/>
        <v>673538462.12852943</v>
      </c>
    </row>
    <row r="18" spans="1:16">
      <c r="A18" s="1">
        <v>137346</v>
      </c>
      <c r="B18" s="1">
        <v>100319</v>
      </c>
      <c r="C18" s="1">
        <v>100335</v>
      </c>
      <c r="D18" s="1">
        <v>100331</v>
      </c>
      <c r="E18" s="1">
        <v>100323</v>
      </c>
      <c r="F18" s="1">
        <v>100317</v>
      </c>
      <c r="H18" s="17">
        <f t="shared" si="0"/>
        <v>8</v>
      </c>
      <c r="I18" s="18" t="s">
        <v>22</v>
      </c>
      <c r="J18" s="15">
        <v>333486445.0034163</v>
      </c>
      <c r="K18" s="955">
        <v>107310529.61648642</v>
      </c>
      <c r="L18" s="15">
        <v>195924908.89878634</v>
      </c>
      <c r="M18" s="15">
        <v>40318274.041741982</v>
      </c>
      <c r="N18" s="15">
        <v>1994537.0499999998</v>
      </c>
      <c r="O18" s="15">
        <v>337228.18</v>
      </c>
      <c r="P18" s="16">
        <f t="shared" si="1"/>
        <v>677040157.560431</v>
      </c>
    </row>
    <row r="19" spans="1:16">
      <c r="A19" s="1">
        <v>137346</v>
      </c>
      <c r="B19" s="1">
        <v>100319</v>
      </c>
      <c r="C19" s="1">
        <v>100335</v>
      </c>
      <c r="D19" s="1">
        <v>100331</v>
      </c>
      <c r="E19" s="1">
        <v>100323</v>
      </c>
      <c r="F19" s="1">
        <v>100317</v>
      </c>
      <c r="H19" s="17">
        <f t="shared" si="0"/>
        <v>9</v>
      </c>
      <c r="I19" s="18" t="s">
        <v>23</v>
      </c>
      <c r="J19" s="15">
        <v>334692458.92715991</v>
      </c>
      <c r="K19" s="955">
        <v>107886162.14958528</v>
      </c>
      <c r="L19" s="15">
        <v>196841779.96970996</v>
      </c>
      <c r="M19" s="15">
        <v>40795140.312900648</v>
      </c>
      <c r="N19" s="15">
        <v>2048673.6199999996</v>
      </c>
      <c r="O19" s="15">
        <v>337228.18</v>
      </c>
      <c r="P19" s="16">
        <f t="shared" si="1"/>
        <v>680215541.35935581</v>
      </c>
    </row>
    <row r="20" spans="1:16">
      <c r="A20" s="1">
        <v>137346</v>
      </c>
      <c r="B20" s="1">
        <v>100319</v>
      </c>
      <c r="C20" s="1">
        <v>100335</v>
      </c>
      <c r="D20" s="1">
        <v>100331</v>
      </c>
      <c r="E20" s="1">
        <v>100323</v>
      </c>
      <c r="F20" s="1">
        <v>100317</v>
      </c>
      <c r="H20" s="17">
        <f t="shared" si="0"/>
        <v>10</v>
      </c>
      <c r="I20" s="18" t="s">
        <v>24</v>
      </c>
      <c r="J20" s="15">
        <v>336426888.44835901</v>
      </c>
      <c r="K20" s="955">
        <v>108451486.87164035</v>
      </c>
      <c r="L20" s="15">
        <v>197754002.19265863</v>
      </c>
      <c r="M20" s="15">
        <v>41095058.110382356</v>
      </c>
      <c r="N20" s="15">
        <v>2102810.1899999995</v>
      </c>
      <c r="O20" s="15">
        <v>337228.18</v>
      </c>
      <c r="P20" s="16">
        <f t="shared" si="1"/>
        <v>683727435.62304032</v>
      </c>
    </row>
    <row r="21" spans="1:16">
      <c r="A21" s="1">
        <v>137346</v>
      </c>
      <c r="B21" s="1">
        <v>100319</v>
      </c>
      <c r="C21" s="1">
        <v>100335</v>
      </c>
      <c r="D21" s="1">
        <v>100331</v>
      </c>
      <c r="E21" s="1">
        <v>100323</v>
      </c>
      <c r="F21" s="1">
        <v>100317</v>
      </c>
      <c r="H21" s="17">
        <f t="shared" si="0"/>
        <v>11</v>
      </c>
      <c r="I21" s="18" t="s">
        <v>25</v>
      </c>
      <c r="J21" s="15">
        <v>338332582.24977666</v>
      </c>
      <c r="K21" s="955">
        <v>109028917.82921426</v>
      </c>
      <c r="L21" s="15">
        <v>198686012.35476109</v>
      </c>
      <c r="M21" s="15">
        <v>40022137.994811244</v>
      </c>
      <c r="N21" s="15">
        <v>2156946.7599999998</v>
      </c>
      <c r="O21" s="15">
        <v>337228.18</v>
      </c>
      <c r="P21" s="16">
        <f t="shared" si="1"/>
        <v>686069650.42856336</v>
      </c>
    </row>
    <row r="22" spans="1:16">
      <c r="A22" s="1">
        <v>137346</v>
      </c>
      <c r="B22" s="1">
        <v>100319</v>
      </c>
      <c r="C22" s="1">
        <v>100335</v>
      </c>
      <c r="D22" s="1">
        <v>100331</v>
      </c>
      <c r="E22" s="1">
        <v>100323</v>
      </c>
      <c r="F22" s="1">
        <v>100317</v>
      </c>
      <c r="H22" s="17">
        <f t="shared" si="0"/>
        <v>12</v>
      </c>
      <c r="I22" s="18" t="s">
        <v>26</v>
      </c>
      <c r="J22" s="15">
        <v>340555561.46841335</v>
      </c>
      <c r="K22" s="955">
        <v>109602090.63589482</v>
      </c>
      <c r="L22" s="15">
        <v>199618022.51686347</v>
      </c>
      <c r="M22" s="15">
        <v>40473947.038977973</v>
      </c>
      <c r="N22" s="15">
        <v>562827.05999999947</v>
      </c>
      <c r="O22" s="15">
        <v>337228.18</v>
      </c>
      <c r="P22" s="16">
        <f t="shared" si="1"/>
        <v>690249621.66014969</v>
      </c>
    </row>
    <row r="23" spans="1:16">
      <c r="A23" s="1">
        <v>137346</v>
      </c>
      <c r="B23" s="1">
        <v>100319</v>
      </c>
      <c r="C23" s="1">
        <v>100335</v>
      </c>
      <c r="D23" s="1">
        <v>100331</v>
      </c>
      <c r="E23" s="1">
        <v>100323</v>
      </c>
      <c r="F23" s="1">
        <v>100317</v>
      </c>
      <c r="H23" s="17">
        <f t="shared" si="0"/>
        <v>13</v>
      </c>
      <c r="I23" s="18" t="s">
        <v>27</v>
      </c>
      <c r="J23" s="15">
        <v>338230652.83942193</v>
      </c>
      <c r="K23" s="955">
        <v>110169352.08085851</v>
      </c>
      <c r="L23" s="15">
        <v>198290691.39635313</v>
      </c>
      <c r="M23" s="15">
        <v>40670943.158850595</v>
      </c>
      <c r="N23" s="15">
        <v>617725.91999999946</v>
      </c>
      <c r="O23" s="15">
        <v>337228.18</v>
      </c>
      <c r="P23" s="16">
        <f t="shared" si="1"/>
        <v>687361639.47548413</v>
      </c>
    </row>
    <row r="24" spans="1:16">
      <c r="H24" s="17">
        <f t="shared" si="0"/>
        <v>14</v>
      </c>
      <c r="I24" s="18"/>
      <c r="J24" s="15"/>
      <c r="K24" s="15"/>
      <c r="L24" s="15"/>
      <c r="M24" s="15"/>
      <c r="N24" s="15"/>
      <c r="O24" s="15"/>
      <c r="P24" s="16"/>
    </row>
    <row r="25" spans="1:16">
      <c r="H25" s="17">
        <f t="shared" si="0"/>
        <v>15</v>
      </c>
      <c r="I25" s="199" t="s">
        <v>28</v>
      </c>
      <c r="J25" s="193">
        <f t="shared" ref="J25:O25" si="2">AVERAGE(J11:J23)</f>
        <v>331950795.17867208</v>
      </c>
      <c r="K25" s="193">
        <f t="shared" si="2"/>
        <v>106840196.10030264</v>
      </c>
      <c r="L25" s="193">
        <f t="shared" si="2"/>
        <v>194839452.46013877</v>
      </c>
      <c r="M25" s="193">
        <f t="shared" si="2"/>
        <v>39602303.194090657</v>
      </c>
      <c r="N25" s="194">
        <f t="shared" si="2"/>
        <v>1686881.2299999995</v>
      </c>
      <c r="O25" s="194">
        <f t="shared" si="2"/>
        <v>337228.18000000005</v>
      </c>
      <c r="P25" s="192">
        <f>AVERAGE(P11:P23)</f>
        <v>673232746.93320405</v>
      </c>
    </row>
    <row r="26" spans="1:16">
      <c r="H26" s="17"/>
      <c r="I26" s="21"/>
      <c r="J26" s="22"/>
      <c r="K26" s="22"/>
      <c r="L26" s="22"/>
      <c r="M26" s="22"/>
      <c r="N26" s="22"/>
      <c r="O26" s="22"/>
      <c r="P26" s="23"/>
    </row>
    <row r="27" spans="1:16">
      <c r="H27" s="24"/>
      <c r="J27" s="538"/>
    </row>
    <row r="28" spans="1:16">
      <c r="H28" s="25"/>
      <c r="I28" s="154" t="s">
        <v>519</v>
      </c>
    </row>
    <row r="29" spans="1:16">
      <c r="H29" s="25"/>
      <c r="I29" s="153" t="s">
        <v>571</v>
      </c>
      <c r="J29" s="411"/>
      <c r="K29" s="412"/>
    </row>
    <row r="30" spans="1:16" s="15" customFormat="1">
      <c r="H30" s="26"/>
      <c r="I30" s="518"/>
    </row>
    <row r="31" spans="1:16" s="15" customFormat="1">
      <c r="H31" s="26"/>
    </row>
    <row r="32" spans="1:16">
      <c r="H32" s="25"/>
    </row>
    <row r="33" spans="8:20">
      <c r="H33" s="25"/>
      <c r="I33" s="542"/>
      <c r="J33" s="541"/>
      <c r="K33" s="541"/>
      <c r="L33" s="541"/>
      <c r="M33" s="541"/>
      <c r="N33" s="541"/>
      <c r="O33" s="541"/>
      <c r="P33" s="541"/>
      <c r="Q33" s="541"/>
      <c r="R33" s="541"/>
      <c r="S33" s="541"/>
      <c r="T33" s="537"/>
    </row>
    <row r="34" spans="8:20">
      <c r="H34" s="25"/>
      <c r="M34" s="538"/>
    </row>
    <row r="35" spans="8:20">
      <c r="H35" s="25"/>
      <c r="J35" s="541"/>
      <c r="K35" s="541"/>
      <c r="L35" s="541"/>
      <c r="M35" s="541"/>
      <c r="N35" s="541"/>
      <c r="O35" s="541"/>
      <c r="P35" s="541"/>
      <c r="Q35" s="541"/>
      <c r="R35" s="541"/>
      <c r="S35" s="541"/>
      <c r="T35" s="537"/>
    </row>
    <row r="36" spans="8:20">
      <c r="H36" s="25"/>
      <c r="J36" s="537"/>
      <c r="K36" s="537"/>
      <c r="L36" s="537"/>
      <c r="M36" s="537"/>
      <c r="N36" s="537"/>
      <c r="O36" s="537"/>
      <c r="P36" s="537"/>
      <c r="Q36" s="537"/>
      <c r="R36" s="537"/>
      <c r="S36" s="537"/>
    </row>
    <row r="37" spans="8:20">
      <c r="H37" s="25"/>
    </row>
    <row r="38" spans="8:20">
      <c r="H38" s="25"/>
    </row>
    <row r="39" spans="8:20">
      <c r="H39" s="25"/>
    </row>
    <row r="40" spans="8:20">
      <c r="H40" s="25"/>
    </row>
    <row r="41" spans="8:20">
      <c r="H41" s="25"/>
    </row>
    <row r="42" spans="8:20">
      <c r="H42" s="25"/>
    </row>
    <row r="43" spans="8:20">
      <c r="H43" s="25"/>
    </row>
    <row r="44" spans="8:20">
      <c r="H44" s="25"/>
    </row>
    <row r="45" spans="8:20">
      <c r="H45" s="25"/>
    </row>
    <row r="46" spans="8:20">
      <c r="H46" s="25"/>
    </row>
    <row r="47" spans="8:20">
      <c r="H47" s="25"/>
    </row>
    <row r="48" spans="8:20">
      <c r="H48" s="25"/>
    </row>
    <row r="49" spans="8:8">
      <c r="H49" s="25"/>
    </row>
    <row r="50" spans="8:8">
      <c r="H50" s="25"/>
    </row>
    <row r="51" spans="8:8">
      <c r="H51" s="25"/>
    </row>
    <row r="52" spans="8:8">
      <c r="H52" s="25"/>
    </row>
    <row r="53" spans="8:8">
      <c r="H53" s="25"/>
    </row>
    <row r="54" spans="8:8">
      <c r="H54" s="25"/>
    </row>
    <row r="55" spans="8:8">
      <c r="H55" s="25"/>
    </row>
    <row r="56" spans="8:8">
      <c r="H56" s="25"/>
    </row>
    <row r="57" spans="8:8">
      <c r="H57" s="25"/>
    </row>
    <row r="58" spans="8:8">
      <c r="H58" s="25"/>
    </row>
    <row r="59" spans="8:8">
      <c r="H59" s="25"/>
    </row>
    <row r="60" spans="8:8">
      <c r="H60" s="25"/>
    </row>
    <row r="61" spans="8:8">
      <c r="H61" s="25"/>
    </row>
    <row r="62" spans="8:8">
      <c r="H62" s="25"/>
    </row>
    <row r="63" spans="8:8">
      <c r="H63" s="25"/>
    </row>
    <row r="64" spans="8:8">
      <c r="H64" s="25"/>
    </row>
    <row r="65" spans="8:8">
      <c r="H65" s="25"/>
    </row>
    <row r="66" spans="8:8">
      <c r="H66" s="25"/>
    </row>
    <row r="67" spans="8:8">
      <c r="H67" s="25"/>
    </row>
    <row r="68" spans="8:8">
      <c r="H68" s="25"/>
    </row>
    <row r="69" spans="8:8">
      <c r="H69" s="25"/>
    </row>
    <row r="70" spans="8:8">
      <c r="H70" s="25"/>
    </row>
    <row r="71" spans="8:8">
      <c r="H71" s="25"/>
    </row>
    <row r="72" spans="8:8">
      <c r="H72" s="25"/>
    </row>
    <row r="73" spans="8:8">
      <c r="H73" s="25"/>
    </row>
    <row r="74" spans="8:8">
      <c r="H74" s="25"/>
    </row>
    <row r="75" spans="8:8">
      <c r="H75" s="25"/>
    </row>
    <row r="76" spans="8:8">
      <c r="H76" s="25"/>
    </row>
    <row r="77" spans="8:8">
      <c r="H77" s="25"/>
    </row>
    <row r="78" spans="8:8">
      <c r="H78" s="25"/>
    </row>
    <row r="79" spans="8:8">
      <c r="H79" s="25"/>
    </row>
    <row r="80" spans="8:8">
      <c r="H80" s="25"/>
    </row>
    <row r="81" spans="8:8">
      <c r="H81" s="25"/>
    </row>
    <row r="82" spans="8:8">
      <c r="H82" s="25"/>
    </row>
    <row r="83" spans="8:8">
      <c r="H83" s="25"/>
    </row>
    <row r="84" spans="8:8">
      <c r="H84" s="25"/>
    </row>
    <row r="85" spans="8:8">
      <c r="H85" s="25"/>
    </row>
    <row r="86" spans="8:8">
      <c r="H86" s="25"/>
    </row>
    <row r="87" spans="8:8">
      <c r="H87" s="25"/>
    </row>
    <row r="88" spans="8:8">
      <c r="H88" s="25"/>
    </row>
    <row r="89" spans="8:8">
      <c r="H89" s="25"/>
    </row>
    <row r="90" spans="8:8">
      <c r="H90" s="25"/>
    </row>
    <row r="91" spans="8:8">
      <c r="H91" s="25"/>
    </row>
    <row r="92" spans="8:8">
      <c r="H92" s="25"/>
    </row>
    <row r="93" spans="8:8">
      <c r="H93" s="25"/>
    </row>
    <row r="94" spans="8:8">
      <c r="H94" s="25"/>
    </row>
    <row r="95" spans="8:8">
      <c r="H95" s="25"/>
    </row>
    <row r="96" spans="8:8">
      <c r="H96" s="25"/>
    </row>
    <row r="97" spans="8:8">
      <c r="H97" s="25"/>
    </row>
    <row r="98" spans="8:8">
      <c r="H98" s="25"/>
    </row>
    <row r="99" spans="8:8">
      <c r="H99" s="25"/>
    </row>
    <row r="100" spans="8:8">
      <c r="H100" s="25"/>
    </row>
    <row r="101" spans="8:8">
      <c r="H101" s="25"/>
    </row>
    <row r="102" spans="8:8">
      <c r="H102" s="25"/>
    </row>
    <row r="103" spans="8:8">
      <c r="H103" s="25"/>
    </row>
    <row r="104" spans="8:8">
      <c r="H104" s="25"/>
    </row>
    <row r="105" spans="8:8">
      <c r="H105" s="25"/>
    </row>
    <row r="106" spans="8:8">
      <c r="H106" s="25"/>
    </row>
    <row r="107" spans="8:8">
      <c r="H107" s="25"/>
    </row>
    <row r="108" spans="8:8">
      <c r="H108" s="25"/>
    </row>
    <row r="109" spans="8:8">
      <c r="H109" s="25"/>
    </row>
    <row r="110" spans="8:8">
      <c r="H110" s="25"/>
    </row>
    <row r="111" spans="8:8">
      <c r="H111" s="25"/>
    </row>
    <row r="112" spans="8:8">
      <c r="H112" s="25"/>
    </row>
    <row r="113" spans="8:8">
      <c r="H113" s="25"/>
    </row>
    <row r="114" spans="8:8">
      <c r="H114" s="25"/>
    </row>
    <row r="115" spans="8:8">
      <c r="H115" s="25"/>
    </row>
    <row r="116" spans="8:8">
      <c r="H116" s="25"/>
    </row>
    <row r="117" spans="8:8">
      <c r="H117" s="25"/>
    </row>
    <row r="118" spans="8:8">
      <c r="H118" s="25"/>
    </row>
    <row r="119" spans="8:8">
      <c r="H119" s="25"/>
    </row>
    <row r="120" spans="8:8">
      <c r="H120" s="25"/>
    </row>
    <row r="121" spans="8:8">
      <c r="H121" s="25"/>
    </row>
    <row r="122" spans="8:8">
      <c r="H122" s="25"/>
    </row>
    <row r="123" spans="8:8">
      <c r="H123" s="25"/>
    </row>
    <row r="124" spans="8:8">
      <c r="H124" s="25"/>
    </row>
    <row r="125" spans="8:8">
      <c r="H125" s="25"/>
    </row>
    <row r="126" spans="8:8">
      <c r="H126" s="25"/>
    </row>
    <row r="127" spans="8:8">
      <c r="H127" s="25"/>
    </row>
    <row r="128" spans="8:8">
      <c r="H128" s="25"/>
    </row>
    <row r="129" spans="8:8">
      <c r="H129" s="25"/>
    </row>
    <row r="130" spans="8:8">
      <c r="H130" s="25"/>
    </row>
    <row r="131" spans="8:8">
      <c r="H131" s="25"/>
    </row>
    <row r="132" spans="8:8">
      <c r="H132" s="25"/>
    </row>
    <row r="133" spans="8:8">
      <c r="H133" s="25"/>
    </row>
    <row r="134" spans="8:8">
      <c r="H134" s="25"/>
    </row>
    <row r="135" spans="8:8">
      <c r="H135" s="25"/>
    </row>
    <row r="136" spans="8:8">
      <c r="H136" s="25"/>
    </row>
    <row r="137" spans="8:8">
      <c r="H137" s="25"/>
    </row>
    <row r="138" spans="8:8">
      <c r="H138" s="25"/>
    </row>
    <row r="139" spans="8:8">
      <c r="H139" s="25"/>
    </row>
    <row r="140" spans="8:8">
      <c r="H140" s="25"/>
    </row>
    <row r="141" spans="8:8">
      <c r="H141" s="25"/>
    </row>
    <row r="142" spans="8:8">
      <c r="H142" s="25"/>
    </row>
    <row r="143" spans="8:8">
      <c r="H143" s="25"/>
    </row>
    <row r="144" spans="8:8">
      <c r="H144" s="25"/>
    </row>
    <row r="145" spans="8:8">
      <c r="H145" s="25"/>
    </row>
    <row r="146" spans="8:8">
      <c r="H146" s="25"/>
    </row>
    <row r="147" spans="8:8">
      <c r="H147" s="25"/>
    </row>
    <row r="148" spans="8:8">
      <c r="H148" s="25"/>
    </row>
    <row r="149" spans="8:8">
      <c r="H149" s="25"/>
    </row>
  </sheetData>
  <mergeCells count="3">
    <mergeCell ref="H3:P3"/>
    <mergeCell ref="H4:P4"/>
    <mergeCell ref="H5:P5"/>
  </mergeCells>
  <printOptions horizontalCentered="1"/>
  <pageMargins left="0.75" right="0.75" top="0.75" bottom="0.75" header="0.5" footer="0.3"/>
  <pageSetup scale="80" orientation="portrait" r:id="rId1"/>
  <headerFooter>
    <oddHeader>&amp;R&amp;"Arial,Regular"&amp;10Attachment O Work Paper
Page 2 of 20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0"/>
  <sheetViews>
    <sheetView topLeftCell="A2" zoomScaleNormal="100" workbookViewId="0">
      <selection activeCell="O2" sqref="O2"/>
    </sheetView>
  </sheetViews>
  <sheetFormatPr defaultRowHeight="15"/>
  <cols>
    <col min="1" max="10" width="8.88671875" style="809"/>
    <col min="11" max="11" width="11.88671875" style="809" customWidth="1"/>
    <col min="12" max="12" width="10.88671875" style="809" bestFit="1" customWidth="1"/>
    <col min="13" max="13" width="10.33203125" style="835" bestFit="1" customWidth="1"/>
    <col min="14" max="14" width="3.33203125" style="809" customWidth="1"/>
    <col min="15" max="16384" width="8.88671875" style="809"/>
  </cols>
  <sheetData>
    <row r="1" spans="1:13">
      <c r="K1" s="638"/>
    </row>
    <row r="2" spans="1:13" ht="15.75" customHeight="1">
      <c r="A2" s="1107" t="s">
        <v>0</v>
      </c>
      <c r="B2" s="1107"/>
      <c r="C2" s="1107"/>
      <c r="D2" s="1107"/>
      <c r="E2" s="1107"/>
      <c r="F2" s="1107"/>
      <c r="G2" s="1107"/>
      <c r="H2" s="1107"/>
      <c r="I2" s="1107"/>
      <c r="J2" s="1107"/>
      <c r="K2" s="1107"/>
      <c r="L2" s="1081"/>
    </row>
    <row r="3" spans="1:13" ht="15.75" customHeight="1">
      <c r="A3" s="1107" t="s">
        <v>457</v>
      </c>
      <c r="B3" s="1107"/>
      <c r="C3" s="1107"/>
      <c r="D3" s="1107"/>
      <c r="E3" s="1107"/>
      <c r="F3" s="1107"/>
      <c r="G3" s="1107"/>
      <c r="H3" s="1107"/>
      <c r="I3" s="1107"/>
      <c r="J3" s="1107"/>
      <c r="K3" s="1107"/>
      <c r="L3" s="375"/>
    </row>
    <row r="4" spans="1:13" ht="15.75" customHeight="1">
      <c r="A4" s="1110" t="str">
        <f>'Page 20 - Revenues'!A5:K5</f>
        <v>Budget Year 2015</v>
      </c>
      <c r="B4" s="1110"/>
      <c r="C4" s="1110"/>
      <c r="D4" s="1110"/>
      <c r="E4" s="1110"/>
      <c r="F4" s="1110"/>
      <c r="G4" s="1110"/>
      <c r="H4" s="1110"/>
      <c r="I4" s="1110"/>
      <c r="J4" s="1110"/>
      <c r="K4" s="1110"/>
      <c r="L4" s="376"/>
    </row>
    <row r="6" spans="1:13">
      <c r="A6" s="342" t="s">
        <v>8</v>
      </c>
      <c r="B6" s="1154">
        <v>2010</v>
      </c>
      <c r="C6" s="1154"/>
      <c r="D6" s="1154"/>
      <c r="E6" s="1154"/>
      <c r="F6" s="1154"/>
      <c r="G6" s="1154"/>
      <c r="H6" s="1154"/>
      <c r="I6" s="1154"/>
      <c r="J6" s="1154"/>
      <c r="K6" s="1154"/>
    </row>
    <row r="7" spans="1:13">
      <c r="A7" s="344" t="s">
        <v>10</v>
      </c>
      <c r="B7" s="810" t="s">
        <v>668</v>
      </c>
      <c r="C7" s="810" t="s">
        <v>377</v>
      </c>
      <c r="D7" s="810" t="s">
        <v>378</v>
      </c>
      <c r="E7" s="810" t="s">
        <v>446</v>
      </c>
      <c r="F7" s="810" t="s">
        <v>379</v>
      </c>
      <c r="G7" s="810" t="s">
        <v>669</v>
      </c>
      <c r="H7" s="810" t="s">
        <v>448</v>
      </c>
      <c r="I7" s="810" t="s">
        <v>670</v>
      </c>
      <c r="J7" s="810" t="s">
        <v>671</v>
      </c>
      <c r="K7" s="810" t="s">
        <v>672</v>
      </c>
    </row>
    <row r="8" spans="1:13">
      <c r="A8" s="850">
        <v>1</v>
      </c>
      <c r="B8" s="809">
        <v>100</v>
      </c>
      <c r="C8" s="809">
        <v>10</v>
      </c>
      <c r="D8" s="809">
        <v>0</v>
      </c>
      <c r="E8" s="809">
        <v>4110</v>
      </c>
      <c r="F8" s="809">
        <v>4540</v>
      </c>
      <c r="G8" s="811" t="s">
        <v>394</v>
      </c>
      <c r="H8" s="809">
        <v>0</v>
      </c>
      <c r="I8" s="809">
        <v>40000</v>
      </c>
      <c r="J8" s="809">
        <v>45400</v>
      </c>
      <c r="K8" s="836">
        <v>-40.799999999999997</v>
      </c>
    </row>
    <row r="9" spans="1:13">
      <c r="A9" s="851">
        <f t="shared" ref="A9:A28" si="0">A8+1</f>
        <v>2</v>
      </c>
      <c r="B9" s="809">
        <v>100</v>
      </c>
      <c r="C9" s="809">
        <v>10</v>
      </c>
      <c r="D9" s="809">
        <v>790</v>
      </c>
      <c r="E9" s="809">
        <v>4110</v>
      </c>
      <c r="F9" s="809">
        <v>4540</v>
      </c>
      <c r="G9" s="809">
        <v>0</v>
      </c>
      <c r="H9" s="809">
        <v>104112</v>
      </c>
      <c r="I9" s="809">
        <v>40000</v>
      </c>
      <c r="J9" s="809">
        <v>45400</v>
      </c>
      <c r="K9" s="836">
        <v>-860.75</v>
      </c>
    </row>
    <row r="10" spans="1:13">
      <c r="A10" s="851">
        <f t="shared" si="0"/>
        <v>3</v>
      </c>
      <c r="B10" s="809">
        <v>100</v>
      </c>
      <c r="C10" s="809">
        <v>10</v>
      </c>
      <c r="D10" s="809">
        <v>1020</v>
      </c>
      <c r="E10" s="809">
        <v>4110</v>
      </c>
      <c r="F10" s="809">
        <v>4540</v>
      </c>
      <c r="G10" s="809">
        <v>0</v>
      </c>
      <c r="H10" s="809">
        <v>0</v>
      </c>
      <c r="I10" s="809">
        <v>40000</v>
      </c>
      <c r="J10" s="809">
        <v>45400</v>
      </c>
      <c r="K10" s="836">
        <v>-3975.3</v>
      </c>
    </row>
    <row r="11" spans="1:13">
      <c r="A11" s="851">
        <f t="shared" si="0"/>
        <v>4</v>
      </c>
      <c r="B11" s="809">
        <v>100</v>
      </c>
      <c r="C11" s="809">
        <v>10</v>
      </c>
      <c r="D11" s="809">
        <v>1100</v>
      </c>
      <c r="E11" s="809">
        <v>4110</v>
      </c>
      <c r="F11" s="809">
        <v>4540</v>
      </c>
      <c r="G11" s="809">
        <v>0</v>
      </c>
      <c r="H11" s="809">
        <v>0</v>
      </c>
      <c r="I11" s="809">
        <v>40000</v>
      </c>
      <c r="J11" s="809">
        <v>45400</v>
      </c>
      <c r="K11" s="836">
        <v>-8574.75</v>
      </c>
    </row>
    <row r="12" spans="1:13">
      <c r="A12" s="851">
        <f t="shared" si="0"/>
        <v>5</v>
      </c>
      <c r="B12" s="809">
        <v>100</v>
      </c>
      <c r="C12" s="809">
        <v>10</v>
      </c>
      <c r="D12" s="809">
        <v>1100</v>
      </c>
      <c r="E12" s="809">
        <v>4110</v>
      </c>
      <c r="F12" s="809">
        <v>4540</v>
      </c>
      <c r="G12" s="809">
        <v>0</v>
      </c>
      <c r="H12" s="809">
        <v>101100</v>
      </c>
      <c r="I12" s="809">
        <v>40000</v>
      </c>
      <c r="J12" s="809">
        <v>45400</v>
      </c>
      <c r="K12" s="836">
        <v>-4500</v>
      </c>
    </row>
    <row r="13" spans="1:13">
      <c r="A13" s="851">
        <f t="shared" si="0"/>
        <v>6</v>
      </c>
      <c r="B13" s="809">
        <v>100</v>
      </c>
      <c r="C13" s="809">
        <v>10</v>
      </c>
      <c r="D13" s="809">
        <v>1190</v>
      </c>
      <c r="E13" s="809">
        <v>4110</v>
      </c>
      <c r="F13" s="809">
        <v>4540</v>
      </c>
      <c r="G13" s="809">
        <v>0</v>
      </c>
      <c r="H13" s="809">
        <v>0</v>
      </c>
      <c r="I13" s="809">
        <v>40000</v>
      </c>
      <c r="J13" s="809">
        <v>45400</v>
      </c>
      <c r="K13" s="836">
        <v>6027.46</v>
      </c>
    </row>
    <row r="14" spans="1:13">
      <c r="A14" s="851">
        <f t="shared" si="0"/>
        <v>7</v>
      </c>
      <c r="B14" s="809">
        <v>100</v>
      </c>
      <c r="C14" s="809">
        <v>10</v>
      </c>
      <c r="D14" s="809">
        <v>1200</v>
      </c>
      <c r="E14" s="809">
        <v>4110</v>
      </c>
      <c r="F14" s="809">
        <v>4540</v>
      </c>
      <c r="G14" s="809">
        <v>0</v>
      </c>
      <c r="H14" s="809">
        <v>0</v>
      </c>
      <c r="I14" s="809">
        <v>40000</v>
      </c>
      <c r="J14" s="809">
        <v>45400</v>
      </c>
      <c r="K14" s="836">
        <v>-5094.7299999999996</v>
      </c>
    </row>
    <row r="15" spans="1:13">
      <c r="A15" s="851">
        <f t="shared" si="0"/>
        <v>8</v>
      </c>
      <c r="B15" s="809">
        <v>100</v>
      </c>
      <c r="C15" s="809">
        <v>10</v>
      </c>
      <c r="D15" s="809">
        <v>1200</v>
      </c>
      <c r="E15" s="809">
        <v>4110</v>
      </c>
      <c r="F15" s="809">
        <v>4540</v>
      </c>
      <c r="G15" s="809">
        <v>0</v>
      </c>
      <c r="H15" s="809">
        <v>101200</v>
      </c>
      <c r="I15" s="809">
        <v>40000</v>
      </c>
      <c r="J15" s="809">
        <v>45400</v>
      </c>
      <c r="K15" s="836">
        <v>-40189.11</v>
      </c>
    </row>
    <row r="16" spans="1:13">
      <c r="A16" s="851">
        <f t="shared" si="0"/>
        <v>9</v>
      </c>
      <c r="B16" s="809">
        <v>100</v>
      </c>
      <c r="C16" s="809">
        <v>10</v>
      </c>
      <c r="D16" s="809">
        <v>1290</v>
      </c>
      <c r="E16" s="809">
        <v>4110</v>
      </c>
      <c r="F16" s="809">
        <v>4540</v>
      </c>
      <c r="G16" s="809">
        <v>0</v>
      </c>
      <c r="H16" s="809">
        <v>0</v>
      </c>
      <c r="I16" s="809">
        <v>40000</v>
      </c>
      <c r="J16" s="809">
        <v>45400</v>
      </c>
      <c r="K16" s="836">
        <v>29434.52</v>
      </c>
      <c r="L16" s="812">
        <f>SUM(K8:K16)</f>
        <v>-27773.459999999995</v>
      </c>
      <c r="M16" s="835">
        <f>L16/K26</f>
        <v>4.062809500119894E-2</v>
      </c>
    </row>
    <row r="17" spans="1:13">
      <c r="A17" s="851">
        <f t="shared" si="0"/>
        <v>10</v>
      </c>
      <c r="B17" s="809">
        <v>100</v>
      </c>
      <c r="C17" s="809">
        <v>20</v>
      </c>
      <c r="D17" s="809">
        <v>0</v>
      </c>
      <c r="E17" s="809">
        <v>4110</v>
      </c>
      <c r="F17" s="809">
        <v>4540</v>
      </c>
      <c r="G17" s="809">
        <v>0</v>
      </c>
      <c r="H17" s="809">
        <v>0</v>
      </c>
      <c r="I17" s="809">
        <v>40000</v>
      </c>
      <c r="J17" s="809">
        <v>45400</v>
      </c>
      <c r="K17" s="836">
        <v>-128474.88</v>
      </c>
      <c r="L17" s="812">
        <f>K17</f>
        <v>-128474.88</v>
      </c>
      <c r="M17" s="835">
        <f>L17/K26</f>
        <v>0.18793803976557602</v>
      </c>
    </row>
    <row r="18" spans="1:13">
      <c r="A18" s="851">
        <f t="shared" si="0"/>
        <v>11</v>
      </c>
      <c r="B18" s="809">
        <v>100</v>
      </c>
      <c r="C18" s="809">
        <v>30</v>
      </c>
      <c r="D18" s="809">
        <v>0</v>
      </c>
      <c r="E18" s="809">
        <v>4110</v>
      </c>
      <c r="F18" s="809">
        <v>4540</v>
      </c>
      <c r="G18" s="809">
        <v>0</v>
      </c>
      <c r="H18" s="809">
        <v>0</v>
      </c>
      <c r="I18" s="809">
        <v>40000</v>
      </c>
      <c r="J18" s="809">
        <v>45400</v>
      </c>
      <c r="K18" s="836">
        <v>-64589.52</v>
      </c>
    </row>
    <row r="19" spans="1:13">
      <c r="A19" s="851">
        <f t="shared" si="0"/>
        <v>12</v>
      </c>
      <c r="B19" s="809">
        <v>100</v>
      </c>
      <c r="C19" s="809">
        <v>30</v>
      </c>
      <c r="D19" s="809">
        <v>10</v>
      </c>
      <c r="E19" s="809">
        <v>4110</v>
      </c>
      <c r="F19" s="809">
        <v>4540</v>
      </c>
      <c r="G19" s="809">
        <v>0</v>
      </c>
      <c r="H19" s="809">
        <v>0</v>
      </c>
      <c r="I19" s="809">
        <v>40000</v>
      </c>
      <c r="J19" s="809">
        <v>45400</v>
      </c>
      <c r="K19" s="836">
        <v>-2400</v>
      </c>
    </row>
    <row r="20" spans="1:13">
      <c r="A20" s="851">
        <f t="shared" si="0"/>
        <v>13</v>
      </c>
      <c r="B20" s="809">
        <v>100</v>
      </c>
      <c r="C20" s="809">
        <v>30</v>
      </c>
      <c r="D20" s="809">
        <v>20</v>
      </c>
      <c r="E20" s="809">
        <v>4110</v>
      </c>
      <c r="F20" s="809">
        <v>4540</v>
      </c>
      <c r="G20" s="809">
        <v>0</v>
      </c>
      <c r="H20" s="809">
        <v>0</v>
      </c>
      <c r="I20" s="809">
        <v>40000</v>
      </c>
      <c r="J20" s="809">
        <v>45400</v>
      </c>
      <c r="K20" s="836">
        <v>-8794.56</v>
      </c>
    </row>
    <row r="21" spans="1:13">
      <c r="A21" s="851">
        <f t="shared" si="0"/>
        <v>14</v>
      </c>
      <c r="B21" s="809">
        <v>100</v>
      </c>
      <c r="C21" s="809">
        <v>30</v>
      </c>
      <c r="D21" s="809">
        <v>60</v>
      </c>
      <c r="E21" s="809">
        <v>4110</v>
      </c>
      <c r="F21" s="809">
        <v>4540</v>
      </c>
      <c r="G21" s="809">
        <v>0</v>
      </c>
      <c r="H21" s="809">
        <v>0</v>
      </c>
      <c r="I21" s="809">
        <v>40000</v>
      </c>
      <c r="J21" s="809">
        <v>45400</v>
      </c>
      <c r="K21" s="836">
        <v>-4808.16</v>
      </c>
    </row>
    <row r="22" spans="1:13">
      <c r="A22" s="851">
        <f t="shared" si="0"/>
        <v>15</v>
      </c>
      <c r="B22" s="809">
        <v>100</v>
      </c>
      <c r="C22" s="809">
        <v>30</v>
      </c>
      <c r="D22" s="809">
        <v>80</v>
      </c>
      <c r="E22" s="809">
        <v>4110</v>
      </c>
      <c r="F22" s="809">
        <v>4540</v>
      </c>
      <c r="G22" s="809">
        <v>0</v>
      </c>
      <c r="H22" s="809">
        <v>100531</v>
      </c>
      <c r="I22" s="809">
        <v>40000</v>
      </c>
      <c r="J22" s="809">
        <v>45400</v>
      </c>
      <c r="K22" s="836">
        <v>-22500</v>
      </c>
    </row>
    <row r="23" spans="1:13">
      <c r="A23" s="851">
        <f t="shared" si="0"/>
        <v>16</v>
      </c>
      <c r="B23" s="809">
        <v>100</v>
      </c>
      <c r="C23" s="809">
        <v>30</v>
      </c>
      <c r="D23" s="809">
        <v>140</v>
      </c>
      <c r="E23" s="809">
        <v>4110</v>
      </c>
      <c r="F23" s="809">
        <v>4540</v>
      </c>
      <c r="G23" s="809">
        <v>0</v>
      </c>
      <c r="H23" s="809">
        <v>0</v>
      </c>
      <c r="I23" s="809">
        <v>40000</v>
      </c>
      <c r="J23" s="809">
        <v>45400</v>
      </c>
      <c r="K23" s="836">
        <v>-122.4</v>
      </c>
    </row>
    <row r="24" spans="1:13">
      <c r="A24" s="851">
        <f t="shared" si="0"/>
        <v>17</v>
      </c>
      <c r="B24" s="809">
        <v>100</v>
      </c>
      <c r="C24" s="809">
        <v>30</v>
      </c>
      <c r="D24" s="809">
        <v>340</v>
      </c>
      <c r="E24" s="809">
        <v>4110</v>
      </c>
      <c r="F24" s="809">
        <v>4540</v>
      </c>
      <c r="G24" s="809">
        <v>0</v>
      </c>
      <c r="H24" s="809">
        <v>0</v>
      </c>
      <c r="I24" s="809">
        <v>40000</v>
      </c>
      <c r="J24" s="809">
        <v>45400</v>
      </c>
      <c r="K24" s="836">
        <v>-120371.37</v>
      </c>
    </row>
    <row r="25" spans="1:13">
      <c r="A25" s="851">
        <f t="shared" si="0"/>
        <v>18</v>
      </c>
      <c r="B25" s="809">
        <v>100</v>
      </c>
      <c r="C25" s="809">
        <v>30</v>
      </c>
      <c r="D25" s="809">
        <v>870</v>
      </c>
      <c r="E25" s="809">
        <v>4110</v>
      </c>
      <c r="F25" s="809">
        <v>4540</v>
      </c>
      <c r="G25" s="809">
        <v>0</v>
      </c>
      <c r="H25" s="809">
        <v>0</v>
      </c>
      <c r="I25" s="809">
        <v>40000</v>
      </c>
      <c r="J25" s="809">
        <v>45400</v>
      </c>
      <c r="K25" s="837">
        <v>-303767.96999999997</v>
      </c>
      <c r="L25" s="813">
        <f>SUM(K18:K25)</f>
        <v>-527353.98</v>
      </c>
      <c r="M25" s="838">
        <f>L25/K26</f>
        <v>0.7714338652332251</v>
      </c>
    </row>
    <row r="26" spans="1:13">
      <c r="A26" s="851">
        <f t="shared" si="0"/>
        <v>19</v>
      </c>
      <c r="K26" s="812">
        <f>SUM(K8:K25)</f>
        <v>-683602.32</v>
      </c>
      <c r="L26" s="812">
        <f>SUM(L8:L25)</f>
        <v>-683602.32</v>
      </c>
      <c r="M26" s="835">
        <f>SUM(M8:M25)</f>
        <v>1</v>
      </c>
    </row>
    <row r="27" spans="1:13">
      <c r="A27" s="851">
        <f t="shared" si="0"/>
        <v>20</v>
      </c>
    </row>
    <row r="28" spans="1:13">
      <c r="A28" s="851">
        <f t="shared" si="0"/>
        <v>21</v>
      </c>
      <c r="B28" s="1154">
        <v>2011</v>
      </c>
      <c r="C28" s="1154"/>
      <c r="D28" s="1154"/>
      <c r="E28" s="1154"/>
      <c r="F28" s="1154"/>
      <c r="G28" s="1154"/>
      <c r="H28" s="1154"/>
      <c r="I28" s="1154"/>
      <c r="J28" s="1154"/>
      <c r="K28" s="1154"/>
    </row>
    <row r="29" spans="1:13">
      <c r="A29" s="851">
        <f t="shared" ref="A29:A97" si="1">A28+1</f>
        <v>22</v>
      </c>
      <c r="B29" s="810" t="s">
        <v>668</v>
      </c>
      <c r="C29" s="810" t="s">
        <v>377</v>
      </c>
      <c r="D29" s="810" t="s">
        <v>378</v>
      </c>
      <c r="E29" s="810" t="s">
        <v>446</v>
      </c>
      <c r="F29" s="810" t="s">
        <v>379</v>
      </c>
      <c r="G29" s="810" t="s">
        <v>669</v>
      </c>
      <c r="H29" s="810" t="s">
        <v>448</v>
      </c>
      <c r="I29" s="810" t="s">
        <v>670</v>
      </c>
      <c r="J29" s="810" t="s">
        <v>671</v>
      </c>
      <c r="K29" s="810" t="s">
        <v>673</v>
      </c>
    </row>
    <row r="30" spans="1:13">
      <c r="A30" s="851">
        <f t="shared" si="1"/>
        <v>23</v>
      </c>
      <c r="B30" s="848">
        <v>100</v>
      </c>
      <c r="C30" s="820">
        <v>10</v>
      </c>
      <c r="D30" s="821">
        <v>1020</v>
      </c>
      <c r="E30" s="821">
        <v>4110</v>
      </c>
      <c r="F30" s="821">
        <v>4540</v>
      </c>
      <c r="G30" s="821">
        <v>0</v>
      </c>
      <c r="H30" s="822">
        <v>0</v>
      </c>
      <c r="I30" s="823">
        <v>40000</v>
      </c>
      <c r="J30" s="823">
        <v>45400</v>
      </c>
      <c r="K30" s="824">
        <v>-2250</v>
      </c>
    </row>
    <row r="31" spans="1:13">
      <c r="A31" s="851">
        <f t="shared" si="1"/>
        <v>24</v>
      </c>
      <c r="B31" s="848">
        <v>100</v>
      </c>
      <c r="C31" s="820">
        <v>10</v>
      </c>
      <c r="D31" s="821">
        <v>1100</v>
      </c>
      <c r="E31" s="821">
        <v>4110</v>
      </c>
      <c r="F31" s="821">
        <v>4540</v>
      </c>
      <c r="G31" s="821">
        <v>0</v>
      </c>
      <c r="H31" s="822">
        <v>0</v>
      </c>
      <c r="I31" s="823">
        <v>40000</v>
      </c>
      <c r="J31" s="823">
        <v>45400</v>
      </c>
      <c r="K31" s="824">
        <v>-13641.25</v>
      </c>
    </row>
    <row r="32" spans="1:13">
      <c r="A32" s="851">
        <f t="shared" si="1"/>
        <v>25</v>
      </c>
      <c r="B32" s="848">
        <v>100</v>
      </c>
      <c r="C32" s="820">
        <v>10</v>
      </c>
      <c r="D32" s="821">
        <v>1190</v>
      </c>
      <c r="E32" s="821">
        <v>4110</v>
      </c>
      <c r="F32" s="821">
        <v>4540</v>
      </c>
      <c r="G32" s="821">
        <v>0</v>
      </c>
      <c r="H32" s="822">
        <v>0</v>
      </c>
      <c r="I32" s="823">
        <v>40000</v>
      </c>
      <c r="J32" s="823">
        <v>45400</v>
      </c>
      <c r="K32" s="824">
        <v>6288.61</v>
      </c>
    </row>
    <row r="33" spans="1:13">
      <c r="A33" s="851">
        <f t="shared" si="1"/>
        <v>26</v>
      </c>
      <c r="B33" s="848">
        <v>100</v>
      </c>
      <c r="C33" s="820">
        <v>10</v>
      </c>
      <c r="D33" s="821">
        <v>1200</v>
      </c>
      <c r="E33" s="821">
        <v>4110</v>
      </c>
      <c r="F33" s="821">
        <v>4540</v>
      </c>
      <c r="G33" s="821">
        <v>0</v>
      </c>
      <c r="H33" s="822">
        <v>0</v>
      </c>
      <c r="I33" s="823">
        <v>40000</v>
      </c>
      <c r="J33" s="823">
        <v>45400</v>
      </c>
      <c r="K33" s="824">
        <v>-3682.53</v>
      </c>
    </row>
    <row r="34" spans="1:13">
      <c r="A34" s="851">
        <f t="shared" si="1"/>
        <v>27</v>
      </c>
      <c r="B34" s="848">
        <v>100</v>
      </c>
      <c r="C34" s="820">
        <v>10</v>
      </c>
      <c r="D34" s="821">
        <v>1200</v>
      </c>
      <c r="E34" s="821">
        <v>4110</v>
      </c>
      <c r="F34" s="821">
        <v>4540</v>
      </c>
      <c r="G34" s="821">
        <v>0</v>
      </c>
      <c r="H34" s="822">
        <v>101200</v>
      </c>
      <c r="I34" s="823">
        <v>40000</v>
      </c>
      <c r="J34" s="823">
        <v>45400</v>
      </c>
      <c r="K34" s="824">
        <v>-34123.599999999999</v>
      </c>
    </row>
    <row r="35" spans="1:13">
      <c r="A35" s="851">
        <f t="shared" si="1"/>
        <v>28</v>
      </c>
      <c r="B35" s="848">
        <v>100</v>
      </c>
      <c r="C35" s="820">
        <v>10</v>
      </c>
      <c r="D35" s="821">
        <v>1290</v>
      </c>
      <c r="E35" s="821">
        <v>4110</v>
      </c>
      <c r="F35" s="821">
        <v>4540</v>
      </c>
      <c r="G35" s="821">
        <v>0</v>
      </c>
      <c r="H35" s="822">
        <v>0</v>
      </c>
      <c r="I35" s="823">
        <v>40000</v>
      </c>
      <c r="J35" s="823">
        <v>45400</v>
      </c>
      <c r="K35" s="824">
        <v>24573.98</v>
      </c>
      <c r="L35" s="812">
        <f>SUM(K30:K35)</f>
        <v>-22834.789999999997</v>
      </c>
      <c r="M35" s="835">
        <f>L35/K46</f>
        <v>3.3461915117968505E-2</v>
      </c>
    </row>
    <row r="36" spans="1:13">
      <c r="A36" s="851">
        <f t="shared" si="1"/>
        <v>29</v>
      </c>
      <c r="B36" s="848">
        <v>100</v>
      </c>
      <c r="C36" s="820">
        <v>20</v>
      </c>
      <c r="D36" s="821">
        <v>0</v>
      </c>
      <c r="E36" s="821">
        <v>4110</v>
      </c>
      <c r="F36" s="821">
        <v>4540</v>
      </c>
      <c r="G36" s="821">
        <v>0</v>
      </c>
      <c r="H36" s="822">
        <v>0</v>
      </c>
      <c r="I36" s="823">
        <v>40000</v>
      </c>
      <c r="J36" s="823">
        <v>45400</v>
      </c>
      <c r="K36" s="824">
        <v>-138304.07999999999</v>
      </c>
      <c r="L36" s="812">
        <f>K36</f>
        <v>-138304.07999999999</v>
      </c>
      <c r="M36" s="835">
        <f>L36/K46</f>
        <v>0.20266967138426611</v>
      </c>
    </row>
    <row r="37" spans="1:13">
      <c r="A37" s="851">
        <f t="shared" si="1"/>
        <v>30</v>
      </c>
      <c r="B37" s="848">
        <v>100</v>
      </c>
      <c r="C37" s="820">
        <v>30</v>
      </c>
      <c r="D37" s="821">
        <v>0</v>
      </c>
      <c r="E37" s="821">
        <v>4110</v>
      </c>
      <c r="F37" s="821">
        <v>4540</v>
      </c>
      <c r="G37" s="821">
        <v>0</v>
      </c>
      <c r="H37" s="822">
        <v>0</v>
      </c>
      <c r="I37" s="823">
        <v>40000</v>
      </c>
      <c r="J37" s="823">
        <v>45400</v>
      </c>
      <c r="K37" s="824">
        <v>-46811.199999999997</v>
      </c>
    </row>
    <row r="38" spans="1:13">
      <c r="A38" s="851">
        <f t="shared" si="1"/>
        <v>31</v>
      </c>
      <c r="B38" s="848">
        <v>100</v>
      </c>
      <c r="C38" s="820">
        <v>30</v>
      </c>
      <c r="D38" s="821">
        <v>10</v>
      </c>
      <c r="E38" s="821">
        <v>4110</v>
      </c>
      <c r="F38" s="821">
        <v>4540</v>
      </c>
      <c r="G38" s="821">
        <v>0</v>
      </c>
      <c r="H38" s="822">
        <v>0</v>
      </c>
      <c r="I38" s="823">
        <v>40000</v>
      </c>
      <c r="J38" s="823">
        <v>45400</v>
      </c>
      <c r="K38" s="824">
        <v>-2400</v>
      </c>
    </row>
    <row r="39" spans="1:13">
      <c r="A39" s="851">
        <f t="shared" si="1"/>
        <v>32</v>
      </c>
      <c r="B39" s="848">
        <v>100</v>
      </c>
      <c r="C39" s="820">
        <v>30</v>
      </c>
      <c r="D39" s="821">
        <v>20</v>
      </c>
      <c r="E39" s="821">
        <v>4110</v>
      </c>
      <c r="F39" s="821">
        <v>4540</v>
      </c>
      <c r="G39" s="821">
        <v>0</v>
      </c>
      <c r="H39" s="822">
        <v>0</v>
      </c>
      <c r="I39" s="823">
        <v>40000</v>
      </c>
      <c r="J39" s="823">
        <v>45400</v>
      </c>
      <c r="K39" s="824">
        <v>-7594.56</v>
      </c>
    </row>
    <row r="40" spans="1:13">
      <c r="A40" s="851">
        <f t="shared" si="1"/>
        <v>33</v>
      </c>
      <c r="B40" s="848">
        <v>100</v>
      </c>
      <c r="C40" s="820">
        <v>30</v>
      </c>
      <c r="D40" s="821">
        <v>60</v>
      </c>
      <c r="E40" s="821">
        <v>4110</v>
      </c>
      <c r="F40" s="821">
        <v>4540</v>
      </c>
      <c r="G40" s="821">
        <v>0</v>
      </c>
      <c r="H40" s="822">
        <v>0</v>
      </c>
      <c r="I40" s="823">
        <v>40000</v>
      </c>
      <c r="J40" s="823">
        <v>45400</v>
      </c>
      <c r="K40" s="824">
        <v>-4808.16</v>
      </c>
    </row>
    <row r="41" spans="1:13">
      <c r="A41" s="851">
        <f t="shared" si="1"/>
        <v>34</v>
      </c>
      <c r="B41" s="848">
        <v>100</v>
      </c>
      <c r="C41" s="820">
        <v>30</v>
      </c>
      <c r="D41" s="821">
        <v>80</v>
      </c>
      <c r="E41" s="821">
        <v>4110</v>
      </c>
      <c r="F41" s="821">
        <v>4540</v>
      </c>
      <c r="G41" s="821">
        <v>0</v>
      </c>
      <c r="H41" s="822">
        <v>0</v>
      </c>
      <c r="I41" s="823">
        <v>40000</v>
      </c>
      <c r="J41" s="823">
        <v>45400</v>
      </c>
      <c r="K41" s="824">
        <v>-270</v>
      </c>
    </row>
    <row r="42" spans="1:13">
      <c r="A42" s="851">
        <f t="shared" si="1"/>
        <v>35</v>
      </c>
      <c r="B42" s="848">
        <v>100</v>
      </c>
      <c r="C42" s="820">
        <v>30</v>
      </c>
      <c r="D42" s="821">
        <v>80</v>
      </c>
      <c r="E42" s="821">
        <v>4110</v>
      </c>
      <c r="F42" s="821">
        <v>4540</v>
      </c>
      <c r="G42" s="821">
        <v>0</v>
      </c>
      <c r="H42" s="822">
        <v>100531</v>
      </c>
      <c r="I42" s="823">
        <v>40000</v>
      </c>
      <c r="J42" s="823">
        <v>45400</v>
      </c>
      <c r="K42" s="824">
        <v>-15900</v>
      </c>
    </row>
    <row r="43" spans="1:13">
      <c r="A43" s="851">
        <f t="shared" si="1"/>
        <v>36</v>
      </c>
      <c r="B43" s="848">
        <v>100</v>
      </c>
      <c r="C43" s="820">
        <v>30</v>
      </c>
      <c r="D43" s="821">
        <v>140</v>
      </c>
      <c r="E43" s="821">
        <v>4110</v>
      </c>
      <c r="F43" s="821">
        <v>4540</v>
      </c>
      <c r="G43" s="821">
        <v>0</v>
      </c>
      <c r="H43" s="822">
        <v>0</v>
      </c>
      <c r="I43" s="823">
        <v>40000</v>
      </c>
      <c r="J43" s="823">
        <v>45400</v>
      </c>
      <c r="K43" s="824">
        <v>-122.4</v>
      </c>
    </row>
    <row r="44" spans="1:13">
      <c r="A44" s="851">
        <f t="shared" si="1"/>
        <v>37</v>
      </c>
      <c r="B44" s="848">
        <v>100</v>
      </c>
      <c r="C44" s="820">
        <v>30</v>
      </c>
      <c r="D44" s="821">
        <v>340</v>
      </c>
      <c r="E44" s="821">
        <v>4110</v>
      </c>
      <c r="F44" s="821">
        <v>4540</v>
      </c>
      <c r="G44" s="821">
        <v>0</v>
      </c>
      <c r="H44" s="822">
        <v>0</v>
      </c>
      <c r="I44" s="823">
        <v>40000</v>
      </c>
      <c r="J44" s="823">
        <v>45400</v>
      </c>
      <c r="K44" s="824">
        <v>-124121.72</v>
      </c>
    </row>
    <row r="45" spans="1:13">
      <c r="A45" s="851">
        <f t="shared" si="1"/>
        <v>38</v>
      </c>
      <c r="B45" s="848">
        <v>100</v>
      </c>
      <c r="C45" s="820">
        <v>30</v>
      </c>
      <c r="D45" s="821">
        <v>870</v>
      </c>
      <c r="E45" s="821">
        <v>4110</v>
      </c>
      <c r="F45" s="821">
        <v>4540</v>
      </c>
      <c r="G45" s="821">
        <v>0</v>
      </c>
      <c r="H45" s="822">
        <v>0</v>
      </c>
      <c r="I45" s="823">
        <v>40000</v>
      </c>
      <c r="J45" s="823">
        <v>45400</v>
      </c>
      <c r="K45" s="825">
        <v>-319244.42</v>
      </c>
      <c r="L45" s="812">
        <f>SUM(K37:K45)</f>
        <v>-521272.45999999996</v>
      </c>
      <c r="M45" s="838">
        <f>L45/K46</f>
        <v>0.76386841349776524</v>
      </c>
    </row>
    <row r="46" spans="1:13">
      <c r="A46" s="851">
        <f t="shared" si="1"/>
        <v>39</v>
      </c>
      <c r="K46" s="814">
        <f>SUM(K30:K45)</f>
        <v>-682411.33000000007</v>
      </c>
      <c r="L46" s="814">
        <f>SUM(L30:L45)</f>
        <v>-682411.33</v>
      </c>
      <c r="M46" s="839">
        <f>SUM(M30:M45)</f>
        <v>0.99999999999999989</v>
      </c>
    </row>
    <row r="47" spans="1:13">
      <c r="A47" s="851">
        <f t="shared" si="1"/>
        <v>40</v>
      </c>
      <c r="K47" s="843"/>
      <c r="L47" s="843"/>
      <c r="M47" s="839"/>
    </row>
    <row r="48" spans="1:13">
      <c r="A48" s="851">
        <f t="shared" si="1"/>
        <v>41</v>
      </c>
      <c r="B48" s="1154">
        <v>2012</v>
      </c>
      <c r="C48" s="1154"/>
      <c r="D48" s="1154"/>
      <c r="E48" s="1154"/>
      <c r="F48" s="1154"/>
      <c r="G48" s="1154"/>
      <c r="H48" s="1154"/>
      <c r="I48" s="1154"/>
      <c r="J48" s="1154"/>
      <c r="K48" s="1154"/>
    </row>
    <row r="49" spans="1:13">
      <c r="A49" s="851">
        <f t="shared" si="1"/>
        <v>42</v>
      </c>
      <c r="B49" s="849" t="s">
        <v>668</v>
      </c>
      <c r="C49" s="826" t="s">
        <v>377</v>
      </c>
      <c r="D49" s="827" t="s">
        <v>378</v>
      </c>
      <c r="E49" s="827" t="s">
        <v>446</v>
      </c>
      <c r="F49" s="827" t="s">
        <v>379</v>
      </c>
      <c r="G49" s="827" t="s">
        <v>669</v>
      </c>
      <c r="H49" s="828" t="s">
        <v>448</v>
      </c>
      <c r="I49" s="829" t="s">
        <v>670</v>
      </c>
      <c r="J49" s="829" t="s">
        <v>671</v>
      </c>
      <c r="K49" s="830" t="s">
        <v>674</v>
      </c>
      <c r="L49" s="831"/>
    </row>
    <row r="50" spans="1:13">
      <c r="A50" s="851">
        <f t="shared" si="1"/>
        <v>43</v>
      </c>
      <c r="B50" s="848">
        <v>100</v>
      </c>
      <c r="C50" s="820">
        <v>10</v>
      </c>
      <c r="D50" s="821">
        <v>1020</v>
      </c>
      <c r="E50" s="821">
        <v>4110</v>
      </c>
      <c r="F50" s="821">
        <v>4540</v>
      </c>
      <c r="G50" s="821">
        <v>0</v>
      </c>
      <c r="H50" s="822">
        <v>0</v>
      </c>
      <c r="I50" s="823">
        <v>40000</v>
      </c>
      <c r="J50" s="823">
        <v>45400</v>
      </c>
      <c r="K50" s="832">
        <v>-2450</v>
      </c>
      <c r="L50" s="833"/>
    </row>
    <row r="51" spans="1:13">
      <c r="A51" s="851">
        <f t="shared" si="1"/>
        <v>44</v>
      </c>
      <c r="B51" s="848">
        <v>100</v>
      </c>
      <c r="C51" s="820">
        <v>10</v>
      </c>
      <c r="D51" s="821">
        <v>1100</v>
      </c>
      <c r="E51" s="821">
        <v>4110</v>
      </c>
      <c r="F51" s="821">
        <v>4540</v>
      </c>
      <c r="G51" s="821">
        <v>0</v>
      </c>
      <c r="H51" s="822">
        <v>0</v>
      </c>
      <c r="I51" s="823">
        <v>40000</v>
      </c>
      <c r="J51" s="823">
        <v>45400</v>
      </c>
      <c r="K51" s="832">
        <v>-21273.62</v>
      </c>
      <c r="L51" s="832"/>
    </row>
    <row r="52" spans="1:13">
      <c r="A52" s="851">
        <f t="shared" si="1"/>
        <v>45</v>
      </c>
      <c r="B52" s="848">
        <v>100</v>
      </c>
      <c r="C52" s="820">
        <v>10</v>
      </c>
      <c r="D52" s="821">
        <v>1190</v>
      </c>
      <c r="E52" s="821">
        <v>4110</v>
      </c>
      <c r="F52" s="821">
        <v>4540</v>
      </c>
      <c r="G52" s="821">
        <v>0</v>
      </c>
      <c r="H52" s="822">
        <v>0</v>
      </c>
      <c r="I52" s="823">
        <v>40000</v>
      </c>
      <c r="J52" s="823">
        <v>45400</v>
      </c>
      <c r="K52" s="832">
        <v>9807.1299999999992</v>
      </c>
      <c r="L52" s="832"/>
    </row>
    <row r="53" spans="1:13">
      <c r="A53" s="851">
        <f t="shared" si="1"/>
        <v>46</v>
      </c>
      <c r="B53" s="848">
        <v>100</v>
      </c>
      <c r="C53" s="820">
        <v>10</v>
      </c>
      <c r="D53" s="821">
        <v>1200</v>
      </c>
      <c r="E53" s="821">
        <v>4110</v>
      </c>
      <c r="F53" s="821">
        <v>4540</v>
      </c>
      <c r="G53" s="821">
        <v>0</v>
      </c>
      <c r="H53" s="822">
        <v>0</v>
      </c>
      <c r="I53" s="823">
        <v>40000</v>
      </c>
      <c r="J53" s="823">
        <v>45400</v>
      </c>
      <c r="K53" s="832">
        <v>-5242.0200000000004</v>
      </c>
      <c r="L53" s="832"/>
    </row>
    <row r="54" spans="1:13">
      <c r="A54" s="851">
        <f t="shared" si="1"/>
        <v>47</v>
      </c>
      <c r="B54" s="848">
        <v>100</v>
      </c>
      <c r="C54" s="820">
        <v>10</v>
      </c>
      <c r="D54" s="821">
        <v>1200</v>
      </c>
      <c r="E54" s="821">
        <v>4110</v>
      </c>
      <c r="F54" s="821">
        <v>4540</v>
      </c>
      <c r="G54" s="821">
        <v>0</v>
      </c>
      <c r="H54" s="822">
        <v>101200</v>
      </c>
      <c r="I54" s="823">
        <v>40000</v>
      </c>
      <c r="J54" s="823">
        <v>45400</v>
      </c>
      <c r="K54" s="832">
        <v>-35528.050000000003</v>
      </c>
      <c r="L54" s="832"/>
    </row>
    <row r="55" spans="1:13">
      <c r="A55" s="851">
        <f t="shared" si="1"/>
        <v>48</v>
      </c>
      <c r="B55" s="848">
        <v>100</v>
      </c>
      <c r="C55" s="820">
        <v>10</v>
      </c>
      <c r="D55" s="821">
        <v>1290</v>
      </c>
      <c r="E55" s="821">
        <v>4110</v>
      </c>
      <c r="F55" s="821">
        <v>4540</v>
      </c>
      <c r="G55" s="821">
        <v>0</v>
      </c>
      <c r="H55" s="822">
        <v>0</v>
      </c>
      <c r="I55" s="823">
        <v>40000</v>
      </c>
      <c r="J55" s="823">
        <v>45400</v>
      </c>
      <c r="K55" s="832">
        <v>26500.560000000001</v>
      </c>
      <c r="L55" s="832"/>
    </row>
    <row r="56" spans="1:13">
      <c r="A56" s="851">
        <f t="shared" si="1"/>
        <v>49</v>
      </c>
      <c r="B56" s="848">
        <v>100</v>
      </c>
      <c r="C56" s="820">
        <v>10</v>
      </c>
      <c r="D56" s="821">
        <v>1440</v>
      </c>
      <c r="E56" s="821">
        <v>4110</v>
      </c>
      <c r="F56" s="821">
        <v>4540</v>
      </c>
      <c r="G56" s="821">
        <v>0</v>
      </c>
      <c r="H56" s="822">
        <v>0</v>
      </c>
      <c r="I56" s="823">
        <v>40000</v>
      </c>
      <c r="J56" s="823">
        <v>45400</v>
      </c>
      <c r="K56" s="832">
        <v>-500</v>
      </c>
      <c r="L56" s="832">
        <f>SUM(K50:K56)</f>
        <v>-28686.000000000004</v>
      </c>
      <c r="M56" s="835">
        <f>L56/$L$67</f>
        <v>5.0218066781941004E-2</v>
      </c>
    </row>
    <row r="57" spans="1:13">
      <c r="A57" s="851">
        <f t="shared" si="1"/>
        <v>50</v>
      </c>
      <c r="B57" s="848">
        <v>100</v>
      </c>
      <c r="C57" s="820">
        <v>20</v>
      </c>
      <c r="D57" s="821">
        <v>0</v>
      </c>
      <c r="E57" s="821">
        <v>4110</v>
      </c>
      <c r="F57" s="821">
        <v>4540</v>
      </c>
      <c r="G57" s="821">
        <v>0</v>
      </c>
      <c r="H57" s="822">
        <v>0</v>
      </c>
      <c r="I57" s="823">
        <v>40000</v>
      </c>
      <c r="J57" s="823">
        <v>45400</v>
      </c>
      <c r="K57" s="832">
        <v>-61344</v>
      </c>
      <c r="L57" s="832">
        <f>SUM(K57)</f>
        <v>-61344</v>
      </c>
      <c r="M57" s="835">
        <f>L57/$L$67</f>
        <v>0.1073895659440629</v>
      </c>
    </row>
    <row r="58" spans="1:13">
      <c r="A58" s="851">
        <f t="shared" si="1"/>
        <v>51</v>
      </c>
      <c r="B58" s="848">
        <v>100</v>
      </c>
      <c r="C58" s="820">
        <v>30</v>
      </c>
      <c r="D58" s="821">
        <v>0</v>
      </c>
      <c r="E58" s="821">
        <v>4110</v>
      </c>
      <c r="F58" s="821">
        <v>4540</v>
      </c>
      <c r="G58" s="821">
        <v>0</v>
      </c>
      <c r="H58" s="822">
        <v>0</v>
      </c>
      <c r="I58" s="823">
        <v>40000</v>
      </c>
      <c r="J58" s="823">
        <v>45400</v>
      </c>
      <c r="K58" s="832">
        <v>-46711.199999999997</v>
      </c>
      <c r="L58" s="832"/>
    </row>
    <row r="59" spans="1:13">
      <c r="A59" s="851">
        <f t="shared" si="1"/>
        <v>52</v>
      </c>
      <c r="B59" s="848">
        <v>100</v>
      </c>
      <c r="C59" s="820">
        <v>30</v>
      </c>
      <c r="D59" s="821">
        <v>10</v>
      </c>
      <c r="E59" s="821">
        <v>4110</v>
      </c>
      <c r="F59" s="821">
        <v>4540</v>
      </c>
      <c r="G59" s="821">
        <v>0</v>
      </c>
      <c r="H59" s="822">
        <v>0</v>
      </c>
      <c r="I59" s="823">
        <v>40000</v>
      </c>
      <c r="J59" s="823">
        <v>45400</v>
      </c>
      <c r="K59" s="832">
        <v>-2400</v>
      </c>
      <c r="L59" s="832"/>
    </row>
    <row r="60" spans="1:13">
      <c r="A60" s="851">
        <f t="shared" si="1"/>
        <v>53</v>
      </c>
      <c r="B60" s="848">
        <v>100</v>
      </c>
      <c r="C60" s="820">
        <v>30</v>
      </c>
      <c r="D60" s="821">
        <v>20</v>
      </c>
      <c r="E60" s="821">
        <v>4110</v>
      </c>
      <c r="F60" s="821">
        <v>4540</v>
      </c>
      <c r="G60" s="821">
        <v>0</v>
      </c>
      <c r="H60" s="822">
        <v>0</v>
      </c>
      <c r="I60" s="823">
        <v>40000</v>
      </c>
      <c r="J60" s="823">
        <v>45400</v>
      </c>
      <c r="K60" s="832">
        <v>-8794.56</v>
      </c>
      <c r="L60" s="832"/>
    </row>
    <row r="61" spans="1:13">
      <c r="A61" s="851">
        <f t="shared" si="1"/>
        <v>54</v>
      </c>
      <c r="B61" s="848">
        <v>100</v>
      </c>
      <c r="C61" s="820">
        <v>30</v>
      </c>
      <c r="D61" s="821">
        <v>60</v>
      </c>
      <c r="E61" s="821">
        <v>4110</v>
      </c>
      <c r="F61" s="821">
        <v>4540</v>
      </c>
      <c r="G61" s="821">
        <v>0</v>
      </c>
      <c r="H61" s="822">
        <v>0</v>
      </c>
      <c r="I61" s="823">
        <v>40000</v>
      </c>
      <c r="J61" s="823">
        <v>45400</v>
      </c>
      <c r="K61" s="832">
        <v>-4808.16</v>
      </c>
      <c r="L61" s="832"/>
    </row>
    <row r="62" spans="1:13">
      <c r="A62" s="851">
        <f t="shared" si="1"/>
        <v>55</v>
      </c>
      <c r="B62" s="848">
        <v>100</v>
      </c>
      <c r="C62" s="820">
        <v>30</v>
      </c>
      <c r="D62" s="821">
        <v>80</v>
      </c>
      <c r="E62" s="821">
        <v>4110</v>
      </c>
      <c r="F62" s="821">
        <v>4540</v>
      </c>
      <c r="G62" s="821">
        <v>0</v>
      </c>
      <c r="H62" s="822">
        <v>0</v>
      </c>
      <c r="I62" s="823">
        <v>40000</v>
      </c>
      <c r="J62" s="823">
        <v>45400</v>
      </c>
      <c r="K62" s="832">
        <v>-360</v>
      </c>
      <c r="L62" s="832"/>
    </row>
    <row r="63" spans="1:13">
      <c r="A63" s="851">
        <f t="shared" si="1"/>
        <v>56</v>
      </c>
      <c r="B63" s="848">
        <v>100</v>
      </c>
      <c r="C63" s="820">
        <v>30</v>
      </c>
      <c r="D63" s="821">
        <v>140</v>
      </c>
      <c r="E63" s="821">
        <v>4110</v>
      </c>
      <c r="F63" s="821">
        <v>4540</v>
      </c>
      <c r="G63" s="821">
        <v>0</v>
      </c>
      <c r="H63" s="822">
        <v>0</v>
      </c>
      <c r="I63" s="823">
        <v>40000</v>
      </c>
      <c r="J63" s="823">
        <v>45400</v>
      </c>
      <c r="K63" s="832">
        <v>-122.4</v>
      </c>
      <c r="L63" s="832"/>
    </row>
    <row r="64" spans="1:13">
      <c r="A64" s="851">
        <f t="shared" si="1"/>
        <v>57</v>
      </c>
      <c r="B64" s="848">
        <v>100</v>
      </c>
      <c r="C64" s="820">
        <v>30</v>
      </c>
      <c r="D64" s="821">
        <v>340</v>
      </c>
      <c r="E64" s="821">
        <v>4110</v>
      </c>
      <c r="F64" s="821">
        <v>4540</v>
      </c>
      <c r="G64" s="821">
        <v>0</v>
      </c>
      <c r="H64" s="822">
        <v>0</v>
      </c>
      <c r="I64" s="823">
        <v>40000</v>
      </c>
      <c r="J64" s="823">
        <v>45400</v>
      </c>
      <c r="K64" s="832">
        <v>-114780.3</v>
      </c>
      <c r="L64" s="832"/>
    </row>
    <row r="65" spans="1:13">
      <c r="A65" s="851">
        <f t="shared" si="1"/>
        <v>58</v>
      </c>
      <c r="B65" s="848">
        <v>100</v>
      </c>
      <c r="C65" s="820">
        <v>30</v>
      </c>
      <c r="D65" s="821">
        <v>870</v>
      </c>
      <c r="E65" s="821">
        <v>4110</v>
      </c>
      <c r="F65" s="821">
        <v>4540</v>
      </c>
      <c r="G65" s="821">
        <v>0</v>
      </c>
      <c r="H65" s="822">
        <v>0</v>
      </c>
      <c r="I65" s="823">
        <v>40000</v>
      </c>
      <c r="J65" s="823">
        <v>45400</v>
      </c>
      <c r="K65" s="832">
        <v>-300722.06</v>
      </c>
      <c r="L65" s="832"/>
    </row>
    <row r="66" spans="1:13">
      <c r="A66" s="851">
        <f t="shared" si="1"/>
        <v>59</v>
      </c>
      <c r="B66" s="848">
        <v>100</v>
      </c>
      <c r="C66" s="820">
        <v>30</v>
      </c>
      <c r="D66" s="821">
        <v>870</v>
      </c>
      <c r="E66" s="821">
        <v>4110</v>
      </c>
      <c r="F66" s="821">
        <v>4540</v>
      </c>
      <c r="G66" s="821">
        <v>0</v>
      </c>
      <c r="H66" s="822">
        <v>100870</v>
      </c>
      <c r="I66" s="823">
        <v>40000</v>
      </c>
      <c r="J66" s="823">
        <v>45400</v>
      </c>
      <c r="K66" s="834">
        <v>-2500</v>
      </c>
      <c r="L66" s="832">
        <f>SUM(K58:K66)</f>
        <v>-481198.68</v>
      </c>
      <c r="M66" s="835">
        <f>L66/$L$67</f>
        <v>0.84239236727399625</v>
      </c>
    </row>
    <row r="67" spans="1:13">
      <c r="A67" s="851">
        <f t="shared" si="1"/>
        <v>60</v>
      </c>
      <c r="K67" s="840">
        <f>SUM(K50:K66)</f>
        <v>-571228.67999999993</v>
      </c>
      <c r="L67" s="840">
        <f>SUM(L50:L66)</f>
        <v>-571228.67999999993</v>
      </c>
      <c r="M67" s="841">
        <f>SUM(M50:M66)</f>
        <v>1.0000000000000002</v>
      </c>
    </row>
    <row r="68" spans="1:13">
      <c r="A68" s="851"/>
      <c r="K68" s="922"/>
      <c r="L68" s="922"/>
      <c r="M68" s="923"/>
    </row>
    <row r="69" spans="1:13">
      <c r="A69" s="851">
        <f>A67+1</f>
        <v>61</v>
      </c>
      <c r="B69" s="1154">
        <v>2013</v>
      </c>
      <c r="C69" s="1154"/>
      <c r="D69" s="1154"/>
      <c r="E69" s="1154"/>
      <c r="F69" s="1154"/>
      <c r="G69" s="1154"/>
      <c r="H69" s="1154"/>
      <c r="I69" s="1154"/>
      <c r="J69" s="1154"/>
      <c r="K69" s="1154"/>
    </row>
    <row r="70" spans="1:13">
      <c r="A70" s="851">
        <f t="shared" si="1"/>
        <v>62</v>
      </c>
      <c r="B70" s="862" t="s">
        <v>668</v>
      </c>
      <c r="C70" s="862" t="s">
        <v>377</v>
      </c>
      <c r="D70" s="863" t="s">
        <v>378</v>
      </c>
      <c r="E70" s="863" t="s">
        <v>446</v>
      </c>
      <c r="F70" s="863" t="s">
        <v>379</v>
      </c>
      <c r="G70" s="863" t="s">
        <v>669</v>
      </c>
      <c r="H70" s="864" t="s">
        <v>448</v>
      </c>
      <c r="I70" s="865" t="s">
        <v>670</v>
      </c>
      <c r="J70" s="865" t="s">
        <v>671</v>
      </c>
      <c r="K70" s="866" t="s">
        <v>695</v>
      </c>
    </row>
    <row r="71" spans="1:13">
      <c r="A71" s="851">
        <f t="shared" si="1"/>
        <v>63</v>
      </c>
      <c r="B71" s="867">
        <v>100</v>
      </c>
      <c r="C71" s="867">
        <v>10</v>
      </c>
      <c r="D71" s="868">
        <v>0</v>
      </c>
      <c r="E71" s="868">
        <v>4110</v>
      </c>
      <c r="F71" s="868">
        <v>4540</v>
      </c>
      <c r="G71" s="868">
        <v>0</v>
      </c>
      <c r="H71" s="869">
        <v>0</v>
      </c>
      <c r="I71" s="870">
        <v>40000</v>
      </c>
      <c r="J71" s="870">
        <v>45400</v>
      </c>
      <c r="K71" s="871">
        <v>-1500</v>
      </c>
    </row>
    <row r="72" spans="1:13">
      <c r="A72" s="851">
        <f t="shared" si="1"/>
        <v>64</v>
      </c>
      <c r="B72" s="867">
        <v>100</v>
      </c>
      <c r="C72" s="867">
        <v>10</v>
      </c>
      <c r="D72" s="868">
        <v>1020</v>
      </c>
      <c r="E72" s="868">
        <v>4110</v>
      </c>
      <c r="F72" s="868">
        <v>4540</v>
      </c>
      <c r="G72" s="868">
        <v>0</v>
      </c>
      <c r="H72" s="869">
        <v>0</v>
      </c>
      <c r="I72" s="870">
        <v>40000</v>
      </c>
      <c r="J72" s="870">
        <v>45400</v>
      </c>
      <c r="K72" s="871">
        <v>-2800</v>
      </c>
    </row>
    <row r="73" spans="1:13">
      <c r="A73" s="851">
        <f t="shared" si="1"/>
        <v>65</v>
      </c>
      <c r="B73" s="867">
        <v>100</v>
      </c>
      <c r="C73" s="867">
        <v>10</v>
      </c>
      <c r="D73" s="868">
        <v>1100</v>
      </c>
      <c r="E73" s="868">
        <v>4110</v>
      </c>
      <c r="F73" s="868">
        <v>4540</v>
      </c>
      <c r="G73" s="868">
        <v>0</v>
      </c>
      <c r="H73" s="869">
        <v>0</v>
      </c>
      <c r="I73" s="870">
        <v>40000</v>
      </c>
      <c r="J73" s="870">
        <v>45400</v>
      </c>
      <c r="K73" s="871">
        <v>-19432.5</v>
      </c>
    </row>
    <row r="74" spans="1:13">
      <c r="A74" s="851">
        <f t="shared" si="1"/>
        <v>66</v>
      </c>
      <c r="B74" s="867">
        <v>100</v>
      </c>
      <c r="C74" s="867">
        <v>10</v>
      </c>
      <c r="D74" s="868">
        <v>1190</v>
      </c>
      <c r="E74" s="868">
        <v>4110</v>
      </c>
      <c r="F74" s="868">
        <v>4540</v>
      </c>
      <c r="G74" s="868">
        <v>0</v>
      </c>
      <c r="H74" s="869">
        <v>0</v>
      </c>
      <c r="I74" s="870">
        <v>40000</v>
      </c>
      <c r="J74" s="870">
        <v>45400</v>
      </c>
      <c r="K74" s="871">
        <v>8958.3700000000008</v>
      </c>
    </row>
    <row r="75" spans="1:13">
      <c r="A75" s="851">
        <f t="shared" si="1"/>
        <v>67</v>
      </c>
      <c r="B75" s="867">
        <v>100</v>
      </c>
      <c r="C75" s="867">
        <v>10</v>
      </c>
      <c r="D75" s="868">
        <v>1200</v>
      </c>
      <c r="E75" s="868">
        <v>4110</v>
      </c>
      <c r="F75" s="868">
        <v>4540</v>
      </c>
      <c r="G75" s="868">
        <v>0</v>
      </c>
      <c r="H75" s="869">
        <v>0</v>
      </c>
      <c r="I75" s="870">
        <v>40000</v>
      </c>
      <c r="J75" s="870">
        <v>45400</v>
      </c>
      <c r="K75" s="871">
        <v>-1960.3</v>
      </c>
    </row>
    <row r="76" spans="1:13">
      <c r="A76" s="851">
        <f t="shared" si="1"/>
        <v>68</v>
      </c>
      <c r="B76" s="867">
        <v>100</v>
      </c>
      <c r="C76" s="867">
        <v>10</v>
      </c>
      <c r="D76" s="868">
        <v>1200</v>
      </c>
      <c r="E76" s="868">
        <v>4110</v>
      </c>
      <c r="F76" s="868">
        <v>4540</v>
      </c>
      <c r="G76" s="868">
        <v>0</v>
      </c>
      <c r="H76" s="869">
        <v>101200</v>
      </c>
      <c r="I76" s="870">
        <v>40000</v>
      </c>
      <c r="J76" s="870">
        <v>45400</v>
      </c>
      <c r="K76" s="871">
        <v>-21162.07</v>
      </c>
    </row>
    <row r="77" spans="1:13">
      <c r="A77" s="851">
        <f t="shared" si="1"/>
        <v>69</v>
      </c>
      <c r="B77" s="867">
        <v>100</v>
      </c>
      <c r="C77" s="867">
        <v>10</v>
      </c>
      <c r="D77" s="868">
        <v>1290</v>
      </c>
      <c r="E77" s="868">
        <v>4110</v>
      </c>
      <c r="F77" s="868">
        <v>4540</v>
      </c>
      <c r="G77" s="868">
        <v>0</v>
      </c>
      <c r="H77" s="869">
        <v>0</v>
      </c>
      <c r="I77" s="870">
        <v>40000</v>
      </c>
      <c r="J77" s="870">
        <v>45400</v>
      </c>
      <c r="K77" s="871">
        <v>15029.56</v>
      </c>
    </row>
    <row r="78" spans="1:13">
      <c r="A78" s="851">
        <f t="shared" si="1"/>
        <v>70</v>
      </c>
      <c r="B78" s="867">
        <v>100</v>
      </c>
      <c r="C78" s="867">
        <v>10</v>
      </c>
      <c r="D78" s="868">
        <v>1400</v>
      </c>
      <c r="E78" s="868">
        <v>4110</v>
      </c>
      <c r="F78" s="868">
        <v>4540</v>
      </c>
      <c r="G78" s="868">
        <v>0</v>
      </c>
      <c r="H78" s="869">
        <v>0</v>
      </c>
      <c r="I78" s="870">
        <v>40000</v>
      </c>
      <c r="J78" s="870">
        <v>45400</v>
      </c>
      <c r="K78" s="871">
        <v>-1000</v>
      </c>
      <c r="L78" s="872">
        <f>SUM(K71:K78)</f>
        <v>-23866.940000000002</v>
      </c>
      <c r="M78" s="835">
        <f>L78/$L$88</f>
        <v>5.0486295919862756E-2</v>
      </c>
    </row>
    <row r="79" spans="1:13">
      <c r="A79" s="851">
        <f t="shared" si="1"/>
        <v>71</v>
      </c>
      <c r="B79" s="867">
        <v>100</v>
      </c>
      <c r="C79" s="867">
        <v>20</v>
      </c>
      <c r="D79" s="868">
        <v>0</v>
      </c>
      <c r="E79" s="868">
        <v>4110</v>
      </c>
      <c r="F79" s="868">
        <v>4540</v>
      </c>
      <c r="G79" s="868">
        <v>0</v>
      </c>
      <c r="H79" s="869">
        <v>0</v>
      </c>
      <c r="I79" s="870">
        <v>40000</v>
      </c>
      <c r="J79" s="870">
        <v>45400</v>
      </c>
      <c r="K79" s="871">
        <v>-62652</v>
      </c>
      <c r="L79" s="872">
        <f>K79</f>
        <v>-62652</v>
      </c>
      <c r="M79" s="835">
        <f>L79/$L$88</f>
        <v>0.13252923969185998</v>
      </c>
    </row>
    <row r="80" spans="1:13">
      <c r="A80" s="851">
        <f t="shared" si="1"/>
        <v>72</v>
      </c>
      <c r="B80" s="867">
        <v>100</v>
      </c>
      <c r="C80" s="867">
        <v>30</v>
      </c>
      <c r="D80" s="868">
        <v>0</v>
      </c>
      <c r="E80" s="868">
        <v>4110</v>
      </c>
      <c r="F80" s="868">
        <v>4540</v>
      </c>
      <c r="G80" s="868">
        <v>0</v>
      </c>
      <c r="H80" s="869">
        <v>0</v>
      </c>
      <c r="I80" s="870">
        <v>40000</v>
      </c>
      <c r="J80" s="870">
        <v>45400</v>
      </c>
      <c r="K80" s="871">
        <v>-46711.199999999997</v>
      </c>
    </row>
    <row r="81" spans="1:14">
      <c r="A81" s="851">
        <f t="shared" si="1"/>
        <v>73</v>
      </c>
      <c r="B81" s="867">
        <v>100</v>
      </c>
      <c r="C81" s="867">
        <v>30</v>
      </c>
      <c r="D81" s="868">
        <v>10</v>
      </c>
      <c r="E81" s="868">
        <v>4110</v>
      </c>
      <c r="F81" s="868">
        <v>4540</v>
      </c>
      <c r="G81" s="868">
        <v>0</v>
      </c>
      <c r="H81" s="869">
        <v>0</v>
      </c>
      <c r="I81" s="870">
        <v>40000</v>
      </c>
      <c r="J81" s="870">
        <v>45400</v>
      </c>
      <c r="K81" s="871">
        <v>-2400</v>
      </c>
    </row>
    <row r="82" spans="1:14">
      <c r="A82" s="851">
        <f t="shared" si="1"/>
        <v>74</v>
      </c>
      <c r="B82" s="867">
        <v>100</v>
      </c>
      <c r="C82" s="867">
        <v>30</v>
      </c>
      <c r="D82" s="868">
        <v>20</v>
      </c>
      <c r="E82" s="868">
        <v>4110</v>
      </c>
      <c r="F82" s="868">
        <v>4540</v>
      </c>
      <c r="G82" s="868">
        <v>0</v>
      </c>
      <c r="H82" s="869">
        <v>0</v>
      </c>
      <c r="I82" s="870">
        <v>40000</v>
      </c>
      <c r="J82" s="870">
        <v>45400</v>
      </c>
      <c r="K82" s="871">
        <v>-7594.56</v>
      </c>
    </row>
    <row r="83" spans="1:14">
      <c r="A83" s="851">
        <f t="shared" si="1"/>
        <v>75</v>
      </c>
      <c r="B83" s="867">
        <v>100</v>
      </c>
      <c r="C83" s="867">
        <v>30</v>
      </c>
      <c r="D83" s="868">
        <v>60</v>
      </c>
      <c r="E83" s="868">
        <v>4110</v>
      </c>
      <c r="F83" s="868">
        <v>4540</v>
      </c>
      <c r="G83" s="868">
        <v>0</v>
      </c>
      <c r="H83" s="869">
        <v>0</v>
      </c>
      <c r="I83" s="870">
        <v>40000</v>
      </c>
      <c r="J83" s="870">
        <v>45400</v>
      </c>
      <c r="K83" s="871">
        <v>-4808.16</v>
      </c>
    </row>
    <row r="84" spans="1:14">
      <c r="A84" s="851">
        <f t="shared" si="1"/>
        <v>76</v>
      </c>
      <c r="B84" s="867">
        <v>100</v>
      </c>
      <c r="C84" s="867">
        <v>30</v>
      </c>
      <c r="D84" s="868">
        <v>80</v>
      </c>
      <c r="E84" s="868">
        <v>4110</v>
      </c>
      <c r="F84" s="868">
        <v>4540</v>
      </c>
      <c r="G84" s="868">
        <v>0</v>
      </c>
      <c r="H84" s="869">
        <v>0</v>
      </c>
      <c r="I84" s="870">
        <v>40000</v>
      </c>
      <c r="J84" s="870">
        <v>45400</v>
      </c>
      <c r="K84" s="871">
        <v>-360</v>
      </c>
    </row>
    <row r="85" spans="1:14">
      <c r="A85" s="851">
        <f t="shared" si="1"/>
        <v>77</v>
      </c>
      <c r="B85" s="867">
        <v>100</v>
      </c>
      <c r="C85" s="867">
        <v>30</v>
      </c>
      <c r="D85" s="868">
        <v>140</v>
      </c>
      <c r="E85" s="868">
        <v>4110</v>
      </c>
      <c r="F85" s="868">
        <v>4540</v>
      </c>
      <c r="G85" s="868">
        <v>0</v>
      </c>
      <c r="H85" s="869">
        <v>0</v>
      </c>
      <c r="I85" s="870">
        <v>40000</v>
      </c>
      <c r="J85" s="870">
        <v>45400</v>
      </c>
      <c r="K85" s="871">
        <v>-122.4</v>
      </c>
    </row>
    <row r="86" spans="1:14">
      <c r="A86" s="851">
        <f t="shared" si="1"/>
        <v>78</v>
      </c>
      <c r="B86" s="867">
        <v>100</v>
      </c>
      <c r="C86" s="867">
        <v>30</v>
      </c>
      <c r="D86" s="868">
        <v>340</v>
      </c>
      <c r="E86" s="868">
        <v>4110</v>
      </c>
      <c r="F86" s="868">
        <v>4540</v>
      </c>
      <c r="G86" s="868">
        <v>0</v>
      </c>
      <c r="H86" s="869">
        <v>0</v>
      </c>
      <c r="I86" s="870">
        <v>40000</v>
      </c>
      <c r="J86" s="870">
        <v>45400</v>
      </c>
      <c r="K86" s="871">
        <v>-110659.22</v>
      </c>
    </row>
    <row r="87" spans="1:14">
      <c r="A87" s="851">
        <f t="shared" si="1"/>
        <v>79</v>
      </c>
      <c r="B87" s="867">
        <v>100</v>
      </c>
      <c r="C87" s="867">
        <v>30</v>
      </c>
      <c r="D87" s="868">
        <v>870</v>
      </c>
      <c r="E87" s="868">
        <v>4110</v>
      </c>
      <c r="F87" s="868">
        <v>4540</v>
      </c>
      <c r="G87" s="868">
        <v>0</v>
      </c>
      <c r="H87" s="869">
        <v>0</v>
      </c>
      <c r="I87" s="870">
        <v>40000</v>
      </c>
      <c r="J87" s="870">
        <v>45400</v>
      </c>
      <c r="K87" s="873">
        <v>-213566.48</v>
      </c>
      <c r="L87" s="872">
        <f>SUM(K80:K87)</f>
        <v>-386222.02</v>
      </c>
      <c r="M87" s="835">
        <f>L87/$L$88</f>
        <v>0.81698446438827721</v>
      </c>
    </row>
    <row r="88" spans="1:14">
      <c r="A88" s="851">
        <f t="shared" si="1"/>
        <v>80</v>
      </c>
      <c r="K88" s="874">
        <f>SUM(K71:K87)</f>
        <v>-472740.96</v>
      </c>
      <c r="L88" s="874">
        <f t="shared" ref="L88:M88" si="2">SUM(L71:L87)</f>
        <v>-472740.96</v>
      </c>
      <c r="M88" s="875">
        <f t="shared" si="2"/>
        <v>1</v>
      </c>
    </row>
    <row r="89" spans="1:14">
      <c r="A89" s="851">
        <f t="shared" si="1"/>
        <v>81</v>
      </c>
    </row>
    <row r="90" spans="1:14">
      <c r="A90" s="851">
        <f t="shared" si="1"/>
        <v>82</v>
      </c>
      <c r="J90" s="815" t="s">
        <v>675</v>
      </c>
      <c r="K90" s="872">
        <f>K46+K26+K67+K88</f>
        <v>-2409983.29</v>
      </c>
      <c r="L90" s="872">
        <f>L45+L25+L66+L87</f>
        <v>-1916047.14</v>
      </c>
      <c r="M90" s="835">
        <f>L90/K90</f>
        <v>0.79504581959155407</v>
      </c>
    </row>
    <row r="91" spans="1:14">
      <c r="A91" s="851">
        <f t="shared" si="1"/>
        <v>83</v>
      </c>
      <c r="J91" s="815" t="s">
        <v>676</v>
      </c>
      <c r="K91" s="872">
        <f>K46+K26+K67+K88</f>
        <v>-2409983.29</v>
      </c>
      <c r="L91" s="872">
        <f>L36+L17+L57+L79</f>
        <v>-390774.95999999996</v>
      </c>
      <c r="M91" s="835">
        <f>L91/K91</f>
        <v>0.16214841058088827</v>
      </c>
    </row>
    <row r="92" spans="1:14">
      <c r="A92" s="851">
        <f t="shared" si="1"/>
        <v>84</v>
      </c>
    </row>
    <row r="93" spans="1:14">
      <c r="A93" s="851">
        <f t="shared" si="1"/>
        <v>85</v>
      </c>
      <c r="K93" s="946"/>
      <c r="L93" s="924" t="s">
        <v>728</v>
      </c>
      <c r="M93" s="1011">
        <v>527258.95641868003</v>
      </c>
      <c r="N93" s="876" t="s">
        <v>368</v>
      </c>
    </row>
    <row r="94" spans="1:14">
      <c r="A94" s="851">
        <f t="shared" si="1"/>
        <v>86</v>
      </c>
    </row>
    <row r="95" spans="1:14">
      <c r="A95" s="851">
        <f t="shared" si="1"/>
        <v>87</v>
      </c>
      <c r="J95" s="816"/>
      <c r="K95" s="816"/>
      <c r="L95" s="817" t="s">
        <v>677</v>
      </c>
      <c r="M95" s="842">
        <f>M93*M90</f>
        <v>419195.02914287697</v>
      </c>
    </row>
    <row r="96" spans="1:14">
      <c r="A96" s="851">
        <f t="shared" si="1"/>
        <v>88</v>
      </c>
    </row>
    <row r="97" spans="1:13">
      <c r="A97" s="851">
        <f t="shared" si="1"/>
        <v>89</v>
      </c>
      <c r="I97" s="818"/>
      <c r="J97" s="818"/>
      <c r="K97" s="818"/>
      <c r="L97" s="819" t="s">
        <v>678</v>
      </c>
      <c r="M97" s="808">
        <f>M93*M91</f>
        <v>85494.20174782681</v>
      </c>
    </row>
    <row r="100" spans="1:13">
      <c r="B100" s="877" t="s">
        <v>368</v>
      </c>
      <c r="C100" s="153" t="s">
        <v>696</v>
      </c>
    </row>
  </sheetData>
  <autoFilter ref="B7:K7"/>
  <mergeCells count="7">
    <mergeCell ref="B69:K69"/>
    <mergeCell ref="A2:K2"/>
    <mergeCell ref="A3:K3"/>
    <mergeCell ref="A4:K4"/>
    <mergeCell ref="B48:K48"/>
    <mergeCell ref="B6:K6"/>
    <mergeCell ref="B28:K28"/>
  </mergeCells>
  <pageMargins left="0.7" right="0.7" top="0.75" bottom="0.75" header="0.3" footer="0.3"/>
  <pageSetup scale="47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showGridLines="0" zoomScaleNormal="100" workbookViewId="0">
      <pane xSplit="5" ySplit="8" topLeftCell="F9" activePane="bottomRight" state="frozen"/>
      <selection activeCell="O2" sqref="O2"/>
      <selection pane="topRight" activeCell="O2" sqref="O2"/>
      <selection pane="bottomLeft" activeCell="O2" sqref="O2"/>
      <selection pane="bottomRight" activeCell="O2" sqref="O2"/>
    </sheetView>
  </sheetViews>
  <sheetFormatPr defaultRowHeight="12.75"/>
  <cols>
    <col min="1" max="1" width="8.88671875" style="642"/>
    <col min="2" max="2" width="3.44140625" style="322" bestFit="1" customWidth="1"/>
    <col min="3" max="3" width="6.21875" style="322" bestFit="1" customWidth="1"/>
    <col min="4" max="4" width="6.77734375" style="322" customWidth="1"/>
    <col min="5" max="5" width="36.109375" style="322" customWidth="1"/>
    <col min="6" max="8" width="11.21875" style="947" customWidth="1"/>
    <col min="9" max="18" width="11.21875" style="322" customWidth="1"/>
    <col min="19" max="19" width="13" style="322" customWidth="1"/>
    <col min="20" max="20" width="12.33203125" style="322" bestFit="1" customWidth="1"/>
    <col min="21" max="16384" width="8.88671875" style="322"/>
  </cols>
  <sheetData>
    <row r="1" spans="1:19">
      <c r="B1" s="1156" t="s">
        <v>502</v>
      </c>
      <c r="C1" s="1156"/>
      <c r="D1" s="1156"/>
      <c r="E1" s="1156"/>
      <c r="R1" s="638"/>
      <c r="S1" s="561"/>
    </row>
    <row r="2" spans="1:19">
      <c r="B2" s="1156" t="s">
        <v>503</v>
      </c>
      <c r="C2" s="1156"/>
      <c r="D2" s="1156"/>
      <c r="E2" s="1156"/>
      <c r="J2" s="933"/>
      <c r="K2" s="933"/>
      <c r="L2" s="933"/>
      <c r="M2" s="933"/>
      <c r="N2" s="933"/>
      <c r="O2" s="414"/>
      <c r="S2" s="561"/>
    </row>
    <row r="3" spans="1:19">
      <c r="B3" s="1156" t="str">
        <f>Info!B3&amp;" Budget for MISO Tariff Revenue"</f>
        <v>2015 Budget for MISO Tariff Revenue</v>
      </c>
      <c r="C3" s="1156"/>
      <c r="D3" s="1156"/>
      <c r="E3" s="1156"/>
      <c r="S3" s="561"/>
    </row>
    <row r="4" spans="1:19">
      <c r="B4" s="1156"/>
      <c r="C4" s="1156"/>
      <c r="D4" s="1156"/>
      <c r="E4" s="1156"/>
      <c r="R4" s="638"/>
      <c r="S4" s="561"/>
    </row>
    <row r="7" spans="1:19">
      <c r="B7" s="342" t="s">
        <v>8</v>
      </c>
      <c r="C7" s="323"/>
      <c r="D7" s="324"/>
      <c r="E7" s="325"/>
      <c r="F7" s="350">
        <f>Info!B3</f>
        <v>2015</v>
      </c>
      <c r="G7" s="350">
        <f t="shared" ref="G7:Q7" si="0">$F$7</f>
        <v>2015</v>
      </c>
      <c r="H7" s="350">
        <f t="shared" si="0"/>
        <v>2015</v>
      </c>
      <c r="I7" s="562">
        <f t="shared" si="0"/>
        <v>2015</v>
      </c>
      <c r="J7" s="562">
        <f t="shared" si="0"/>
        <v>2015</v>
      </c>
      <c r="K7" s="562">
        <f t="shared" si="0"/>
        <v>2015</v>
      </c>
      <c r="L7" s="562">
        <f t="shared" si="0"/>
        <v>2015</v>
      </c>
      <c r="M7" s="562">
        <f t="shared" si="0"/>
        <v>2015</v>
      </c>
      <c r="N7" s="562">
        <f t="shared" si="0"/>
        <v>2015</v>
      </c>
      <c r="O7" s="562">
        <f t="shared" si="0"/>
        <v>2015</v>
      </c>
      <c r="P7" s="562">
        <f t="shared" si="0"/>
        <v>2015</v>
      </c>
      <c r="Q7" s="562">
        <f t="shared" si="0"/>
        <v>2015</v>
      </c>
      <c r="R7" s="563">
        <f>$F$7</f>
        <v>2015</v>
      </c>
    </row>
    <row r="8" spans="1:19">
      <c r="B8" s="344" t="s">
        <v>10</v>
      </c>
      <c r="C8" s="1157" t="s">
        <v>504</v>
      </c>
      <c r="D8" s="1158"/>
      <c r="E8" s="564" t="s">
        <v>406</v>
      </c>
      <c r="F8" s="349" t="s">
        <v>408</v>
      </c>
      <c r="G8" s="352" t="s">
        <v>409</v>
      </c>
      <c r="H8" s="352" t="s">
        <v>410</v>
      </c>
      <c r="I8" s="352" t="s">
        <v>411</v>
      </c>
      <c r="J8" s="352" t="s">
        <v>20</v>
      </c>
      <c r="K8" s="352" t="s">
        <v>412</v>
      </c>
      <c r="L8" s="352" t="s">
        <v>413</v>
      </c>
      <c r="M8" s="352" t="s">
        <v>414</v>
      </c>
      <c r="N8" s="352" t="s">
        <v>415</v>
      </c>
      <c r="O8" s="352" t="s">
        <v>416</v>
      </c>
      <c r="P8" s="352" t="s">
        <v>417</v>
      </c>
      <c r="Q8" s="352" t="s">
        <v>418</v>
      </c>
      <c r="R8" s="353" t="s">
        <v>16</v>
      </c>
    </row>
    <row r="9" spans="1:19">
      <c r="A9" s="642">
        <v>113124</v>
      </c>
      <c r="B9" s="343">
        <v>1</v>
      </c>
      <c r="C9" s="565" t="s">
        <v>505</v>
      </c>
      <c r="D9" s="330"/>
      <c r="E9" s="566" t="s">
        <v>506</v>
      </c>
      <c r="F9" s="1012">
        <v>15996.56</v>
      </c>
      <c r="G9" s="1012">
        <v>18208.77</v>
      </c>
      <c r="H9" s="1012">
        <v>45196.36</v>
      </c>
      <c r="I9" s="1012">
        <v>5428.06</v>
      </c>
      <c r="J9" s="1012">
        <v>8923.4699999999993</v>
      </c>
      <c r="K9" s="1012">
        <v>11079.08</v>
      </c>
      <c r="L9" s="1012">
        <v>16873.23</v>
      </c>
      <c r="M9" s="1012">
        <v>20069.66</v>
      </c>
      <c r="N9" s="1012">
        <v>24520.67</v>
      </c>
      <c r="O9" s="1012">
        <v>15491.45</v>
      </c>
      <c r="P9" s="1012">
        <v>13175.5</v>
      </c>
      <c r="Q9" s="1012">
        <v>11639.86</v>
      </c>
      <c r="R9" s="347">
        <f t="shared" ref="R9:R15" si="1">SUM(F9:Q9)</f>
        <v>206602.66999999998</v>
      </c>
    </row>
    <row r="10" spans="1:19">
      <c r="A10" s="642">
        <v>113123</v>
      </c>
      <c r="B10" s="343">
        <f t="shared" ref="B10:B17" si="2">+B9+1</f>
        <v>2</v>
      </c>
      <c r="C10" s="565" t="s">
        <v>507</v>
      </c>
      <c r="D10" s="330"/>
      <c r="E10" s="566" t="s">
        <v>508</v>
      </c>
      <c r="F10" s="1012">
        <v>44934.58</v>
      </c>
      <c r="G10" s="1012">
        <v>40146.693500000001</v>
      </c>
      <c r="H10" s="1012">
        <v>40466.9015</v>
      </c>
      <c r="I10" s="1012">
        <v>34593.033000000003</v>
      </c>
      <c r="J10" s="1012">
        <v>31457.2166</v>
      </c>
      <c r="K10" s="1012">
        <v>37398.567999999999</v>
      </c>
      <c r="L10" s="1012">
        <v>48437.554400000001</v>
      </c>
      <c r="M10" s="1012">
        <v>43103.681600000004</v>
      </c>
      <c r="N10" s="1012">
        <v>50156.3914</v>
      </c>
      <c r="O10" s="1012">
        <v>38066.037600000003</v>
      </c>
      <c r="P10" s="1012">
        <v>43297.112399999998</v>
      </c>
      <c r="Q10" s="1012">
        <v>50769.7474</v>
      </c>
      <c r="R10" s="347">
        <f t="shared" si="1"/>
        <v>502827.51740000001</v>
      </c>
    </row>
    <row r="11" spans="1:19">
      <c r="A11" s="642">
        <v>113122</v>
      </c>
      <c r="B11" s="343">
        <f t="shared" si="2"/>
        <v>3</v>
      </c>
      <c r="C11" s="565" t="s">
        <v>509</v>
      </c>
      <c r="D11" s="330"/>
      <c r="E11" s="566" t="s">
        <v>510</v>
      </c>
      <c r="F11" s="1012">
        <v>46242.925999999999</v>
      </c>
      <c r="G11" s="1012">
        <v>41379.220999999998</v>
      </c>
      <c r="H11" s="1012">
        <v>40974.417000000001</v>
      </c>
      <c r="I11" s="1012">
        <v>35785.968000000001</v>
      </c>
      <c r="J11" s="1012">
        <v>39509.010399999999</v>
      </c>
      <c r="K11" s="1012">
        <v>44620.967799999999</v>
      </c>
      <c r="L11" s="1012">
        <v>52604.222000000002</v>
      </c>
      <c r="M11" s="1012">
        <v>48750.332399999999</v>
      </c>
      <c r="N11" s="1012">
        <v>43257.7664</v>
      </c>
      <c r="O11" s="1012">
        <v>34700.379000000001</v>
      </c>
      <c r="P11" s="1012">
        <v>39547.557200000003</v>
      </c>
      <c r="Q11" s="1012">
        <v>45493.926599999999</v>
      </c>
      <c r="R11" s="347">
        <f t="shared" si="1"/>
        <v>512866.69380000007</v>
      </c>
    </row>
    <row r="12" spans="1:19">
      <c r="A12" s="642">
        <v>113121</v>
      </c>
      <c r="B12" s="343">
        <f t="shared" si="2"/>
        <v>4</v>
      </c>
      <c r="C12" s="565" t="s">
        <v>511</v>
      </c>
      <c r="D12" s="330"/>
      <c r="E12" s="566" t="s">
        <v>512</v>
      </c>
      <c r="F12" s="1012">
        <v>62754.710000000006</v>
      </c>
      <c r="G12" s="1012">
        <v>58017.760999999999</v>
      </c>
      <c r="H12" s="1012">
        <v>68366.134999999995</v>
      </c>
      <c r="I12" s="1012">
        <v>64509.616999999998</v>
      </c>
      <c r="J12" s="1012">
        <v>150437.011</v>
      </c>
      <c r="K12" s="1012">
        <v>147677.764</v>
      </c>
      <c r="L12" s="1012">
        <v>142942.26259999999</v>
      </c>
      <c r="M12" s="1012">
        <v>130467.26360000001</v>
      </c>
      <c r="N12" s="1012">
        <v>122823.03</v>
      </c>
      <c r="O12" s="1012">
        <v>124710.03899999999</v>
      </c>
      <c r="P12" s="1012">
        <v>60991.081000000006</v>
      </c>
      <c r="Q12" s="1012">
        <v>94417.4</v>
      </c>
      <c r="R12" s="347">
        <f t="shared" si="1"/>
        <v>1228114.0741999999</v>
      </c>
    </row>
    <row r="13" spans="1:19">
      <c r="A13" s="642">
        <v>113120</v>
      </c>
      <c r="B13" s="343">
        <f t="shared" si="2"/>
        <v>5</v>
      </c>
      <c r="C13" s="565" t="s">
        <v>513</v>
      </c>
      <c r="D13" s="330"/>
      <c r="E13" s="566" t="s">
        <v>514</v>
      </c>
      <c r="F13" s="1012">
        <v>31522.720000000001</v>
      </c>
      <c r="G13" s="1012">
        <v>32920.347999999998</v>
      </c>
      <c r="H13" s="1012">
        <v>61495.593999999997</v>
      </c>
      <c r="I13" s="1012">
        <v>30223.475999999999</v>
      </c>
      <c r="J13" s="1012">
        <v>24945.504400000002</v>
      </c>
      <c r="K13" s="1012">
        <v>8428.6119999999992</v>
      </c>
      <c r="L13" s="1012">
        <v>18667.064600000002</v>
      </c>
      <c r="M13" s="1012">
        <v>17979.099200000001</v>
      </c>
      <c r="N13" s="1012">
        <v>18444.006600000001</v>
      </c>
      <c r="O13" s="1012">
        <v>36190.794199999997</v>
      </c>
      <c r="P13" s="1012">
        <v>41504.171399999999</v>
      </c>
      <c r="Q13" s="1012">
        <v>60528.152999999998</v>
      </c>
      <c r="R13" s="347">
        <f t="shared" si="1"/>
        <v>382849.54339999997</v>
      </c>
    </row>
    <row r="14" spans="1:19" s="642" customFormat="1">
      <c r="A14" s="642">
        <v>262100</v>
      </c>
      <c r="B14" s="343">
        <f t="shared" si="2"/>
        <v>6</v>
      </c>
      <c r="C14" s="565" t="s">
        <v>606</v>
      </c>
      <c r="D14" s="644"/>
      <c r="E14" s="566" t="s">
        <v>605</v>
      </c>
      <c r="F14" s="1012">
        <v>5130.33</v>
      </c>
      <c r="G14" s="1012">
        <v>4809.1279999999997</v>
      </c>
      <c r="H14" s="1012">
        <v>5315.2539999999999</v>
      </c>
      <c r="I14" s="1012">
        <v>5151.7039999999997</v>
      </c>
      <c r="J14" s="1012">
        <v>5677.56</v>
      </c>
      <c r="K14" s="1012">
        <v>5481.9</v>
      </c>
      <c r="L14" s="1012">
        <v>5668.98</v>
      </c>
      <c r="M14" s="1012">
        <v>5682.4</v>
      </c>
      <c r="N14" s="1012">
        <v>5489.71</v>
      </c>
      <c r="O14" s="1012">
        <v>5691.27</v>
      </c>
      <c r="P14" s="1012">
        <v>5501.68</v>
      </c>
      <c r="Q14" s="1012">
        <v>5689.64</v>
      </c>
      <c r="R14" s="347">
        <f t="shared" ref="R14" si="3">SUM(F14:Q14)</f>
        <v>65289.556000000004</v>
      </c>
    </row>
    <row r="15" spans="1:19">
      <c r="A15" s="642">
        <v>17700</v>
      </c>
      <c r="B15" s="343">
        <f t="shared" si="2"/>
        <v>7</v>
      </c>
      <c r="C15" s="565" t="s">
        <v>515</v>
      </c>
      <c r="D15" s="330"/>
      <c r="E15" s="566" t="s">
        <v>516</v>
      </c>
      <c r="F15" s="1012">
        <v>42187.053999999996</v>
      </c>
      <c r="G15" s="1012">
        <v>55062.875</v>
      </c>
      <c r="H15" s="1012">
        <v>42765.830999999998</v>
      </c>
      <c r="I15" s="1012">
        <v>41851.142999999996</v>
      </c>
      <c r="J15" s="1012">
        <v>49255.235399999998</v>
      </c>
      <c r="K15" s="1012">
        <v>40324.462599999999</v>
      </c>
      <c r="L15" s="1012">
        <v>44487.245999999999</v>
      </c>
      <c r="M15" s="1012">
        <v>39809.966399999998</v>
      </c>
      <c r="N15" s="1012">
        <v>42323.8606</v>
      </c>
      <c r="O15" s="1012">
        <v>41812.2088</v>
      </c>
      <c r="P15" s="1012">
        <v>40249.154399999999</v>
      </c>
      <c r="Q15" s="1012">
        <v>48680.675000000003</v>
      </c>
      <c r="R15" s="347">
        <f t="shared" si="1"/>
        <v>528809.71220000007</v>
      </c>
    </row>
    <row r="16" spans="1:19">
      <c r="A16" s="642">
        <v>113119</v>
      </c>
      <c r="B16" s="343">
        <f t="shared" si="2"/>
        <v>8</v>
      </c>
      <c r="C16" s="565" t="s">
        <v>517</v>
      </c>
      <c r="D16" s="330"/>
      <c r="E16" s="566" t="s">
        <v>518</v>
      </c>
      <c r="F16" s="1012">
        <f t="shared" ref="F16:P16" si="4">$R$16/12</f>
        <v>1517360.6666666667</v>
      </c>
      <c r="G16" s="1012">
        <f t="shared" si="4"/>
        <v>1517360.6666666667</v>
      </c>
      <c r="H16" s="1012">
        <f t="shared" si="4"/>
        <v>1517360.6666666667</v>
      </c>
      <c r="I16" s="1012">
        <f t="shared" si="4"/>
        <v>1517360.6666666667</v>
      </c>
      <c r="J16" s="1012">
        <f t="shared" si="4"/>
        <v>1517360.6666666667</v>
      </c>
      <c r="K16" s="1012">
        <f t="shared" si="4"/>
        <v>1517360.6666666667</v>
      </c>
      <c r="L16" s="1012">
        <f t="shared" si="4"/>
        <v>1517360.6666666667</v>
      </c>
      <c r="M16" s="1012">
        <f t="shared" si="4"/>
        <v>1517360.6666666667</v>
      </c>
      <c r="N16" s="1012">
        <f t="shared" si="4"/>
        <v>1517360.6666666667</v>
      </c>
      <c r="O16" s="1012">
        <f t="shared" si="4"/>
        <v>1517360.6666666667</v>
      </c>
      <c r="P16" s="1012">
        <f t="shared" si="4"/>
        <v>1517360.6666666667</v>
      </c>
      <c r="Q16" s="1012">
        <f>$R$16/12</f>
        <v>1517360.6666666667</v>
      </c>
      <c r="R16" s="347">
        <f>'Page 20 - Revenues'!K24</f>
        <v>18208328</v>
      </c>
      <c r="S16" s="365">
        <f>SUM(F16:Q16)-R16</f>
        <v>0</v>
      </c>
    </row>
    <row r="17" spans="1:19">
      <c r="A17" s="642">
        <v>178731</v>
      </c>
      <c r="B17" s="343">
        <f t="shared" si="2"/>
        <v>9</v>
      </c>
      <c r="C17" s="565" t="s">
        <v>533</v>
      </c>
      <c r="D17" s="603"/>
      <c r="E17" s="566" t="s">
        <v>534</v>
      </c>
      <c r="F17" s="1012">
        <f t="shared" ref="F17:P17" si="5">$R$17/12</f>
        <v>550320.66666666663</v>
      </c>
      <c r="G17" s="1012">
        <f t="shared" si="5"/>
        <v>550320.66666666663</v>
      </c>
      <c r="H17" s="1012">
        <f t="shared" si="5"/>
        <v>550320.66666666663</v>
      </c>
      <c r="I17" s="1012">
        <f t="shared" si="5"/>
        <v>550320.66666666663</v>
      </c>
      <c r="J17" s="1012">
        <f t="shared" si="5"/>
        <v>550320.66666666663</v>
      </c>
      <c r="K17" s="1012">
        <f t="shared" si="5"/>
        <v>550320.66666666663</v>
      </c>
      <c r="L17" s="1012">
        <f t="shared" si="5"/>
        <v>550320.66666666663</v>
      </c>
      <c r="M17" s="1012">
        <f t="shared" si="5"/>
        <v>550320.66666666663</v>
      </c>
      <c r="N17" s="1012">
        <f t="shared" si="5"/>
        <v>550320.66666666663</v>
      </c>
      <c r="O17" s="1012">
        <f t="shared" si="5"/>
        <v>550320.66666666663</v>
      </c>
      <c r="P17" s="1012">
        <f t="shared" si="5"/>
        <v>550320.66666666663</v>
      </c>
      <c r="Q17" s="1012">
        <f>$R$17/12</f>
        <v>550320.66666666663</v>
      </c>
      <c r="R17" s="356">
        <f>'Page 20 - Revenues'!K25</f>
        <v>6603848</v>
      </c>
      <c r="S17" s="365">
        <f>SUM(F17:Q17)-R17</f>
        <v>0</v>
      </c>
    </row>
    <row r="18" spans="1:19">
      <c r="B18" s="334"/>
      <c r="C18" s="335"/>
      <c r="D18" s="336"/>
      <c r="E18" s="337"/>
      <c r="F18" s="899"/>
      <c r="G18" s="899"/>
      <c r="H18" s="899"/>
      <c r="I18" s="336"/>
      <c r="J18" s="336"/>
      <c r="K18" s="336"/>
      <c r="L18" s="336"/>
      <c r="M18" s="336"/>
      <c r="N18" s="336"/>
      <c r="O18" s="336"/>
      <c r="P18" s="607"/>
      <c r="Q18" s="605" t="s">
        <v>16</v>
      </c>
      <c r="R18" s="567">
        <f>SUM(R9:R17)</f>
        <v>28239535.767000001</v>
      </c>
    </row>
    <row r="19" spans="1:19">
      <c r="R19" s="373">
        <f>R18-'Page 20 - Revenues'!K18</f>
        <v>0</v>
      </c>
    </row>
    <row r="20" spans="1:19" ht="12.75" customHeight="1">
      <c r="C20" s="663" t="s">
        <v>607</v>
      </c>
      <c r="F20" s="949"/>
      <c r="G20" s="949"/>
      <c r="H20" s="949"/>
      <c r="I20" s="643"/>
      <c r="J20" s="643"/>
      <c r="K20" s="643"/>
      <c r="L20" s="643"/>
      <c r="M20" s="643"/>
    </row>
    <row r="21" spans="1:19">
      <c r="C21" s="1155"/>
      <c r="D21" s="1155"/>
    </row>
    <row r="29" spans="1:19">
      <c r="O29" s="365"/>
      <c r="Q29" s="632"/>
    </row>
    <row r="30" spans="1:19">
      <c r="Q30" s="632"/>
    </row>
    <row r="32" spans="1:19">
      <c r="Q32" s="633"/>
    </row>
    <row r="33" spans="17:17">
      <c r="Q33" s="443"/>
    </row>
  </sheetData>
  <mergeCells count="6">
    <mergeCell ref="C21:D21"/>
    <mergeCell ref="B1:E1"/>
    <mergeCell ref="B2:E2"/>
    <mergeCell ref="B3:E3"/>
    <mergeCell ref="B4:E4"/>
    <mergeCell ref="C8:D8"/>
  </mergeCells>
  <pageMargins left="0.7" right="0.7" top="0.75" bottom="0.75" header="0.3" footer="0.3"/>
  <pageSetup scale="4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6"/>
  <sheetViews>
    <sheetView topLeftCell="B2" zoomScaleNormal="100" workbookViewId="0">
      <selection activeCell="O2" sqref="O2"/>
    </sheetView>
  </sheetViews>
  <sheetFormatPr defaultRowHeight="15" outlineLevelCol="1"/>
  <cols>
    <col min="1" max="1" width="8.88671875" customWidth="1" outlineLevel="1"/>
    <col min="4" max="4" width="12.6640625" customWidth="1"/>
    <col min="6" max="6" width="8.88671875" customWidth="1"/>
    <col min="7" max="7" width="8.88671875" collapsed="1"/>
    <col min="11" max="11" width="12.44140625" customWidth="1"/>
  </cols>
  <sheetData>
    <row r="1" spans="1:23" ht="15.75">
      <c r="A1" s="698"/>
      <c r="B1" s="1164" t="s">
        <v>0</v>
      </c>
      <c r="C1" s="1165"/>
      <c r="D1" s="1165"/>
      <c r="E1" s="1165"/>
      <c r="F1" s="1165"/>
      <c r="G1" s="1165"/>
      <c r="H1" s="1165"/>
      <c r="I1" s="1165"/>
      <c r="J1" s="1165"/>
      <c r="K1" s="1165"/>
      <c r="L1" s="698"/>
      <c r="M1" s="698"/>
      <c r="N1" s="698"/>
      <c r="O1" s="698"/>
      <c r="P1" s="698"/>
      <c r="Q1" s="698"/>
      <c r="R1" s="698"/>
      <c r="S1" s="698"/>
      <c r="T1" s="698"/>
      <c r="U1" s="698"/>
      <c r="V1" s="698"/>
      <c r="W1" s="698"/>
    </row>
    <row r="2" spans="1:23" ht="15.75">
      <c r="A2" s="698"/>
      <c r="B2" s="1164" t="s">
        <v>616</v>
      </c>
      <c r="C2" s="1165"/>
      <c r="D2" s="1165"/>
      <c r="E2" s="1165"/>
      <c r="F2" s="1165"/>
      <c r="G2" s="1165"/>
      <c r="H2" s="1165"/>
      <c r="I2" s="1165"/>
      <c r="J2" s="1165"/>
      <c r="K2" s="1165"/>
      <c r="L2" s="1080"/>
      <c r="M2" s="698"/>
      <c r="N2" s="698"/>
      <c r="O2" s="698"/>
      <c r="P2" s="698"/>
      <c r="Q2" s="698"/>
      <c r="R2" s="698"/>
      <c r="S2" s="698"/>
      <c r="T2" s="698"/>
      <c r="U2" s="698"/>
      <c r="V2" s="698"/>
      <c r="W2" s="698"/>
    </row>
    <row r="3" spans="1:23" ht="15.75">
      <c r="A3" s="698"/>
      <c r="B3" s="1166" t="s">
        <v>697</v>
      </c>
      <c r="C3" s="1167"/>
      <c r="D3" s="1167"/>
      <c r="E3" s="1167"/>
      <c r="F3" s="1167"/>
      <c r="G3" s="1167"/>
      <c r="H3" s="1167"/>
      <c r="I3" s="1167"/>
      <c r="J3" s="1167"/>
      <c r="K3" s="1167"/>
      <c r="L3" s="698"/>
      <c r="M3" s="698"/>
      <c r="N3" s="698"/>
      <c r="O3" s="698"/>
      <c r="P3" s="698"/>
      <c r="Q3" s="698"/>
      <c r="R3" s="698"/>
      <c r="S3" s="698"/>
      <c r="T3" s="698"/>
      <c r="U3" s="698"/>
      <c r="V3" s="698"/>
      <c r="W3" s="698"/>
    </row>
    <row r="4" spans="1:23" ht="15.75">
      <c r="A4" s="698"/>
      <c r="B4" s="698"/>
      <c r="C4" s="702"/>
      <c r="D4" s="703"/>
      <c r="E4" s="704"/>
      <c r="F4" s="705"/>
      <c r="G4" s="705"/>
      <c r="H4" s="706"/>
      <c r="I4" s="704"/>
      <c r="J4" s="704"/>
      <c r="K4" s="638"/>
      <c r="L4" s="698"/>
      <c r="M4" s="698"/>
      <c r="N4" s="698"/>
      <c r="O4" s="698"/>
      <c r="P4" s="698"/>
      <c r="Q4" s="698"/>
      <c r="R4" s="698"/>
      <c r="S4" s="698"/>
      <c r="T4" s="698"/>
      <c r="U4" s="698"/>
      <c r="V4" s="698"/>
      <c r="W4" s="698"/>
    </row>
    <row r="5" spans="1:23" ht="15.75">
      <c r="A5" s="698"/>
      <c r="B5" s="707"/>
      <c r="C5" s="701"/>
      <c r="D5" s="701"/>
      <c r="E5" s="708" t="s">
        <v>1</v>
      </c>
      <c r="F5" s="709"/>
      <c r="G5" s="708" t="s">
        <v>2</v>
      </c>
      <c r="H5" s="708" t="s">
        <v>3</v>
      </c>
      <c r="I5" s="708" t="s">
        <v>4</v>
      </c>
      <c r="J5" s="708" t="s">
        <v>5</v>
      </c>
      <c r="K5" s="708" t="s">
        <v>7</v>
      </c>
      <c r="L5" s="710"/>
      <c r="M5" s="698"/>
      <c r="N5" s="698"/>
      <c r="O5" s="698"/>
      <c r="P5" s="698"/>
      <c r="Q5" s="698"/>
      <c r="R5" s="698"/>
      <c r="S5" s="698"/>
      <c r="T5" s="698"/>
      <c r="U5" s="698"/>
      <c r="V5" s="698"/>
      <c r="W5" s="698"/>
    </row>
    <row r="6" spans="1:23" ht="15.75">
      <c r="A6" s="698"/>
      <c r="B6" s="711"/>
      <c r="C6" s="701"/>
      <c r="D6" s="701"/>
      <c r="E6" s="708"/>
      <c r="F6" s="709"/>
      <c r="G6" s="708"/>
      <c r="H6" s="708"/>
      <c r="I6" s="708"/>
      <c r="J6" s="708"/>
      <c r="K6" s="708"/>
      <c r="L6" s="710"/>
      <c r="M6" s="698"/>
      <c r="N6" s="698"/>
      <c r="O6" s="698"/>
      <c r="P6" s="698"/>
      <c r="Q6" s="698"/>
      <c r="R6" s="698"/>
      <c r="S6" s="698"/>
      <c r="T6" s="698"/>
      <c r="U6" s="698"/>
      <c r="V6" s="698"/>
      <c r="W6" s="698"/>
    </row>
    <row r="7" spans="1:23" ht="15.75">
      <c r="A7" s="698"/>
      <c r="B7" s="712" t="s">
        <v>38</v>
      </c>
      <c r="C7" s="713"/>
      <c r="D7" s="714"/>
      <c r="E7" s="715"/>
      <c r="F7" s="716"/>
      <c r="G7" s="715"/>
      <c r="H7" s="715"/>
      <c r="I7" s="715"/>
      <c r="J7" s="715"/>
      <c r="K7" s="717"/>
      <c r="L7" s="710"/>
      <c r="M7" s="698"/>
      <c r="N7" s="698"/>
      <c r="O7" s="698"/>
      <c r="P7" s="698"/>
      <c r="Q7" s="698"/>
      <c r="R7" s="698"/>
      <c r="S7" s="698"/>
      <c r="T7" s="698"/>
      <c r="U7" s="698"/>
      <c r="V7" s="698"/>
      <c r="W7" s="698"/>
    </row>
    <row r="8" spans="1:23" ht="15.75">
      <c r="A8" s="698"/>
      <c r="B8" s="718"/>
      <c r="C8" s="719"/>
      <c r="D8" s="701"/>
      <c r="E8" s="701"/>
      <c r="F8" s="701"/>
      <c r="G8" s="701"/>
      <c r="H8" s="701"/>
      <c r="I8" s="701"/>
      <c r="J8" s="701"/>
      <c r="K8" s="720" t="s">
        <v>617</v>
      </c>
      <c r="L8" s="698"/>
      <c r="M8" s="698"/>
      <c r="N8" s="698"/>
      <c r="O8" s="698"/>
      <c r="P8" s="698"/>
      <c r="Q8" s="698"/>
      <c r="R8" s="698"/>
      <c r="S8" s="698"/>
      <c r="T8" s="698"/>
      <c r="U8" s="698"/>
      <c r="V8" s="698"/>
      <c r="W8" s="698"/>
    </row>
    <row r="9" spans="1:23">
      <c r="A9" s="699">
        <v>126015</v>
      </c>
      <c r="B9" s="721">
        <v>1</v>
      </c>
      <c r="C9" s="719"/>
      <c r="D9" s="701"/>
      <c r="E9" s="722" t="s">
        <v>618</v>
      </c>
      <c r="F9" s="1013" t="s">
        <v>619</v>
      </c>
      <c r="G9" s="1014"/>
      <c r="H9" s="1168" t="s">
        <v>620</v>
      </c>
      <c r="I9" s="1169"/>
      <c r="J9" s="1170"/>
      <c r="K9" s="1015">
        <v>1.5E-3</v>
      </c>
      <c r="L9" s="770"/>
      <c r="M9" s="771"/>
      <c r="N9" s="771"/>
      <c r="O9" s="771"/>
      <c r="P9" s="771"/>
      <c r="Q9" s="771"/>
      <c r="R9" s="771"/>
      <c r="S9" s="771"/>
      <c r="T9" s="771"/>
      <c r="U9" s="771"/>
      <c r="V9" s="771"/>
      <c r="W9" s="771"/>
    </row>
    <row r="10" spans="1:23" ht="15.75">
      <c r="A10" s="699">
        <v>125994</v>
      </c>
      <c r="B10" s="721">
        <v>2</v>
      </c>
      <c r="C10" s="719"/>
      <c r="D10" s="701"/>
      <c r="E10" s="722" t="s">
        <v>621</v>
      </c>
      <c r="F10" s="1016">
        <v>0.35000000000000003</v>
      </c>
      <c r="G10" s="1017"/>
      <c r="H10" s="1014"/>
      <c r="I10" s="1014"/>
      <c r="J10" s="1014"/>
      <c r="K10" s="1018"/>
      <c r="L10" s="698"/>
      <c r="M10" s="698"/>
      <c r="N10" s="698"/>
      <c r="O10" s="698"/>
      <c r="P10" s="698"/>
      <c r="Q10" s="698"/>
      <c r="R10" s="698"/>
      <c r="S10" s="698"/>
      <c r="T10" s="698"/>
      <c r="U10" s="698"/>
      <c r="V10" s="698"/>
      <c r="W10" s="698"/>
    </row>
    <row r="11" spans="1:23" ht="15.75">
      <c r="A11" s="699">
        <v>126001</v>
      </c>
      <c r="B11" s="721">
        <v>3</v>
      </c>
      <c r="C11" s="719"/>
      <c r="D11" s="701"/>
      <c r="E11" s="722" t="s">
        <v>622</v>
      </c>
      <c r="F11" s="1016">
        <v>9.8000000000000004E-2</v>
      </c>
      <c r="G11" s="1017"/>
      <c r="H11" s="1014"/>
      <c r="I11" s="1014"/>
      <c r="J11" s="1014"/>
      <c r="K11" s="1018"/>
      <c r="L11" s="698"/>
      <c r="M11" s="698"/>
      <c r="N11" s="698"/>
      <c r="O11" s="698"/>
      <c r="P11" s="698"/>
      <c r="Q11" s="698"/>
      <c r="R11" s="698"/>
      <c r="S11" s="698"/>
      <c r="T11" s="698"/>
      <c r="U11" s="698"/>
      <c r="V11" s="698"/>
      <c r="W11" s="698"/>
    </row>
    <row r="12" spans="1:23" ht="15.75">
      <c r="A12" s="699">
        <v>126001</v>
      </c>
      <c r="B12" s="721">
        <v>4</v>
      </c>
      <c r="C12" s="719"/>
      <c r="D12" s="701"/>
      <c r="E12" s="722" t="s">
        <v>623</v>
      </c>
      <c r="F12" s="1016">
        <v>4.53E-2</v>
      </c>
      <c r="G12" s="1017"/>
      <c r="H12" s="1014"/>
      <c r="I12" s="1014"/>
      <c r="J12" s="1014"/>
      <c r="K12" s="1018"/>
      <c r="L12" s="698"/>
      <c r="M12" s="698"/>
      <c r="N12" s="698"/>
    </row>
    <row r="13" spans="1:23" ht="15.75">
      <c r="A13" s="698"/>
      <c r="B13" s="721">
        <v>5</v>
      </c>
      <c r="C13" s="719"/>
      <c r="D13" s="701"/>
      <c r="E13" s="701"/>
      <c r="F13" s="1014"/>
      <c r="G13" s="1014"/>
      <c r="H13" s="1014"/>
      <c r="I13" s="1014"/>
      <c r="J13" s="1014"/>
      <c r="K13" s="1018"/>
      <c r="L13" s="698"/>
      <c r="M13" s="698"/>
      <c r="N13" s="698"/>
    </row>
    <row r="14" spans="1:23" ht="15.75">
      <c r="A14" s="698"/>
      <c r="B14" s="721">
        <v>6</v>
      </c>
      <c r="C14" s="719"/>
      <c r="D14" s="701"/>
      <c r="E14" s="707"/>
      <c r="F14" s="707"/>
      <c r="G14" s="707"/>
      <c r="H14" s="707"/>
      <c r="I14" s="707"/>
      <c r="J14" s="707"/>
      <c r="K14" s="724"/>
      <c r="L14" s="725"/>
      <c r="M14" s="698"/>
      <c r="N14" s="725"/>
    </row>
    <row r="15" spans="1:23" ht="15.75">
      <c r="A15" s="698"/>
      <c r="B15" s="721">
        <v>7</v>
      </c>
      <c r="C15" s="719"/>
      <c r="D15" s="701"/>
      <c r="E15" s="701"/>
      <c r="F15" s="701"/>
      <c r="G15" s="701"/>
      <c r="H15" s="701"/>
      <c r="I15" s="701"/>
      <c r="J15" s="701"/>
      <c r="K15" s="723"/>
      <c r="L15" s="698"/>
      <c r="M15" s="698"/>
      <c r="N15" s="698"/>
    </row>
    <row r="16" spans="1:23" ht="15.75">
      <c r="A16" s="698"/>
      <c r="B16" s="721">
        <v>8</v>
      </c>
      <c r="C16" s="719"/>
      <c r="D16" s="701"/>
      <c r="E16" s="701"/>
      <c r="F16" s="701"/>
      <c r="G16" s="726" t="s">
        <v>16</v>
      </c>
      <c r="H16" s="726" t="s">
        <v>624</v>
      </c>
      <c r="I16" s="726" t="s">
        <v>53</v>
      </c>
      <c r="J16" s="726" t="s">
        <v>54</v>
      </c>
      <c r="K16" s="723"/>
      <c r="L16" s="698"/>
      <c r="M16" s="698"/>
      <c r="N16" s="698"/>
    </row>
    <row r="17" spans="1:14" ht="15.75">
      <c r="A17" s="698"/>
      <c r="B17" s="721">
        <v>9</v>
      </c>
      <c r="C17" s="719"/>
      <c r="D17" s="701"/>
      <c r="E17" s="701"/>
      <c r="F17" s="701"/>
      <c r="G17" s="722"/>
      <c r="H17" s="727"/>
      <c r="I17" s="727"/>
      <c r="J17" s="727"/>
      <c r="K17" s="728" t="s">
        <v>68</v>
      </c>
      <c r="L17" s="698"/>
      <c r="M17" s="698"/>
      <c r="N17" s="698"/>
    </row>
    <row r="18" spans="1:14" ht="15.75">
      <c r="A18" s="698"/>
      <c r="B18" s="721">
        <v>10</v>
      </c>
      <c r="C18" s="1159" t="s">
        <v>625</v>
      </c>
      <c r="D18" s="1160"/>
      <c r="E18" s="729"/>
      <c r="F18" s="701"/>
      <c r="G18" s="727"/>
      <c r="H18" s="727"/>
      <c r="I18" s="727"/>
      <c r="J18" s="727"/>
      <c r="K18" s="723"/>
      <c r="L18" s="698"/>
      <c r="M18" s="698"/>
      <c r="N18" s="698"/>
    </row>
    <row r="19" spans="1:14" ht="15.75">
      <c r="A19" s="699">
        <v>126005</v>
      </c>
      <c r="B19" s="721">
        <v>11</v>
      </c>
      <c r="C19" s="719"/>
      <c r="D19" s="701"/>
      <c r="E19" s="730" t="s">
        <v>626</v>
      </c>
      <c r="F19" s="731"/>
      <c r="G19" s="727"/>
      <c r="H19" s="732">
        <v>1000</v>
      </c>
      <c r="I19" s="1019">
        <v>1000</v>
      </c>
      <c r="J19" s="880"/>
      <c r="K19" s="723"/>
      <c r="L19" s="698"/>
      <c r="M19" s="698"/>
      <c r="N19" s="698"/>
    </row>
    <row r="20" spans="1:14" ht="16.5" thickBot="1">
      <c r="A20" s="698"/>
      <c r="B20" s="721">
        <v>12</v>
      </c>
      <c r="C20" s="719"/>
      <c r="D20" s="701"/>
      <c r="E20" s="730" t="s">
        <v>627</v>
      </c>
      <c r="F20" s="731"/>
      <c r="G20" s="727"/>
      <c r="H20" s="733">
        <v>98</v>
      </c>
      <c r="I20" s="734">
        <f>F11</f>
        <v>9.8000000000000004E-2</v>
      </c>
      <c r="J20" s="734"/>
      <c r="K20" s="723"/>
      <c r="L20" s="698"/>
      <c r="M20" s="698"/>
      <c r="N20" s="698"/>
    </row>
    <row r="21" spans="1:14" ht="15.75">
      <c r="A21" s="698"/>
      <c r="B21" s="721">
        <v>13</v>
      </c>
      <c r="C21" s="719"/>
      <c r="D21" s="701"/>
      <c r="E21" s="701"/>
      <c r="F21" s="701"/>
      <c r="G21" s="727"/>
      <c r="H21" s="735"/>
      <c r="I21" s="736"/>
      <c r="J21" s="722" t="s">
        <v>68</v>
      </c>
      <c r="K21" s="723"/>
      <c r="L21" s="698"/>
      <c r="M21" s="698"/>
      <c r="N21" s="698"/>
    </row>
    <row r="22" spans="1:14" ht="15.75">
      <c r="A22" s="698"/>
      <c r="B22" s="721">
        <v>14</v>
      </c>
      <c r="C22" s="719"/>
      <c r="D22" s="701"/>
      <c r="E22" s="701"/>
      <c r="F22" s="701"/>
      <c r="G22" s="727"/>
      <c r="H22" s="737">
        <v>902</v>
      </c>
      <c r="I22" s="738">
        <f>I19*I20</f>
        <v>98</v>
      </c>
      <c r="J22" s="738"/>
      <c r="K22" s="723"/>
      <c r="L22" s="698"/>
      <c r="M22" s="698"/>
      <c r="N22" s="698"/>
    </row>
    <row r="23" spans="1:14" ht="16.5" thickBot="1">
      <c r="A23" s="698"/>
      <c r="B23" s="721">
        <v>15</v>
      </c>
      <c r="C23" s="719"/>
      <c r="D23" s="701"/>
      <c r="E23" s="730" t="s">
        <v>628</v>
      </c>
      <c r="F23" s="731"/>
      <c r="G23" s="713"/>
      <c r="H23" s="734">
        <v>0.35000000000000003</v>
      </c>
      <c r="I23" s="731"/>
      <c r="J23" s="727"/>
      <c r="K23" s="723"/>
      <c r="L23" s="698"/>
      <c r="M23" s="698"/>
      <c r="N23" s="698"/>
    </row>
    <row r="24" spans="1:14" ht="15.75">
      <c r="A24" s="698"/>
      <c r="B24" s="721">
        <v>16</v>
      </c>
      <c r="C24" s="719"/>
      <c r="D24" s="701"/>
      <c r="E24" s="701"/>
      <c r="F24" s="701"/>
      <c r="G24" s="727"/>
      <c r="H24" s="735"/>
      <c r="I24" s="722" t="s">
        <v>68</v>
      </c>
      <c r="J24" s="727"/>
      <c r="K24" s="723"/>
      <c r="L24" s="698"/>
      <c r="M24" s="698"/>
      <c r="N24" s="698"/>
    </row>
    <row r="25" spans="1:14" ht="15.75">
      <c r="A25" s="698"/>
      <c r="B25" s="721">
        <v>17</v>
      </c>
      <c r="C25" s="719"/>
      <c r="D25" s="701"/>
      <c r="E25" s="730" t="s">
        <v>629</v>
      </c>
      <c r="F25" s="731"/>
      <c r="G25" s="727"/>
      <c r="H25" s="739">
        <v>315.70000000000005</v>
      </c>
      <c r="I25" s="727"/>
      <c r="J25" s="727"/>
      <c r="K25" s="723"/>
      <c r="L25" s="698"/>
      <c r="M25" s="698"/>
      <c r="N25" s="698"/>
    </row>
    <row r="26" spans="1:14" ht="15.75">
      <c r="A26" s="698"/>
      <c r="B26" s="721">
        <v>18</v>
      </c>
      <c r="C26" s="719"/>
      <c r="D26" s="701"/>
      <c r="E26" s="701"/>
      <c r="F26" s="701"/>
      <c r="G26" s="727"/>
      <c r="H26" s="727"/>
      <c r="I26" s="727"/>
      <c r="J26" s="727"/>
      <c r="K26" s="723"/>
      <c r="L26" s="698"/>
      <c r="M26" s="698"/>
      <c r="N26" s="698"/>
    </row>
    <row r="27" spans="1:14" ht="16.5" thickBot="1">
      <c r="A27" s="698"/>
      <c r="B27" s="721">
        <v>19</v>
      </c>
      <c r="C27" s="719"/>
      <c r="D27" s="701"/>
      <c r="E27" s="730" t="s">
        <v>630</v>
      </c>
      <c r="F27" s="731"/>
      <c r="G27" s="740">
        <v>0.41370000000000007</v>
      </c>
      <c r="H27" s="740">
        <v>0.31570000000000004</v>
      </c>
      <c r="I27" s="852">
        <f>I22/1000</f>
        <v>9.8000000000000004E-2</v>
      </c>
      <c r="J27" s="852"/>
      <c r="K27" s="723"/>
      <c r="L27" s="698"/>
      <c r="M27" s="698"/>
      <c r="N27" s="698"/>
    </row>
    <row r="28" spans="1:14" ht="15.75">
      <c r="A28" s="698"/>
      <c r="B28" s="721">
        <v>20</v>
      </c>
      <c r="C28" s="719"/>
      <c r="D28" s="701"/>
      <c r="E28" s="701"/>
      <c r="F28" s="701"/>
      <c r="G28" s="741"/>
      <c r="H28" s="701"/>
      <c r="I28" s="701"/>
      <c r="J28" s="741" t="s">
        <v>68</v>
      </c>
      <c r="K28" s="723"/>
      <c r="L28" s="698"/>
      <c r="M28" s="698"/>
    </row>
    <row r="29" spans="1:14" ht="15.75">
      <c r="A29" s="698"/>
      <c r="B29" s="721">
        <v>21</v>
      </c>
      <c r="C29" s="719"/>
      <c r="D29" s="701"/>
      <c r="E29" s="701"/>
      <c r="F29" s="701"/>
      <c r="G29" s="701"/>
      <c r="H29" s="701"/>
      <c r="I29" s="701"/>
      <c r="J29" s="701"/>
      <c r="K29" s="723"/>
      <c r="L29" s="698"/>
      <c r="M29" s="698"/>
    </row>
    <row r="30" spans="1:14" ht="15.75" thickBot="1">
      <c r="A30" s="699">
        <v>126010</v>
      </c>
      <c r="B30" s="721">
        <v>22</v>
      </c>
      <c r="C30" s="719"/>
      <c r="D30" s="701"/>
      <c r="E30" s="730" t="s">
        <v>631</v>
      </c>
      <c r="F30" s="714"/>
      <c r="G30" s="731"/>
      <c r="H30" s="722" t="s">
        <v>632</v>
      </c>
      <c r="I30" s="713"/>
      <c r="J30" s="731"/>
      <c r="K30" s="879">
        <f>1/(1-G27)</f>
        <v>1.7056114617090228</v>
      </c>
      <c r="L30" s="768"/>
      <c r="M30" s="699"/>
    </row>
    <row r="31" spans="1:14" ht="15.75">
      <c r="A31" s="698"/>
      <c r="B31" s="721">
        <v>23</v>
      </c>
      <c r="C31" s="719"/>
      <c r="D31" s="701"/>
      <c r="E31" s="701"/>
      <c r="F31" s="701"/>
      <c r="G31" s="701"/>
      <c r="H31" s="701"/>
      <c r="I31" s="701"/>
      <c r="J31" s="701"/>
      <c r="K31" s="743"/>
      <c r="L31" s="767"/>
      <c r="M31" s="699"/>
    </row>
    <row r="32" spans="1:14" ht="15.75">
      <c r="A32" s="698"/>
      <c r="B32" s="721">
        <v>24</v>
      </c>
      <c r="C32" s="719"/>
      <c r="D32" s="701"/>
      <c r="E32" s="701"/>
      <c r="F32" s="701"/>
      <c r="G32" s="701"/>
      <c r="H32" s="701"/>
      <c r="I32" s="701"/>
      <c r="J32" s="701"/>
      <c r="K32" s="723"/>
      <c r="L32" s="698"/>
      <c r="M32" s="698"/>
    </row>
    <row r="33" spans="1:13" ht="15.75">
      <c r="A33" s="698"/>
      <c r="B33" s="721">
        <v>25</v>
      </c>
      <c r="C33" s="719"/>
      <c r="D33" s="701"/>
      <c r="E33" s="701"/>
      <c r="F33" s="701"/>
      <c r="G33" s="701"/>
      <c r="H33" s="701"/>
      <c r="I33" s="701"/>
      <c r="J33" s="701"/>
      <c r="K33" s="723"/>
      <c r="L33" s="745"/>
      <c r="M33" s="698"/>
    </row>
    <row r="34" spans="1:13" ht="15.75">
      <c r="A34" s="698"/>
      <c r="B34" s="721">
        <v>26</v>
      </c>
      <c r="C34" s="1159" t="s">
        <v>633</v>
      </c>
      <c r="D34" s="1160"/>
      <c r="E34" s="731"/>
      <c r="F34" s="701"/>
      <c r="G34" s="701"/>
      <c r="H34" s="701"/>
      <c r="I34" s="701"/>
      <c r="J34" s="701"/>
      <c r="K34" s="723"/>
      <c r="L34" s="745"/>
      <c r="M34" s="698"/>
    </row>
    <row r="35" spans="1:13" ht="15.75">
      <c r="A35" s="699">
        <v>126005</v>
      </c>
      <c r="B35" s="721">
        <v>27</v>
      </c>
      <c r="C35" s="719"/>
      <c r="D35" s="701"/>
      <c r="E35" s="730" t="s">
        <v>626</v>
      </c>
      <c r="F35" s="731"/>
      <c r="G35" s="727"/>
      <c r="H35" s="1019">
        <v>1000</v>
      </c>
      <c r="I35" s="1020"/>
      <c r="J35" s="1019">
        <v>1000</v>
      </c>
      <c r="K35" s="723"/>
      <c r="L35" s="698"/>
      <c r="M35" s="698"/>
    </row>
    <row r="36" spans="1:13" ht="16.5" thickBot="1">
      <c r="A36" s="698"/>
      <c r="B36" s="721">
        <v>28</v>
      </c>
      <c r="C36" s="719"/>
      <c r="D36" s="701"/>
      <c r="E36" s="730" t="s">
        <v>634</v>
      </c>
      <c r="F36" s="731"/>
      <c r="G36" s="727"/>
      <c r="H36" s="746">
        <f>J41</f>
        <v>45.3</v>
      </c>
      <c r="I36" s="727"/>
      <c r="J36" s="738"/>
      <c r="K36" s="723"/>
      <c r="L36" s="698"/>
      <c r="M36" s="698"/>
    </row>
    <row r="37" spans="1:13" ht="15.75">
      <c r="A37" s="698"/>
      <c r="B37" s="721">
        <v>29</v>
      </c>
      <c r="C37" s="719"/>
      <c r="D37" s="701"/>
      <c r="E37" s="701"/>
      <c r="F37" s="701"/>
      <c r="G37" s="727"/>
      <c r="H37" s="735"/>
      <c r="I37" s="727"/>
      <c r="J37" s="727"/>
      <c r="K37" s="723"/>
      <c r="L37" s="698"/>
      <c r="M37" s="698"/>
    </row>
    <row r="38" spans="1:13" ht="15.75">
      <c r="A38" s="698"/>
      <c r="B38" s="721">
        <v>30</v>
      </c>
      <c r="C38" s="719"/>
      <c r="D38" s="701"/>
      <c r="E38" s="701"/>
      <c r="F38" s="701"/>
      <c r="G38" s="727"/>
      <c r="H38" s="738">
        <f>H35-H36</f>
        <v>954.7</v>
      </c>
      <c r="I38" s="727"/>
      <c r="J38" s="747">
        <f>J35-J36</f>
        <v>1000</v>
      </c>
      <c r="K38" s="723"/>
      <c r="L38" s="698"/>
      <c r="M38" s="698"/>
    </row>
    <row r="39" spans="1:13" ht="16.5" thickBot="1">
      <c r="A39" s="698"/>
      <c r="B39" s="721">
        <v>31</v>
      </c>
      <c r="C39" s="719"/>
      <c r="D39" s="701"/>
      <c r="E39" s="730" t="s">
        <v>628</v>
      </c>
      <c r="F39" s="731"/>
      <c r="G39" s="727"/>
      <c r="H39" s="734">
        <f>F10</f>
        <v>0.35000000000000003</v>
      </c>
      <c r="I39" s="727"/>
      <c r="J39" s="734">
        <f>F12</f>
        <v>4.53E-2</v>
      </c>
      <c r="K39" s="723"/>
      <c r="L39" s="698"/>
      <c r="M39" s="698"/>
    </row>
    <row r="40" spans="1:13" ht="15.75">
      <c r="A40" s="698"/>
      <c r="B40" s="721">
        <v>32</v>
      </c>
      <c r="C40" s="719"/>
      <c r="D40" s="701"/>
      <c r="E40" s="701"/>
      <c r="F40" s="701"/>
      <c r="G40" s="727"/>
      <c r="H40" s="735"/>
      <c r="I40" s="727"/>
      <c r="J40" s="736"/>
      <c r="K40" s="723"/>
      <c r="L40" s="698"/>
      <c r="M40" s="698"/>
    </row>
    <row r="41" spans="1:13" ht="15.75">
      <c r="A41" s="698"/>
      <c r="B41" s="721">
        <v>33</v>
      </c>
      <c r="C41" s="719"/>
      <c r="D41" s="701"/>
      <c r="E41" s="730" t="s">
        <v>629</v>
      </c>
      <c r="F41" s="731"/>
      <c r="G41" s="727"/>
      <c r="H41" s="738">
        <f>H39*H38</f>
        <v>334.14500000000004</v>
      </c>
      <c r="I41" s="727"/>
      <c r="J41" s="738">
        <f>J39*J38</f>
        <v>45.3</v>
      </c>
      <c r="K41" s="723"/>
      <c r="L41" s="698"/>
      <c r="M41" s="698"/>
    </row>
    <row r="42" spans="1:13" ht="15.75">
      <c r="A42" s="698"/>
      <c r="B42" s="721">
        <v>34</v>
      </c>
      <c r="C42" s="719"/>
      <c r="D42" s="701"/>
      <c r="E42" s="701"/>
      <c r="F42" s="701"/>
      <c r="G42" s="727"/>
      <c r="H42" s="727"/>
      <c r="I42" s="727"/>
      <c r="J42" s="727"/>
      <c r="K42" s="723"/>
      <c r="L42" s="698"/>
      <c r="M42" s="698"/>
    </row>
    <row r="43" spans="1:13" ht="16.5" thickBot="1">
      <c r="A43" s="698"/>
      <c r="B43" s="721">
        <v>35</v>
      </c>
      <c r="C43" s="719"/>
      <c r="D43" s="701"/>
      <c r="E43" s="730" t="s">
        <v>635</v>
      </c>
      <c r="F43" s="731"/>
      <c r="G43" s="740">
        <f>SUM(H43:J43)</f>
        <v>0.37944500000000003</v>
      </c>
      <c r="H43" s="748">
        <f>H41/1000</f>
        <v>0.33414500000000003</v>
      </c>
      <c r="I43" s="727"/>
      <c r="J43" s="748">
        <f>J41/1000</f>
        <v>4.53E-2</v>
      </c>
      <c r="K43" s="723"/>
      <c r="L43" s="698"/>
      <c r="M43" s="698"/>
    </row>
    <row r="44" spans="1:13" ht="15.75">
      <c r="A44" s="698"/>
      <c r="B44" s="721">
        <v>36</v>
      </c>
      <c r="C44" s="719"/>
      <c r="D44" s="701"/>
      <c r="E44" s="701"/>
      <c r="F44" s="701"/>
      <c r="G44" s="741"/>
      <c r="H44" s="701"/>
      <c r="I44" s="727"/>
      <c r="J44" s="741" t="s">
        <v>68</v>
      </c>
      <c r="K44" s="723"/>
      <c r="L44" s="698"/>
      <c r="M44" s="698"/>
    </row>
    <row r="45" spans="1:13" ht="15.75">
      <c r="A45" s="698"/>
      <c r="B45" s="721">
        <v>37</v>
      </c>
      <c r="C45" s="719"/>
      <c r="D45" s="701"/>
      <c r="E45" s="701"/>
      <c r="F45" s="701"/>
      <c r="G45" s="701"/>
      <c r="H45" s="701"/>
      <c r="I45" s="701"/>
      <c r="J45" s="701"/>
      <c r="K45" s="723"/>
      <c r="L45" s="698"/>
      <c r="M45" s="698"/>
    </row>
    <row r="46" spans="1:13" ht="15.75" thickBot="1">
      <c r="A46" s="699">
        <v>126010</v>
      </c>
      <c r="B46" s="721">
        <v>38</v>
      </c>
      <c r="C46" s="719"/>
      <c r="D46" s="701"/>
      <c r="E46" s="730" t="s">
        <v>631</v>
      </c>
      <c r="F46" s="714"/>
      <c r="G46" s="731"/>
      <c r="H46" s="722" t="s">
        <v>632</v>
      </c>
      <c r="I46" s="713"/>
      <c r="J46" s="731"/>
      <c r="K46" s="879">
        <f>1/(1-G43)</f>
        <v>1.6114607085592736</v>
      </c>
      <c r="L46" s="768"/>
      <c r="M46" s="699"/>
    </row>
    <row r="47" spans="1:13" ht="15.75">
      <c r="A47" s="698"/>
      <c r="B47" s="721">
        <v>39</v>
      </c>
      <c r="C47" s="719"/>
      <c r="D47" s="701"/>
      <c r="E47" s="701"/>
      <c r="F47" s="701"/>
      <c r="G47" s="701"/>
      <c r="H47" s="701"/>
      <c r="I47" s="701"/>
      <c r="J47" s="701"/>
      <c r="K47" s="728"/>
      <c r="L47" s="767"/>
      <c r="M47" s="699"/>
    </row>
    <row r="48" spans="1:13" ht="15.75">
      <c r="A48" s="698"/>
      <c r="B48" s="721">
        <v>40</v>
      </c>
      <c r="C48" s="719"/>
      <c r="D48" s="701"/>
      <c r="E48" s="701"/>
      <c r="F48" s="701"/>
      <c r="G48" s="701"/>
      <c r="H48" s="701"/>
      <c r="I48" s="701"/>
      <c r="J48" s="701"/>
      <c r="K48" s="723"/>
      <c r="L48" s="698"/>
      <c r="M48" s="698"/>
    </row>
    <row r="49" spans="1:18" ht="15.75">
      <c r="A49" s="698"/>
      <c r="B49" s="721">
        <v>41</v>
      </c>
      <c r="C49" s="719"/>
      <c r="D49" s="701"/>
      <c r="E49" s="701"/>
      <c r="F49" s="701"/>
      <c r="G49" s="701"/>
      <c r="H49" s="701"/>
      <c r="I49" s="701"/>
      <c r="J49" s="701"/>
      <c r="K49" s="723"/>
      <c r="L49" s="698"/>
      <c r="M49" s="698"/>
    </row>
    <row r="50" spans="1:18" ht="15.75">
      <c r="A50" s="698"/>
      <c r="B50" s="721">
        <v>42</v>
      </c>
      <c r="C50" s="1159" t="s">
        <v>636</v>
      </c>
      <c r="D50" s="1160"/>
      <c r="E50" s="731"/>
      <c r="F50" s="701"/>
      <c r="G50" s="701"/>
      <c r="H50" s="701"/>
      <c r="I50" s="701"/>
      <c r="J50" s="701"/>
      <c r="K50" s="723"/>
      <c r="L50" s="698"/>
      <c r="M50" s="698"/>
    </row>
    <row r="51" spans="1:18" ht="16.5" thickBot="1">
      <c r="A51" s="698"/>
      <c r="B51" s="721">
        <v>43</v>
      </c>
      <c r="C51" s="719"/>
      <c r="D51" s="701"/>
      <c r="E51" s="730" t="s">
        <v>637</v>
      </c>
      <c r="F51" s="731"/>
      <c r="G51" s="734">
        <v>0.35000000000000003</v>
      </c>
      <c r="H51" s="734">
        <v>0.35000000000000003</v>
      </c>
      <c r="I51" s="1161" t="s">
        <v>638</v>
      </c>
      <c r="J51" s="1162"/>
      <c r="K51" s="1163"/>
      <c r="L51" s="698"/>
      <c r="M51" s="698"/>
    </row>
    <row r="52" spans="1:18" ht="15.75">
      <c r="A52" s="698"/>
      <c r="B52" s="721">
        <v>44</v>
      </c>
      <c r="C52" s="719"/>
      <c r="D52" s="701"/>
      <c r="E52" s="701"/>
      <c r="F52" s="701"/>
      <c r="G52" s="741"/>
      <c r="H52" s="701"/>
      <c r="I52" s="741" t="s">
        <v>68</v>
      </c>
      <c r="J52" s="701"/>
      <c r="K52" s="723"/>
      <c r="L52" s="698"/>
      <c r="M52" s="698"/>
    </row>
    <row r="53" spans="1:18" ht="15.75">
      <c r="A53" s="698"/>
      <c r="B53" s="721">
        <v>45</v>
      </c>
      <c r="C53" s="719"/>
      <c r="D53" s="701"/>
      <c r="E53" s="701"/>
      <c r="F53" s="701"/>
      <c r="G53" s="701"/>
      <c r="H53" s="701"/>
      <c r="I53" s="701"/>
      <c r="J53" s="701"/>
      <c r="K53" s="723"/>
      <c r="L53" s="698"/>
      <c r="M53" s="698"/>
    </row>
    <row r="54" spans="1:18" ht="15.75">
      <c r="A54" s="698"/>
      <c r="B54" s="721">
        <v>46</v>
      </c>
      <c r="C54" s="719"/>
      <c r="D54" s="701"/>
      <c r="E54" s="749" t="s">
        <v>639</v>
      </c>
      <c r="F54" s="750"/>
      <c r="G54" s="750"/>
      <c r="H54" s="751"/>
      <c r="I54" s="701"/>
      <c r="J54" s="701"/>
      <c r="K54" s="723"/>
      <c r="L54" s="698"/>
      <c r="M54" s="698"/>
    </row>
    <row r="55" spans="1:18" ht="15.75">
      <c r="A55" s="698"/>
      <c r="B55" s="721">
        <v>47</v>
      </c>
      <c r="C55" s="719"/>
      <c r="D55" s="701"/>
      <c r="E55" s="752" t="s">
        <v>640</v>
      </c>
      <c r="F55" s="701"/>
      <c r="G55" s="701"/>
      <c r="H55" s="723"/>
      <c r="I55" s="701"/>
      <c r="J55" s="701"/>
      <c r="K55" s="723"/>
      <c r="L55" s="698"/>
      <c r="M55" s="698"/>
    </row>
    <row r="56" spans="1:18" ht="15.75">
      <c r="A56" s="698"/>
      <c r="B56" s="721">
        <v>48</v>
      </c>
      <c r="C56" s="719"/>
      <c r="D56" s="701"/>
      <c r="E56" s="719"/>
      <c r="F56" s="701"/>
      <c r="G56" s="701"/>
      <c r="H56" s="723"/>
      <c r="I56" s="701"/>
      <c r="J56" s="701"/>
      <c r="K56" s="723"/>
      <c r="L56" s="698"/>
      <c r="M56" s="698"/>
    </row>
    <row r="57" spans="1:18" ht="15.75">
      <c r="A57" s="698"/>
      <c r="B57" s="721">
        <v>49</v>
      </c>
      <c r="C57" s="719"/>
      <c r="D57" s="701"/>
      <c r="E57" s="752" t="s">
        <v>641</v>
      </c>
      <c r="F57" s="701"/>
      <c r="G57" s="701"/>
      <c r="H57" s="723"/>
      <c r="I57" s="701"/>
      <c r="J57" s="701"/>
      <c r="K57" s="723"/>
      <c r="L57" s="698"/>
      <c r="M57" s="698"/>
    </row>
    <row r="58" spans="1:18" ht="15.75">
      <c r="A58" s="698"/>
      <c r="B58" s="721">
        <v>50</v>
      </c>
      <c r="C58" s="719"/>
      <c r="D58" s="701"/>
      <c r="E58" s="752" t="s">
        <v>642</v>
      </c>
      <c r="F58" s="701"/>
      <c r="G58" s="701"/>
      <c r="H58" s="723"/>
      <c r="I58" s="701"/>
      <c r="J58" s="701"/>
      <c r="K58" s="723"/>
      <c r="L58" s="698"/>
      <c r="M58" s="698"/>
    </row>
    <row r="59" spans="1:18" ht="15.75">
      <c r="A59" s="698"/>
      <c r="B59" s="721">
        <v>51</v>
      </c>
      <c r="C59" s="719"/>
      <c r="D59" s="701"/>
      <c r="E59" s="766">
        <v>0</v>
      </c>
      <c r="F59" s="765" t="s">
        <v>643</v>
      </c>
      <c r="G59" s="701"/>
      <c r="H59" s="723"/>
      <c r="I59" s="701"/>
      <c r="J59" s="701"/>
      <c r="K59" s="723"/>
      <c r="L59" s="698"/>
      <c r="M59" s="698"/>
    </row>
    <row r="60" spans="1:18" ht="15.75">
      <c r="A60" s="698"/>
      <c r="B60" s="721">
        <v>52</v>
      </c>
      <c r="C60" s="719"/>
      <c r="D60" s="701"/>
      <c r="E60" s="753">
        <v>0.35000000000000003</v>
      </c>
      <c r="F60" s="741" t="s">
        <v>644</v>
      </c>
      <c r="G60" s="701"/>
      <c r="H60" s="723"/>
      <c r="I60" s="701"/>
      <c r="J60" s="701"/>
      <c r="K60" s="723"/>
      <c r="L60" s="698"/>
      <c r="M60" s="698"/>
      <c r="N60" s="698"/>
      <c r="O60" s="698"/>
      <c r="P60" s="698"/>
      <c r="Q60" s="698"/>
      <c r="R60" s="698"/>
    </row>
    <row r="61" spans="1:18" ht="15.75">
      <c r="A61" s="698"/>
      <c r="B61" s="721">
        <v>53</v>
      </c>
      <c r="C61" s="719"/>
      <c r="D61" s="701"/>
      <c r="E61" s="719"/>
      <c r="F61" s="701"/>
      <c r="G61" s="701"/>
      <c r="H61" s="723"/>
      <c r="I61" s="701"/>
      <c r="J61" s="701"/>
      <c r="K61" s="723"/>
      <c r="L61" s="698"/>
      <c r="M61" s="698"/>
      <c r="N61" s="698"/>
      <c r="O61" s="698"/>
      <c r="P61" s="698"/>
      <c r="Q61" s="698"/>
      <c r="R61" s="698"/>
    </row>
    <row r="62" spans="1:18" ht="15.75">
      <c r="A62" s="698"/>
      <c r="B62" s="721">
        <v>54</v>
      </c>
      <c r="C62" s="719"/>
      <c r="D62" s="701"/>
      <c r="E62" s="719"/>
      <c r="F62" s="741" t="s">
        <v>645</v>
      </c>
      <c r="G62" s="701"/>
      <c r="H62" s="723"/>
      <c r="I62" s="701"/>
      <c r="J62" s="701"/>
      <c r="K62" s="723"/>
      <c r="L62" s="698"/>
      <c r="M62" s="698"/>
      <c r="N62" s="698"/>
      <c r="O62" s="698"/>
      <c r="P62" s="698"/>
      <c r="Q62" s="698"/>
      <c r="R62" s="698"/>
    </row>
    <row r="63" spans="1:18" ht="15.75">
      <c r="A63" s="698"/>
      <c r="B63" s="721">
        <v>55</v>
      </c>
      <c r="C63" s="719"/>
      <c r="D63" s="701"/>
      <c r="E63" s="719"/>
      <c r="F63" s="741" t="s">
        <v>646</v>
      </c>
      <c r="G63" s="701"/>
      <c r="H63" s="723"/>
      <c r="I63" s="701"/>
      <c r="J63" s="701"/>
      <c r="K63" s="723"/>
      <c r="L63" s="698"/>
      <c r="M63" s="698"/>
      <c r="N63" s="698"/>
      <c r="O63" s="698"/>
      <c r="P63" s="698"/>
      <c r="Q63" s="698"/>
      <c r="R63" s="698"/>
    </row>
    <row r="64" spans="1:18" ht="15.75">
      <c r="A64" s="698"/>
      <c r="B64" s="721">
        <v>56</v>
      </c>
      <c r="C64" s="719"/>
      <c r="D64" s="701"/>
      <c r="E64" s="719"/>
      <c r="F64" s="741" t="s">
        <v>647</v>
      </c>
      <c r="G64" s="701"/>
      <c r="H64" s="723"/>
      <c r="I64" s="701"/>
      <c r="J64" s="701"/>
      <c r="K64" s="723"/>
      <c r="L64" s="698"/>
      <c r="M64" s="698"/>
      <c r="N64" s="698"/>
      <c r="O64" s="698"/>
      <c r="P64" s="698"/>
      <c r="Q64" s="698"/>
      <c r="R64" s="698"/>
    </row>
    <row r="65" spans="1:18" ht="15.75">
      <c r="A65" s="698"/>
      <c r="B65" s="721">
        <v>57</v>
      </c>
      <c r="C65" s="719"/>
      <c r="D65" s="701"/>
      <c r="E65" s="719"/>
      <c r="F65" s="741" t="s">
        <v>648</v>
      </c>
      <c r="G65" s="701"/>
      <c r="H65" s="723"/>
      <c r="I65" s="701"/>
      <c r="J65" s="701"/>
      <c r="K65" s="723"/>
      <c r="L65" s="698"/>
      <c r="M65" s="698"/>
      <c r="N65" s="698"/>
      <c r="O65" s="698"/>
      <c r="P65" s="698"/>
      <c r="Q65" s="698"/>
      <c r="R65" s="698"/>
    </row>
    <row r="66" spans="1:18" ht="15.75">
      <c r="A66" s="698"/>
      <c r="B66" s="721">
        <v>58</v>
      </c>
      <c r="C66" s="719"/>
      <c r="D66" s="701"/>
      <c r="E66" s="719"/>
      <c r="F66" s="741" t="s">
        <v>649</v>
      </c>
      <c r="G66" s="701"/>
      <c r="H66" s="723"/>
      <c r="I66" s="701"/>
      <c r="J66" s="701"/>
      <c r="K66" s="723"/>
      <c r="L66" s="698"/>
      <c r="M66" s="698"/>
      <c r="N66" s="698"/>
      <c r="O66" s="698"/>
      <c r="P66" s="698"/>
      <c r="Q66" s="698"/>
      <c r="R66" s="698"/>
    </row>
    <row r="67" spans="1:18" ht="16.5" thickBot="1">
      <c r="A67" s="699">
        <v>126010</v>
      </c>
      <c r="B67" s="721">
        <v>59</v>
      </c>
      <c r="C67" s="719"/>
      <c r="D67" s="701"/>
      <c r="E67" s="754"/>
      <c r="F67" s="755" t="s">
        <v>650</v>
      </c>
      <c r="G67" s="756"/>
      <c r="H67" s="757"/>
      <c r="I67" s="701"/>
      <c r="J67" s="701"/>
      <c r="K67" s="879">
        <f>1/(1-K9-((1-K9)*G51))</f>
        <v>1.5407726975078002</v>
      </c>
      <c r="L67" s="768"/>
      <c r="M67" s="699"/>
      <c r="N67" s="698"/>
      <c r="O67" s="698"/>
      <c r="P67" s="698"/>
      <c r="Q67" s="698"/>
      <c r="R67" s="698"/>
    </row>
    <row r="68" spans="1:18" ht="15.75">
      <c r="A68" s="698"/>
      <c r="B68" s="721">
        <v>60</v>
      </c>
      <c r="C68" s="719"/>
      <c r="D68" s="701"/>
      <c r="E68" s="701"/>
      <c r="F68" s="701"/>
      <c r="G68" s="701"/>
      <c r="H68" s="701"/>
      <c r="I68" s="701"/>
      <c r="J68" s="701"/>
      <c r="K68" s="723"/>
      <c r="L68" s="769"/>
      <c r="M68" s="699"/>
      <c r="N68" s="698"/>
      <c r="O68" s="698"/>
      <c r="P68" s="698"/>
      <c r="Q68" s="698"/>
      <c r="R68" s="698"/>
    </row>
    <row r="69" spans="1:18" ht="15.75">
      <c r="A69" s="698"/>
      <c r="B69" s="721">
        <v>61</v>
      </c>
      <c r="C69" s="1159" t="s">
        <v>651</v>
      </c>
      <c r="D69" s="1160"/>
      <c r="E69" s="714"/>
      <c r="F69" s="882" t="s">
        <v>369</v>
      </c>
      <c r="G69" s="727"/>
      <c r="H69" s="726" t="s">
        <v>624</v>
      </c>
      <c r="I69" s="758" t="s">
        <v>53</v>
      </c>
      <c r="J69" s="726" t="s">
        <v>54</v>
      </c>
      <c r="K69" s="723"/>
      <c r="L69" s="698"/>
      <c r="M69" s="698"/>
      <c r="N69" s="698"/>
      <c r="O69" s="698"/>
      <c r="P69" s="698"/>
      <c r="Q69" s="698"/>
      <c r="R69" s="698"/>
    </row>
    <row r="70" spans="1:18" ht="16.5" thickBot="1">
      <c r="A70" s="698"/>
      <c r="B70" s="721">
        <v>62</v>
      </c>
      <c r="C70" s="719"/>
      <c r="D70" s="701"/>
      <c r="E70" s="730" t="s">
        <v>652</v>
      </c>
      <c r="F70" s="731"/>
      <c r="G70" s="1021">
        <f>'Page 21a - Income Tax Rate Calc'!G27</f>
        <v>0.39100000000000001</v>
      </c>
      <c r="H70" s="1022">
        <f>'Page 21a - Income Tax Rate Calc'!D25</f>
        <v>0.32801839140000005</v>
      </c>
      <c r="I70" s="1022">
        <f>'Page 21a - Income Tax Rate Calc'!E25</f>
        <v>4.464292000000001E-2</v>
      </c>
      <c r="J70" s="1022">
        <f>'Page 21a - Income Tax Rate Calc'!F25</f>
        <v>1.8161676000000002E-2</v>
      </c>
      <c r="K70" s="773" t="s">
        <v>653</v>
      </c>
      <c r="L70" s="772"/>
      <c r="M70" s="771"/>
      <c r="N70" s="771"/>
      <c r="O70" s="771"/>
      <c r="P70" s="771"/>
      <c r="Q70" s="771"/>
      <c r="R70" s="771"/>
    </row>
    <row r="71" spans="1:18" ht="15.75">
      <c r="A71" s="698"/>
      <c r="B71" s="721">
        <v>63</v>
      </c>
      <c r="C71" s="719"/>
      <c r="D71" s="701"/>
      <c r="E71" s="701"/>
      <c r="F71" s="701"/>
      <c r="G71" s="741"/>
      <c r="H71" s="701"/>
      <c r="I71" s="701"/>
      <c r="J71" s="701"/>
      <c r="K71" s="728" t="s">
        <v>68</v>
      </c>
      <c r="L71" s="771"/>
      <c r="M71" s="771"/>
      <c r="N71" s="771"/>
      <c r="O71" s="771"/>
      <c r="P71" s="771"/>
      <c r="Q71" s="771"/>
      <c r="R71" s="771"/>
    </row>
    <row r="72" spans="1:18" ht="15.75">
      <c r="A72" s="698"/>
      <c r="B72" s="721">
        <v>64</v>
      </c>
      <c r="C72" s="719"/>
      <c r="D72" s="701"/>
      <c r="E72" s="701"/>
      <c r="F72" s="701"/>
      <c r="G72" s="701"/>
      <c r="H72" s="701"/>
      <c r="I72" s="701"/>
      <c r="J72" s="701"/>
      <c r="K72" s="723"/>
      <c r="L72" s="698"/>
      <c r="M72" s="698"/>
      <c r="N72" s="698"/>
      <c r="O72" s="698"/>
      <c r="P72" s="698"/>
      <c r="Q72" s="698"/>
      <c r="R72" s="698"/>
    </row>
    <row r="73" spans="1:18" ht="16.5" thickBot="1">
      <c r="A73" s="698"/>
      <c r="B73" s="721">
        <v>65</v>
      </c>
      <c r="C73" s="719"/>
      <c r="D73" s="701"/>
      <c r="E73" s="730" t="s">
        <v>631</v>
      </c>
      <c r="F73" s="714"/>
      <c r="G73" s="714"/>
      <c r="H73" s="722" t="s">
        <v>632</v>
      </c>
      <c r="I73" s="714"/>
      <c r="J73" s="731"/>
      <c r="K73" s="742">
        <f>1/(1-G70)</f>
        <v>1.6420361247947455</v>
      </c>
      <c r="L73" s="941"/>
      <c r="M73" s="942"/>
      <c r="N73" s="942"/>
      <c r="O73" s="942"/>
      <c r="P73" s="943"/>
      <c r="Q73" s="943"/>
      <c r="R73" s="943"/>
    </row>
    <row r="74" spans="1:18" ht="15.75">
      <c r="A74" s="698"/>
      <c r="B74" s="759"/>
      <c r="C74" s="756"/>
      <c r="D74" s="756"/>
      <c r="E74" s="756"/>
      <c r="F74" s="756"/>
      <c r="G74" s="756"/>
      <c r="H74" s="756"/>
      <c r="I74" s="756"/>
      <c r="J74" s="756"/>
      <c r="K74" s="760"/>
      <c r="L74" s="744" t="s">
        <v>68</v>
      </c>
      <c r="M74" s="698"/>
      <c r="N74" s="698"/>
      <c r="O74" s="698"/>
      <c r="P74" s="698"/>
      <c r="Q74" s="698"/>
      <c r="R74" s="698"/>
    </row>
    <row r="75" spans="1:18" ht="15.75">
      <c r="A75" s="698"/>
      <c r="B75" s="707"/>
      <c r="C75" s="698"/>
      <c r="D75" s="698"/>
      <c r="E75" s="698"/>
      <c r="F75" s="698"/>
      <c r="G75" s="698"/>
      <c r="H75" s="698"/>
      <c r="I75" s="698"/>
      <c r="J75" s="701"/>
      <c r="K75" s="701"/>
      <c r="L75" s="698"/>
      <c r="M75" s="698"/>
      <c r="N75" s="698"/>
      <c r="O75" s="698"/>
      <c r="P75" s="698"/>
      <c r="Q75" s="698"/>
      <c r="R75" s="698"/>
    </row>
    <row r="76" spans="1:18">
      <c r="B76" s="707"/>
      <c r="C76" s="761" t="s">
        <v>368</v>
      </c>
      <c r="D76" s="762" t="s">
        <v>654</v>
      </c>
      <c r="E76" s="763"/>
      <c r="F76" s="763"/>
      <c r="G76" s="701"/>
      <c r="H76" s="701"/>
      <c r="I76" s="701"/>
      <c r="J76" s="701"/>
      <c r="K76" s="701"/>
    </row>
    <row r="77" spans="1:18" ht="15.75">
      <c r="B77" s="698"/>
      <c r="C77" s="761" t="s">
        <v>369</v>
      </c>
      <c r="D77" s="762" t="s">
        <v>655</v>
      </c>
      <c r="E77" s="764"/>
      <c r="F77" s="764"/>
      <c r="G77" s="764"/>
      <c r="H77" s="764"/>
      <c r="I77" s="763"/>
      <c r="J77" s="700"/>
      <c r="K77" s="700"/>
    </row>
    <row r="78" spans="1:18" ht="15.75">
      <c r="B78" s="698"/>
      <c r="C78" s="700"/>
      <c r="D78" s="701"/>
      <c r="E78" s="700"/>
      <c r="F78" s="700"/>
      <c r="G78" s="700"/>
      <c r="H78" s="700"/>
      <c r="I78" s="700"/>
      <c r="J78" s="700"/>
      <c r="K78" s="700"/>
    </row>
    <row r="79" spans="1:18" ht="15.75">
      <c r="B79" s="698"/>
      <c r="C79" s="700"/>
      <c r="D79" s="701"/>
      <c r="E79" s="700"/>
      <c r="F79" s="700"/>
      <c r="G79" s="700"/>
      <c r="H79" s="700"/>
      <c r="I79" s="700"/>
      <c r="J79" s="700"/>
      <c r="K79" s="700"/>
    </row>
    <row r="80" spans="1:18" ht="15.75">
      <c r="B80" s="698"/>
      <c r="C80" s="700"/>
      <c r="D80" s="701"/>
      <c r="E80" s="700"/>
      <c r="F80" s="700"/>
      <c r="G80" s="700"/>
      <c r="H80" s="700"/>
      <c r="I80" s="700"/>
      <c r="J80" s="700"/>
      <c r="K80" s="700"/>
    </row>
    <row r="81" spans="2:11" ht="15.75">
      <c r="B81" s="698"/>
      <c r="C81" s="700"/>
      <c r="D81" s="701"/>
      <c r="E81" s="700"/>
      <c r="F81" s="700"/>
      <c r="G81" s="700"/>
      <c r="H81" s="700"/>
      <c r="I81" s="700"/>
      <c r="J81" s="700"/>
      <c r="K81" s="700"/>
    </row>
    <row r="82" spans="2:11" ht="15.75">
      <c r="B82" s="698"/>
      <c r="C82" s="700"/>
      <c r="D82" s="701"/>
      <c r="E82" s="700"/>
      <c r="F82" s="700"/>
      <c r="G82" s="700"/>
      <c r="H82" s="700"/>
      <c r="I82" s="700"/>
      <c r="J82" s="700"/>
      <c r="K82" s="700"/>
    </row>
    <row r="83" spans="2:11" ht="15.75">
      <c r="B83" s="698"/>
      <c r="C83" s="700"/>
      <c r="D83" s="701"/>
      <c r="E83" s="700"/>
      <c r="F83" s="700"/>
      <c r="G83" s="700"/>
      <c r="H83" s="700"/>
      <c r="I83" s="700"/>
      <c r="J83" s="700"/>
      <c r="K83" s="700"/>
    </row>
    <row r="84" spans="2:11" ht="15.75">
      <c r="B84" s="698"/>
      <c r="C84" s="700"/>
      <c r="D84" s="701"/>
      <c r="E84" s="700"/>
      <c r="F84" s="700"/>
      <c r="G84" s="700"/>
      <c r="H84" s="700"/>
      <c r="I84" s="700"/>
      <c r="J84" s="700"/>
      <c r="K84" s="700"/>
    </row>
    <row r="85" spans="2:11" ht="15.75">
      <c r="B85" s="698"/>
      <c r="C85" s="700"/>
      <c r="D85" s="701"/>
      <c r="E85" s="700"/>
      <c r="F85" s="700"/>
      <c r="G85" s="700"/>
      <c r="H85" s="700"/>
      <c r="I85" s="700"/>
      <c r="J85" s="700"/>
      <c r="K85" s="700"/>
    </row>
    <row r="86" spans="2:11" ht="15.75">
      <c r="B86" s="698"/>
      <c r="C86" s="700"/>
      <c r="D86" s="701"/>
      <c r="E86" s="700"/>
      <c r="F86" s="700"/>
      <c r="G86" s="700"/>
      <c r="H86" s="700"/>
      <c r="I86" s="700"/>
      <c r="J86" s="700"/>
      <c r="K86" s="700"/>
    </row>
  </sheetData>
  <mergeCells count="9">
    <mergeCell ref="C50:D50"/>
    <mergeCell ref="I51:K51"/>
    <mergeCell ref="C69:D69"/>
    <mergeCell ref="B1:K1"/>
    <mergeCell ref="B2:K2"/>
    <mergeCell ref="B3:K3"/>
    <mergeCell ref="H9:J9"/>
    <mergeCell ref="C18:D18"/>
    <mergeCell ref="C34:D34"/>
  </mergeCells>
  <pageMargins left="0.7" right="0.7" top="0.75" bottom="0.75" header="0.3" footer="0.3"/>
  <pageSetup scale="59" orientation="portrait" r:id="rId1"/>
  <rowBreaks count="1" manualBreakCount="1">
    <brk id="74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Normal="100" workbookViewId="0">
      <selection activeCell="O2" sqref="O2"/>
    </sheetView>
  </sheetViews>
  <sheetFormatPr defaultRowHeight="15"/>
  <cols>
    <col min="2" max="2" width="2.44140625" customWidth="1"/>
    <col min="3" max="3" width="24.21875" customWidth="1"/>
    <col min="4" max="4" width="15.6640625" customWidth="1"/>
    <col min="5" max="5" width="16.77734375" customWidth="1"/>
    <col min="6" max="6" width="17.109375" customWidth="1"/>
  </cols>
  <sheetData>
    <row r="1" spans="1:8" ht="15.75">
      <c r="A1" s="1173" t="s">
        <v>656</v>
      </c>
      <c r="B1" s="1174"/>
      <c r="C1" s="1174"/>
      <c r="D1" s="1174"/>
      <c r="E1" s="1174"/>
      <c r="F1" s="1174"/>
      <c r="G1" s="1174"/>
      <c r="H1" s="774"/>
    </row>
    <row r="2" spans="1:8">
      <c r="A2" s="1173" t="s">
        <v>657</v>
      </c>
      <c r="B2" s="1174"/>
      <c r="C2" s="1174"/>
      <c r="D2" s="1174"/>
      <c r="E2" s="1174"/>
      <c r="F2" s="1174"/>
      <c r="G2" s="1174"/>
      <c r="H2" s="1080"/>
    </row>
    <row r="3" spans="1:8" ht="15.75">
      <c r="A3" s="1175" t="s">
        <v>658</v>
      </c>
      <c r="B3" s="1174"/>
      <c r="C3" s="1174"/>
      <c r="D3" s="1174"/>
      <c r="E3" s="1174"/>
      <c r="F3" s="1174"/>
      <c r="G3" s="1174"/>
      <c r="H3" s="774"/>
    </row>
    <row r="4" spans="1:8" ht="15.75">
      <c r="A4" s="1175" t="s">
        <v>698</v>
      </c>
      <c r="B4" s="1174"/>
      <c r="C4" s="1174"/>
      <c r="D4" s="1174"/>
      <c r="E4" s="1174"/>
      <c r="F4" s="1174"/>
      <c r="G4" s="1174"/>
      <c r="H4" s="774"/>
    </row>
    <row r="5" spans="1:8" ht="15.75">
      <c r="A5" s="780"/>
      <c r="B5" s="781"/>
      <c r="C5" s="781"/>
      <c r="D5" s="782"/>
      <c r="E5" s="780"/>
      <c r="F5" s="782"/>
      <c r="G5" s="638"/>
      <c r="H5" s="774"/>
    </row>
    <row r="6" spans="1:8">
      <c r="A6" s="779"/>
      <c r="B6" s="1176" t="s">
        <v>1</v>
      </c>
      <c r="C6" s="1176"/>
      <c r="D6" s="783" t="s">
        <v>2</v>
      </c>
      <c r="E6" s="783" t="s">
        <v>3</v>
      </c>
      <c r="F6" s="783" t="s">
        <v>4</v>
      </c>
      <c r="G6" s="783" t="s">
        <v>5</v>
      </c>
      <c r="H6" s="779"/>
    </row>
    <row r="7" spans="1:8" ht="15.75">
      <c r="A7" s="784"/>
      <c r="B7" s="774"/>
      <c r="C7" s="774"/>
      <c r="D7" s="774"/>
      <c r="E7" s="774"/>
      <c r="F7" s="774"/>
      <c r="G7" s="774"/>
      <c r="H7" s="774"/>
    </row>
    <row r="8" spans="1:8" ht="15.75">
      <c r="A8" s="785" t="s">
        <v>38</v>
      </c>
      <c r="B8" s="778"/>
      <c r="C8" s="778"/>
      <c r="D8" s="786" t="s">
        <v>624</v>
      </c>
      <c r="E8" s="786" t="s">
        <v>53</v>
      </c>
      <c r="F8" s="786" t="s">
        <v>54</v>
      </c>
      <c r="G8" s="787" t="s">
        <v>16</v>
      </c>
      <c r="H8" s="774"/>
    </row>
    <row r="9" spans="1:8">
      <c r="A9" s="788">
        <v>1</v>
      </c>
      <c r="B9" s="1177" t="s">
        <v>659</v>
      </c>
      <c r="C9" s="1178"/>
      <c r="D9" s="1023">
        <v>1000</v>
      </c>
      <c r="E9" s="1023">
        <v>1000</v>
      </c>
      <c r="F9" s="1023">
        <v>1000</v>
      </c>
      <c r="G9" s="789"/>
      <c r="H9" s="776" t="s">
        <v>368</v>
      </c>
    </row>
    <row r="10" spans="1:8" ht="15.75">
      <c r="A10" s="788">
        <v>2</v>
      </c>
      <c r="B10" s="1171" t="s">
        <v>660</v>
      </c>
      <c r="C10" s="1172"/>
      <c r="D10" s="1024"/>
      <c r="E10" s="1024"/>
      <c r="F10" s="1024"/>
      <c r="G10" s="790"/>
      <c r="H10" s="774"/>
    </row>
    <row r="11" spans="1:8" ht="15.75">
      <c r="A11" s="788">
        <v>3</v>
      </c>
      <c r="B11" s="1179" t="s">
        <v>624</v>
      </c>
      <c r="C11" s="1180"/>
      <c r="D11" s="1024"/>
      <c r="E11" s="1024"/>
      <c r="F11" s="1025"/>
      <c r="G11" s="790"/>
      <c r="H11" s="774"/>
    </row>
    <row r="12" spans="1:8" ht="15.75">
      <c r="A12" s="788">
        <v>4</v>
      </c>
      <c r="B12" s="1179" t="s">
        <v>53</v>
      </c>
      <c r="C12" s="1180"/>
      <c r="D12" s="1025">
        <f>E23</f>
        <v>44.642920000000011</v>
      </c>
      <c r="E12" s="1024"/>
      <c r="F12" s="1024"/>
      <c r="G12" s="790"/>
      <c r="H12" s="774"/>
    </row>
    <row r="13" spans="1:8" ht="15.75">
      <c r="A13" s="788">
        <v>5</v>
      </c>
      <c r="B13" s="1179" t="s">
        <v>54</v>
      </c>
      <c r="C13" s="1180"/>
      <c r="D13" s="1026">
        <f>F23</f>
        <v>18.161676</v>
      </c>
      <c r="E13" s="1027"/>
      <c r="F13" s="1027"/>
      <c r="G13" s="790"/>
      <c r="H13" s="774"/>
    </row>
    <row r="14" spans="1:8" ht="15.75">
      <c r="A14" s="788">
        <v>6</v>
      </c>
      <c r="B14" s="1181" t="s">
        <v>326</v>
      </c>
      <c r="C14" s="1182"/>
      <c r="D14" s="1025">
        <f>D9-D12-D13</f>
        <v>937.19540400000005</v>
      </c>
      <c r="E14" s="1025">
        <v>1000</v>
      </c>
      <c r="F14" s="1025">
        <v>1000</v>
      </c>
      <c r="G14" s="790"/>
      <c r="H14" s="774"/>
    </row>
    <row r="15" spans="1:8" ht="15.75">
      <c r="A15" s="788">
        <v>7</v>
      </c>
      <c r="B15" s="792"/>
      <c r="C15" s="777"/>
      <c r="D15" s="775"/>
      <c r="E15" s="775"/>
      <c r="F15" s="775"/>
      <c r="G15" s="790"/>
      <c r="H15" s="774"/>
    </row>
    <row r="16" spans="1:8">
      <c r="A16" s="788">
        <v>8</v>
      </c>
      <c r="B16" s="1171" t="s">
        <v>661</v>
      </c>
      <c r="C16" s="1172"/>
      <c r="D16" s="1028">
        <v>1</v>
      </c>
      <c r="E16" s="1029">
        <v>0.45554000000000006</v>
      </c>
      <c r="F16" s="1029">
        <v>0.40092</v>
      </c>
      <c r="G16" s="790"/>
      <c r="H16" s="800" t="s">
        <v>369</v>
      </c>
    </row>
    <row r="17" spans="1:8" ht="15.75">
      <c r="A17" s="788">
        <v>9</v>
      </c>
      <c r="B17" s="792"/>
      <c r="C17" s="777"/>
      <c r="D17" s="793"/>
      <c r="E17" s="793"/>
      <c r="F17" s="793"/>
      <c r="G17" s="790"/>
      <c r="H17" s="774"/>
    </row>
    <row r="18" spans="1:8" ht="15.75">
      <c r="A18" s="788">
        <v>10</v>
      </c>
      <c r="B18" s="1171" t="s">
        <v>662</v>
      </c>
      <c r="C18" s="1172"/>
      <c r="D18" s="791">
        <f>D14</f>
        <v>937.19540400000005</v>
      </c>
      <c r="E18" s="791">
        <f>E14*E16</f>
        <v>455.54000000000008</v>
      </c>
      <c r="F18" s="791">
        <f>F14*F16</f>
        <v>400.92</v>
      </c>
      <c r="G18" s="790"/>
      <c r="H18" s="774"/>
    </row>
    <row r="19" spans="1:8" ht="15.75">
      <c r="A19" s="788">
        <v>11</v>
      </c>
      <c r="B19" s="792"/>
      <c r="C19" s="777"/>
      <c r="D19" s="777"/>
      <c r="E19" s="777"/>
      <c r="F19" s="777"/>
      <c r="G19" s="790"/>
      <c r="H19" s="774"/>
    </row>
    <row r="20" spans="1:8" ht="15.75">
      <c r="A20" s="788">
        <v>12</v>
      </c>
      <c r="B20" s="1171" t="s">
        <v>663</v>
      </c>
      <c r="C20" s="1172"/>
      <c r="D20" s="853">
        <f>'Page 21 - Income Tax Rate Calc'!F10</f>
        <v>0.35000000000000003</v>
      </c>
      <c r="E20" s="853">
        <f>'Page 21 - Income Tax Rate Calc'!F11</f>
        <v>9.8000000000000004E-2</v>
      </c>
      <c r="F20" s="853">
        <f>'Page 21 - Income Tax Rate Calc'!F12</f>
        <v>4.53E-2</v>
      </c>
      <c r="G20" s="790"/>
      <c r="H20" s="774"/>
    </row>
    <row r="21" spans="1:8" ht="15.75">
      <c r="A21" s="788">
        <v>13</v>
      </c>
      <c r="B21" s="792"/>
      <c r="C21" s="777"/>
      <c r="D21" s="793"/>
      <c r="E21" s="793"/>
      <c r="F21" s="793"/>
      <c r="G21" s="790"/>
      <c r="H21" s="774"/>
    </row>
    <row r="22" spans="1:8" ht="15.75">
      <c r="A22" s="788">
        <v>14</v>
      </c>
      <c r="B22" s="792"/>
      <c r="C22" s="777"/>
      <c r="D22" s="777"/>
      <c r="E22" s="777"/>
      <c r="F22" s="777"/>
      <c r="G22" s="790"/>
      <c r="H22" s="774"/>
    </row>
    <row r="23" spans="1:8" ht="15.75">
      <c r="A23" s="788">
        <v>15</v>
      </c>
      <c r="B23" s="1171" t="s">
        <v>664</v>
      </c>
      <c r="C23" s="1172"/>
      <c r="D23" s="791">
        <f>D18*D20</f>
        <v>328.01839140000004</v>
      </c>
      <c r="E23" s="791">
        <f>E18*E20</f>
        <v>44.642920000000011</v>
      </c>
      <c r="F23" s="791">
        <f>F18*F20</f>
        <v>18.161676</v>
      </c>
      <c r="G23" s="790"/>
      <c r="H23" s="774"/>
    </row>
    <row r="24" spans="1:8" ht="15.75">
      <c r="A24" s="788">
        <v>16</v>
      </c>
      <c r="B24" s="792"/>
      <c r="C24" s="777"/>
      <c r="D24" s="777"/>
      <c r="E24" s="777"/>
      <c r="F24" s="777"/>
      <c r="G24" s="790"/>
      <c r="H24" s="774"/>
    </row>
    <row r="25" spans="1:8" ht="16.5" thickBot="1">
      <c r="A25" s="788">
        <v>17</v>
      </c>
      <c r="B25" s="1171" t="s">
        <v>658</v>
      </c>
      <c r="C25" s="1172"/>
      <c r="D25" s="925">
        <f>D23/1000</f>
        <v>0.32801839140000005</v>
      </c>
      <c r="E25" s="794">
        <f>E23/1000</f>
        <v>4.464292000000001E-2</v>
      </c>
      <c r="F25" s="794">
        <f>F23/1000</f>
        <v>1.8161676000000002E-2</v>
      </c>
      <c r="G25" s="926">
        <f>SUM(D25:F25)</f>
        <v>0.3908229874000001</v>
      </c>
      <c r="H25" s="774"/>
    </row>
    <row r="26" spans="1:8" ht="16.5" thickTop="1">
      <c r="A26" s="788">
        <v>18</v>
      </c>
      <c r="B26" s="792"/>
      <c r="C26" s="777"/>
      <c r="D26" s="777"/>
      <c r="E26" s="777"/>
      <c r="F26" s="777"/>
      <c r="G26" s="790"/>
      <c r="H26" s="774"/>
    </row>
    <row r="27" spans="1:8" ht="16.5" thickBot="1">
      <c r="A27" s="788">
        <v>19</v>
      </c>
      <c r="B27" s="1171" t="s">
        <v>665</v>
      </c>
      <c r="C27" s="1172"/>
      <c r="D27" s="795">
        <f>ROUND(D25,3)</f>
        <v>0.32800000000000001</v>
      </c>
      <c r="E27" s="795">
        <f t="shared" ref="E27:F27" si="0">ROUND(E25,3)</f>
        <v>4.4999999999999998E-2</v>
      </c>
      <c r="F27" s="795">
        <f t="shared" si="0"/>
        <v>1.7999999999999999E-2</v>
      </c>
      <c r="G27" s="927">
        <f>SUM(D27:F27)</f>
        <v>0.39100000000000001</v>
      </c>
      <c r="H27" s="774"/>
    </row>
    <row r="28" spans="1:8" ht="15.75" thickTop="1">
      <c r="A28" s="805"/>
      <c r="B28" s="801"/>
      <c r="C28" s="802"/>
      <c r="D28" s="803"/>
      <c r="E28" s="803"/>
      <c r="F28" s="803"/>
      <c r="G28" s="804"/>
    </row>
    <row r="29" spans="1:8">
      <c r="A29" s="796"/>
      <c r="B29" s="797"/>
      <c r="C29" s="797"/>
      <c r="D29" s="806"/>
      <c r="E29" s="806"/>
      <c r="F29" s="806"/>
      <c r="G29" s="806"/>
    </row>
    <row r="30" spans="1:8">
      <c r="A30" s="784"/>
      <c r="B30" s="798" t="s">
        <v>368</v>
      </c>
      <c r="C30" s="775" t="s">
        <v>666</v>
      </c>
      <c r="D30" s="799"/>
      <c r="E30" s="777"/>
      <c r="F30" s="777"/>
      <c r="G30" s="777"/>
    </row>
    <row r="31" spans="1:8">
      <c r="A31" s="784"/>
      <c r="B31" s="798" t="s">
        <v>369</v>
      </c>
      <c r="C31" s="775" t="s">
        <v>667</v>
      </c>
      <c r="D31" s="799"/>
      <c r="E31" s="777"/>
      <c r="F31" s="777"/>
      <c r="G31" s="777"/>
    </row>
  </sheetData>
  <mergeCells count="17">
    <mergeCell ref="B18:C18"/>
    <mergeCell ref="B20:C20"/>
    <mergeCell ref="B23:C23"/>
    <mergeCell ref="B25:C25"/>
    <mergeCell ref="B27:C27"/>
    <mergeCell ref="B16:C16"/>
    <mergeCell ref="A1:G1"/>
    <mergeCell ref="A2:G2"/>
    <mergeCell ref="A3:G3"/>
    <mergeCell ref="A4:G4"/>
    <mergeCell ref="B6:C6"/>
    <mergeCell ref="B9:C9"/>
    <mergeCell ref="B10:C10"/>
    <mergeCell ref="B11:C11"/>
    <mergeCell ref="B12:C12"/>
    <mergeCell ref="B13:C13"/>
    <mergeCell ref="B14:C14"/>
  </mergeCells>
  <pageMargins left="0.7" right="0.7" top="0.75" bottom="0.75" header="0.3" footer="0.3"/>
  <pageSetup scale="80" orientation="portrait" r:id="rId1"/>
  <colBreaks count="1" manualBreakCount="1">
    <brk id="7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4"/>
  <sheetViews>
    <sheetView showGridLines="0" zoomScaleNormal="100" workbookViewId="0">
      <selection activeCell="O2" sqref="O2"/>
    </sheetView>
  </sheetViews>
  <sheetFormatPr defaultRowHeight="12.75"/>
  <cols>
    <col min="1" max="1" width="3.6640625" style="172" customWidth="1"/>
    <col min="2" max="2" width="20.33203125" style="173" customWidth="1"/>
    <col min="3" max="3" width="14" style="173" customWidth="1"/>
    <col min="4" max="4" width="14.109375" style="173" customWidth="1"/>
    <col min="5" max="5" width="13.33203125" style="173" customWidth="1"/>
    <col min="6" max="6" width="12.77734375" style="173" customWidth="1"/>
    <col min="7" max="7" width="17.44140625" style="173" customWidth="1"/>
    <col min="8" max="8" width="12.77734375" style="173" customWidth="1"/>
    <col min="9" max="9" width="11.33203125" style="322" customWidth="1"/>
    <col min="10" max="13" width="8.88671875" style="322"/>
    <col min="14" max="14" width="12.33203125" style="322" bestFit="1" customWidth="1"/>
    <col min="15" max="16" width="10.77734375" style="322" bestFit="1" customWidth="1"/>
    <col min="17" max="17" width="9.5546875" style="322" bestFit="1" customWidth="1"/>
    <col min="18" max="16384" width="8.88671875" style="322"/>
  </cols>
  <sheetData>
    <row r="1" spans="1:24">
      <c r="I1" s="638"/>
    </row>
    <row r="3" spans="1:24">
      <c r="H3" s="1080"/>
      <c r="I3" s="414"/>
      <c r="J3" s="414"/>
    </row>
    <row r="4" spans="1:24">
      <c r="A4" s="1085" t="s">
        <v>0</v>
      </c>
      <c r="B4" s="1085"/>
      <c r="C4" s="1085"/>
      <c r="D4" s="1085"/>
      <c r="E4" s="1085"/>
      <c r="F4" s="1085"/>
      <c r="G4" s="1085"/>
      <c r="H4" s="1085"/>
      <c r="I4" s="414"/>
      <c r="J4" s="414"/>
      <c r="K4" s="414"/>
      <c r="L4" s="414"/>
    </row>
    <row r="5" spans="1:24">
      <c r="A5" s="1085" t="s">
        <v>475</v>
      </c>
      <c r="B5" s="1085"/>
      <c r="C5" s="1085"/>
      <c r="D5" s="1085"/>
      <c r="E5" s="1085"/>
      <c r="F5" s="1085"/>
      <c r="G5" s="1085"/>
      <c r="H5" s="1085"/>
      <c r="I5" s="638"/>
    </row>
    <row r="6" spans="1:24">
      <c r="A6" s="1085" t="s">
        <v>576</v>
      </c>
      <c r="B6" s="1085"/>
      <c r="C6" s="1085"/>
      <c r="D6" s="1085"/>
      <c r="E6" s="1085"/>
      <c r="F6" s="1085"/>
      <c r="G6" s="1085"/>
      <c r="H6" s="1085"/>
    </row>
    <row r="8" spans="1:24">
      <c r="B8" s="172" t="s">
        <v>1</v>
      </c>
      <c r="C8" s="172" t="s">
        <v>2</v>
      </c>
      <c r="D8" s="172" t="s">
        <v>4</v>
      </c>
      <c r="E8" s="570" t="s">
        <v>5</v>
      </c>
      <c r="F8" s="392"/>
      <c r="G8" s="172" t="s">
        <v>3</v>
      </c>
      <c r="H8" s="392" t="s">
        <v>7</v>
      </c>
    </row>
    <row r="9" spans="1:24">
      <c r="L9" s="677"/>
      <c r="M9" s="677"/>
      <c r="N9" s="677"/>
      <c r="O9" s="677"/>
      <c r="P9" s="677"/>
      <c r="Q9" s="677"/>
      <c r="R9" s="677"/>
      <c r="S9" s="677"/>
      <c r="T9" s="677"/>
      <c r="U9" s="677"/>
      <c r="V9" s="677"/>
      <c r="W9" s="677"/>
      <c r="X9" s="677"/>
    </row>
    <row r="10" spans="1:24" ht="38.25">
      <c r="A10" s="174"/>
      <c r="B10" s="200"/>
      <c r="C10" s="175" t="s">
        <v>354</v>
      </c>
      <c r="D10" s="175" t="s">
        <v>355</v>
      </c>
      <c r="E10" s="175" t="s">
        <v>482</v>
      </c>
      <c r="F10" s="857" t="s">
        <v>682</v>
      </c>
      <c r="G10" s="175" t="s">
        <v>354</v>
      </c>
      <c r="H10" s="608" t="s">
        <v>530</v>
      </c>
      <c r="I10" s="176"/>
    </row>
    <row r="11" spans="1:24">
      <c r="A11" s="177" t="s">
        <v>8</v>
      </c>
      <c r="B11" s="178"/>
      <c r="C11" s="629" t="s">
        <v>548</v>
      </c>
      <c r="D11" s="629" t="s">
        <v>542</v>
      </c>
      <c r="E11" s="390" t="s">
        <v>473</v>
      </c>
      <c r="F11" s="689" t="s">
        <v>700</v>
      </c>
      <c r="G11" s="629" t="s">
        <v>549</v>
      </c>
      <c r="H11" s="609" t="s">
        <v>531</v>
      </c>
      <c r="I11" s="180"/>
    </row>
    <row r="12" spans="1:24">
      <c r="A12" s="181" t="s">
        <v>10</v>
      </c>
      <c r="B12" s="201" t="s">
        <v>47</v>
      </c>
      <c r="C12" s="389" t="s">
        <v>470</v>
      </c>
      <c r="D12" s="389" t="s">
        <v>471</v>
      </c>
      <c r="E12" s="391" t="s">
        <v>474</v>
      </c>
      <c r="F12" s="613" t="s">
        <v>699</v>
      </c>
      <c r="G12" s="569" t="s">
        <v>547</v>
      </c>
      <c r="H12" s="613" t="s">
        <v>535</v>
      </c>
      <c r="I12" s="183" t="s">
        <v>16</v>
      </c>
    </row>
    <row r="13" spans="1:24">
      <c r="A13" s="174">
        <v>1</v>
      </c>
      <c r="B13" s="546" t="str">
        <f>"December "&amp;Info!B2</f>
        <v>December 2014</v>
      </c>
      <c r="C13" s="373">
        <v>16331201</v>
      </c>
      <c r="D13" s="1030">
        <f>'Page 3 - CWIP'!E13+36952595</f>
        <v>77872209</v>
      </c>
      <c r="E13" s="656">
        <v>394399</v>
      </c>
      <c r="F13" s="656">
        <v>793200</v>
      </c>
      <c r="G13" s="1030">
        <v>7039948</v>
      </c>
      <c r="H13" s="964">
        <v>6048442</v>
      </c>
      <c r="I13" s="404">
        <f t="shared" ref="I13:I25" si="0">+SUM(C13:H13)</f>
        <v>108479399</v>
      </c>
      <c r="K13" s="394"/>
      <c r="L13" s="394"/>
      <c r="M13" s="394"/>
      <c r="N13" s="373"/>
      <c r="Q13" s="697"/>
    </row>
    <row r="14" spans="1:24">
      <c r="A14" s="177">
        <f>+A13+1</f>
        <v>2</v>
      </c>
      <c r="B14" s="676" t="str">
        <f>"January "&amp;Info!B3</f>
        <v>January 2015</v>
      </c>
      <c r="C14" s="373">
        <v>16331201</v>
      </c>
      <c r="D14" s="1030">
        <f>'Page 3 - CWIP'!E14+36952595</f>
        <v>78623805</v>
      </c>
      <c r="E14" s="656">
        <f>E13</f>
        <v>394399</v>
      </c>
      <c r="F14" s="656">
        <v>793200</v>
      </c>
      <c r="G14" s="1030">
        <v>7039948</v>
      </c>
      <c r="H14" s="964">
        <v>6048442</v>
      </c>
      <c r="I14" s="404">
        <f t="shared" si="0"/>
        <v>109230995</v>
      </c>
      <c r="K14" s="394"/>
      <c r="L14" s="394"/>
      <c r="M14" s="394"/>
      <c r="N14" s="373"/>
      <c r="Q14" s="697"/>
    </row>
    <row r="15" spans="1:24">
      <c r="A15" s="177">
        <f>+A14+1</f>
        <v>3</v>
      </c>
      <c r="B15" s="187" t="s">
        <v>17</v>
      </c>
      <c r="C15" s="373">
        <v>16331201</v>
      </c>
      <c r="D15" s="1030">
        <f>'Page 3 - CWIP'!E15+36952595</f>
        <v>78948849</v>
      </c>
      <c r="E15" s="656">
        <f t="shared" ref="E15:E25" si="1">E14</f>
        <v>394399</v>
      </c>
      <c r="F15" s="656">
        <v>793200</v>
      </c>
      <c r="G15" s="1030">
        <v>7039948</v>
      </c>
      <c r="H15" s="964">
        <v>6048442</v>
      </c>
      <c r="I15" s="404">
        <f t="shared" si="0"/>
        <v>109556039</v>
      </c>
      <c r="K15" s="394"/>
      <c r="L15" s="394"/>
      <c r="M15" s="394"/>
      <c r="N15" s="373"/>
      <c r="Q15" s="697"/>
    </row>
    <row r="16" spans="1:24">
      <c r="A16" s="177">
        <f>+A15+1</f>
        <v>4</v>
      </c>
      <c r="B16" s="187" t="s">
        <v>18</v>
      </c>
      <c r="C16" s="373">
        <v>16331201</v>
      </c>
      <c r="D16" s="1030">
        <f>'Page 3 - CWIP'!E16+36952595</f>
        <v>79327042</v>
      </c>
      <c r="E16" s="656">
        <f t="shared" si="1"/>
        <v>394399</v>
      </c>
      <c r="F16" s="656">
        <v>793200</v>
      </c>
      <c r="G16" s="1030">
        <v>7039948</v>
      </c>
      <c r="H16" s="964">
        <v>6048442</v>
      </c>
      <c r="I16" s="404">
        <f t="shared" si="0"/>
        <v>109934232</v>
      </c>
      <c r="K16" s="394"/>
      <c r="L16" s="394"/>
      <c r="M16" s="394"/>
      <c r="N16" s="373"/>
      <c r="Q16" s="697"/>
    </row>
    <row r="17" spans="1:17">
      <c r="A17" s="177">
        <f>+A16+1</f>
        <v>5</v>
      </c>
      <c r="B17" s="187" t="s">
        <v>19</v>
      </c>
      <c r="C17" s="373">
        <v>16331201</v>
      </c>
      <c r="D17" s="1030">
        <f>'Page 3 - CWIP'!E17+36952595</f>
        <v>79651994</v>
      </c>
      <c r="E17" s="656">
        <f t="shared" si="1"/>
        <v>394399</v>
      </c>
      <c r="F17" s="656">
        <v>793200</v>
      </c>
      <c r="G17" s="1030">
        <v>7039948</v>
      </c>
      <c r="H17" s="964">
        <v>6048442</v>
      </c>
      <c r="I17" s="404">
        <f t="shared" si="0"/>
        <v>110259184</v>
      </c>
      <c r="K17" s="394"/>
      <c r="L17" s="394"/>
      <c r="M17" s="394"/>
      <c r="N17" s="373"/>
      <c r="Q17" s="697"/>
    </row>
    <row r="18" spans="1:17">
      <c r="A18" s="177">
        <f>+A17+1</f>
        <v>6</v>
      </c>
      <c r="B18" s="187" t="s">
        <v>20</v>
      </c>
      <c r="C18" s="373">
        <v>16331201</v>
      </c>
      <c r="D18" s="1030">
        <f>'Page 3 - CWIP'!E18+80289505</f>
        <v>80289505</v>
      </c>
      <c r="E18" s="656">
        <f t="shared" si="1"/>
        <v>394399</v>
      </c>
      <c r="F18" s="656">
        <v>793200</v>
      </c>
      <c r="G18" s="1030">
        <v>7039948</v>
      </c>
      <c r="H18" s="964">
        <v>6048442</v>
      </c>
      <c r="I18" s="404">
        <f t="shared" si="0"/>
        <v>110896695</v>
      </c>
      <c r="K18" s="394"/>
      <c r="L18" s="394"/>
      <c r="M18" s="394"/>
      <c r="N18" s="373"/>
      <c r="Q18" s="697"/>
    </row>
    <row r="19" spans="1:17">
      <c r="A19" s="177">
        <f t="shared" ref="A19:A27" si="2">+A18+1</f>
        <v>7</v>
      </c>
      <c r="B19" s="187" t="s">
        <v>21</v>
      </c>
      <c r="C19" s="373">
        <v>16331201</v>
      </c>
      <c r="D19" s="1030">
        <f>'Page 3 - CWIP'!E19+80463071</f>
        <v>80463071</v>
      </c>
      <c r="E19" s="656">
        <f t="shared" si="1"/>
        <v>394399</v>
      </c>
      <c r="F19" s="656">
        <v>793200</v>
      </c>
      <c r="G19" s="1030">
        <v>7039948</v>
      </c>
      <c r="H19" s="964">
        <v>6048442</v>
      </c>
      <c r="I19" s="404">
        <f t="shared" si="0"/>
        <v>111070261</v>
      </c>
      <c r="K19" s="394"/>
      <c r="L19" s="394"/>
      <c r="M19" s="394"/>
      <c r="N19" s="373"/>
      <c r="O19" s="373"/>
      <c r="Q19" s="697"/>
    </row>
    <row r="20" spans="1:17">
      <c r="A20" s="177">
        <f t="shared" si="2"/>
        <v>8</v>
      </c>
      <c r="B20" s="187" t="s">
        <v>22</v>
      </c>
      <c r="C20" s="373">
        <v>16331201</v>
      </c>
      <c r="D20" s="1030">
        <f>'Page 3 - CWIP'!E20+80692203</f>
        <v>80692203</v>
      </c>
      <c r="E20" s="656">
        <f t="shared" si="1"/>
        <v>394399</v>
      </c>
      <c r="F20" s="656">
        <v>793200</v>
      </c>
      <c r="G20" s="1030">
        <v>7039948</v>
      </c>
      <c r="H20" s="964">
        <v>6048442</v>
      </c>
      <c r="I20" s="404">
        <f t="shared" si="0"/>
        <v>111299393</v>
      </c>
      <c r="K20" s="394"/>
      <c r="L20" s="394"/>
      <c r="M20" s="394"/>
      <c r="N20" s="373"/>
      <c r="O20" s="373"/>
      <c r="Q20" s="697"/>
    </row>
    <row r="21" spans="1:17">
      <c r="A21" s="177">
        <f t="shared" si="2"/>
        <v>9</v>
      </c>
      <c r="B21" s="187" t="s">
        <v>23</v>
      </c>
      <c r="C21" s="373">
        <v>16331201</v>
      </c>
      <c r="D21" s="1030">
        <f>'Page 3 - CWIP'!E21+80842411</f>
        <v>80842411</v>
      </c>
      <c r="E21" s="656">
        <f t="shared" si="1"/>
        <v>394399</v>
      </c>
      <c r="F21" s="656">
        <v>793200</v>
      </c>
      <c r="G21" s="1030">
        <v>7039948</v>
      </c>
      <c r="H21" s="964">
        <v>6048442</v>
      </c>
      <c r="I21" s="404">
        <f t="shared" si="0"/>
        <v>111449601</v>
      </c>
      <c r="K21" s="394"/>
      <c r="L21" s="394"/>
      <c r="M21" s="394"/>
      <c r="N21" s="373"/>
      <c r="O21" s="373"/>
      <c r="Q21" s="697"/>
    </row>
    <row r="22" spans="1:17">
      <c r="A22" s="177">
        <f t="shared" si="2"/>
        <v>10</v>
      </c>
      <c r="B22" s="187" t="s">
        <v>24</v>
      </c>
      <c r="C22" s="373">
        <v>16331201</v>
      </c>
      <c r="D22" s="1030">
        <f>'Page 3 - CWIP'!E22+80911639</f>
        <v>80911639</v>
      </c>
      <c r="E22" s="656">
        <f t="shared" si="1"/>
        <v>394399</v>
      </c>
      <c r="F22" s="656">
        <v>793200</v>
      </c>
      <c r="G22" s="1030">
        <v>7039948</v>
      </c>
      <c r="H22" s="964">
        <v>6048442</v>
      </c>
      <c r="I22" s="404">
        <f t="shared" si="0"/>
        <v>111518829</v>
      </c>
      <c r="K22" s="394"/>
      <c r="L22" s="394"/>
      <c r="M22" s="394"/>
      <c r="N22" s="373"/>
      <c r="O22" s="373"/>
      <c r="Q22" s="697"/>
    </row>
    <row r="23" spans="1:17">
      <c r="A23" s="177">
        <f t="shared" si="2"/>
        <v>11</v>
      </c>
      <c r="B23" s="187" t="s">
        <v>25</v>
      </c>
      <c r="C23" s="373">
        <v>16331201</v>
      </c>
      <c r="D23" s="1030">
        <f>'Page 3 - CWIP'!E23+80960850</f>
        <v>80960850</v>
      </c>
      <c r="E23" s="656">
        <f t="shared" si="1"/>
        <v>394399</v>
      </c>
      <c r="F23" s="656">
        <v>793200</v>
      </c>
      <c r="G23" s="1030">
        <v>7039948</v>
      </c>
      <c r="H23" s="964">
        <v>6048442</v>
      </c>
      <c r="I23" s="404">
        <f t="shared" si="0"/>
        <v>111568040</v>
      </c>
      <c r="K23" s="394"/>
      <c r="L23" s="394"/>
      <c r="M23" s="394"/>
      <c r="N23" s="373"/>
      <c r="O23" s="373"/>
      <c r="Q23" s="697"/>
    </row>
    <row r="24" spans="1:17">
      <c r="A24" s="177">
        <f t="shared" si="2"/>
        <v>12</v>
      </c>
      <c r="B24" s="187" t="s">
        <v>26</v>
      </c>
      <c r="C24" s="373">
        <v>16331201</v>
      </c>
      <c r="D24" s="1030">
        <f>'Page 3 - CWIP'!E24+80999479</f>
        <v>80999479</v>
      </c>
      <c r="E24" s="656">
        <f t="shared" si="1"/>
        <v>394399</v>
      </c>
      <c r="F24" s="656">
        <v>793200</v>
      </c>
      <c r="G24" s="1030">
        <v>7039948</v>
      </c>
      <c r="H24" s="964">
        <v>6048442</v>
      </c>
      <c r="I24" s="404">
        <f t="shared" si="0"/>
        <v>111606669</v>
      </c>
      <c r="K24" s="394"/>
      <c r="L24" s="394"/>
      <c r="M24" s="394"/>
      <c r="N24" s="373"/>
      <c r="O24" s="373"/>
      <c r="P24" s="373"/>
      <c r="Q24" s="697"/>
    </row>
    <row r="25" spans="1:17">
      <c r="A25" s="177">
        <f t="shared" si="2"/>
        <v>13</v>
      </c>
      <c r="B25" s="187" t="s">
        <v>27</v>
      </c>
      <c r="C25" s="373">
        <v>16331201</v>
      </c>
      <c r="D25" s="1030">
        <f>'Page 3 - CWIP'!E25+80999479</f>
        <v>80999479</v>
      </c>
      <c r="E25" s="656">
        <f t="shared" si="1"/>
        <v>394399</v>
      </c>
      <c r="F25" s="656">
        <v>793200</v>
      </c>
      <c r="G25" s="1030">
        <v>7039948</v>
      </c>
      <c r="H25" s="964">
        <v>6048442</v>
      </c>
      <c r="I25" s="404">
        <f t="shared" si="0"/>
        <v>111606669</v>
      </c>
      <c r="K25" s="394"/>
      <c r="L25" s="394"/>
      <c r="M25" s="394"/>
      <c r="N25" s="373"/>
      <c r="O25" s="373"/>
      <c r="P25" s="373"/>
      <c r="Q25" s="697"/>
    </row>
    <row r="26" spans="1:17">
      <c r="A26" s="177">
        <f t="shared" si="2"/>
        <v>14</v>
      </c>
      <c r="B26" s="187"/>
      <c r="C26" s="406"/>
      <c r="D26" s="406"/>
      <c r="E26" s="406"/>
      <c r="F26" s="405"/>
      <c r="G26" s="634"/>
      <c r="H26" s="406"/>
      <c r="I26" s="404"/>
    </row>
    <row r="27" spans="1:17">
      <c r="A27" s="177">
        <f t="shared" si="2"/>
        <v>15</v>
      </c>
      <c r="B27" s="188" t="s">
        <v>28</v>
      </c>
      <c r="C27" s="407">
        <f t="shared" ref="C27:H27" si="3">+AVERAGE(C13:C25)</f>
        <v>16331201</v>
      </c>
      <c r="D27" s="407">
        <f>+AVERAGE(D13:D25)</f>
        <v>80044810.461538464</v>
      </c>
      <c r="E27" s="407">
        <f>+AVERAGE(E13:E25)</f>
        <v>394399</v>
      </c>
      <c r="F27" s="407">
        <f>+AVERAGE(F13:F25)</f>
        <v>793200</v>
      </c>
      <c r="G27" s="407">
        <f t="shared" si="3"/>
        <v>7039948</v>
      </c>
      <c r="H27" s="407">
        <f t="shared" si="3"/>
        <v>6048442</v>
      </c>
      <c r="I27" s="610">
        <f>+SUM(C27:H27)</f>
        <v>110652000.46153846</v>
      </c>
      <c r="J27" s="1031">
        <f>AVERAGE(I13:I25)-I27</f>
        <v>0</v>
      </c>
      <c r="K27" s="1032" t="s">
        <v>536</v>
      </c>
    </row>
    <row r="28" spans="1:17">
      <c r="A28" s="189"/>
      <c r="B28" s="202"/>
      <c r="C28" s="621" t="s">
        <v>368</v>
      </c>
      <c r="D28" s="621" t="s">
        <v>368</v>
      </c>
      <c r="E28" s="623" t="s">
        <v>368</v>
      </c>
      <c r="F28" s="621" t="s">
        <v>368</v>
      </c>
      <c r="G28" s="621" t="s">
        <v>368</v>
      </c>
      <c r="H28" s="621" t="s">
        <v>368</v>
      </c>
      <c r="I28" s="191"/>
    </row>
    <row r="29" spans="1:17">
      <c r="C29" s="413"/>
    </row>
    <row r="30" spans="1:17">
      <c r="B30" s="630" t="s">
        <v>544</v>
      </c>
      <c r="C30" s="545"/>
      <c r="G30" s="545"/>
      <c r="H30" s="545"/>
    </row>
    <row r="31" spans="1:17">
      <c r="B31" s="630"/>
      <c r="H31" s="394"/>
    </row>
    <row r="32" spans="1:17">
      <c r="B32" s="630"/>
      <c r="H32" s="545"/>
    </row>
    <row r="33" spans="1:31">
      <c r="B33" s="630"/>
    </row>
    <row r="34" spans="1:31">
      <c r="A34" s="1085" t="s">
        <v>0</v>
      </c>
      <c r="B34" s="1085"/>
      <c r="C34" s="1085"/>
      <c r="D34" s="1085"/>
      <c r="E34" s="1085"/>
      <c r="F34" s="1085"/>
      <c r="G34" s="1085"/>
      <c r="H34" s="1085"/>
    </row>
    <row r="35" spans="1:31">
      <c r="A35" s="1085" t="s">
        <v>477</v>
      </c>
      <c r="B35" s="1085"/>
      <c r="C35" s="1085"/>
      <c r="D35" s="1085"/>
      <c r="E35" s="1085"/>
      <c r="F35" s="1085"/>
      <c r="G35" s="1085"/>
      <c r="H35" s="1085"/>
    </row>
    <row r="36" spans="1:31">
      <c r="A36" s="1085" t="str">
        <f>A6</f>
        <v>For the 13 Months Ended December 31, 2014</v>
      </c>
      <c r="B36" s="1085"/>
      <c r="C36" s="1085"/>
      <c r="D36" s="1085"/>
      <c r="E36" s="1085"/>
      <c r="F36" s="1085"/>
      <c r="G36" s="1085"/>
      <c r="H36" s="1085"/>
    </row>
    <row r="38" spans="1:31">
      <c r="B38" s="172" t="s">
        <v>1</v>
      </c>
      <c r="C38" s="172" t="s">
        <v>2</v>
      </c>
      <c r="D38" s="172" t="s">
        <v>4</v>
      </c>
      <c r="E38" s="570" t="s">
        <v>5</v>
      </c>
      <c r="F38" s="392"/>
      <c r="G38" s="172" t="s">
        <v>3</v>
      </c>
      <c r="H38" s="392" t="s">
        <v>7</v>
      </c>
    </row>
    <row r="40" spans="1:31" ht="38.25">
      <c r="A40" s="174"/>
      <c r="B40" s="402" t="s">
        <v>480</v>
      </c>
      <c r="C40" s="175" t="str">
        <f t="shared" ref="C40:G42" si="4">C10</f>
        <v>CAPX 2020 Bemidji</v>
      </c>
      <c r="D40" s="175" t="str">
        <f t="shared" ref="D40:F42" si="5">D10</f>
        <v>CAPX 2020 Fargo</v>
      </c>
      <c r="E40" s="175" t="str">
        <f t="shared" si="5"/>
        <v>Rugby - G380</v>
      </c>
      <c r="F40" s="612" t="str">
        <f t="shared" si="5"/>
        <v>G645 Spiritwood</v>
      </c>
      <c r="G40" s="175" t="str">
        <f t="shared" si="4"/>
        <v>CAPX 2020 Bemidji</v>
      </c>
      <c r="H40" s="612" t="str">
        <f t="shared" ref="H40" si="6">H10</f>
        <v>Casselton-Buffalo 115kv Line</v>
      </c>
      <c r="I40" s="176"/>
    </row>
    <row r="41" spans="1:31">
      <c r="A41" s="177" t="s">
        <v>8</v>
      </c>
      <c r="B41" s="401" t="s">
        <v>481</v>
      </c>
      <c r="C41" s="179" t="str">
        <f t="shared" si="4"/>
        <v>Project 103487</v>
      </c>
      <c r="D41" s="179" t="str">
        <f t="shared" si="5"/>
        <v>Project (See Below)</v>
      </c>
      <c r="E41" s="179" t="str">
        <f t="shared" si="5"/>
        <v>Project (103897)</v>
      </c>
      <c r="F41" s="179" t="str">
        <f t="shared" si="5"/>
        <v>Project (5008)</v>
      </c>
      <c r="G41" s="179" t="str">
        <f t="shared" si="4"/>
        <v>Project 104395 &amp; 104587</v>
      </c>
      <c r="H41" s="179" t="str">
        <f t="shared" ref="H41" si="7">H11</f>
        <v>Project (104761)</v>
      </c>
      <c r="I41" s="180"/>
    </row>
    <row r="42" spans="1:31">
      <c r="A42" s="181" t="s">
        <v>10</v>
      </c>
      <c r="B42" s="201" t="s">
        <v>47</v>
      </c>
      <c r="C42" s="417" t="str">
        <f t="shared" si="4"/>
        <v>MTEP No. 279</v>
      </c>
      <c r="D42" s="417" t="str">
        <f t="shared" si="5"/>
        <v>MTEP No. 286</v>
      </c>
      <c r="E42" s="417" t="str">
        <f t="shared" si="5"/>
        <v>MTEP No. 1462</v>
      </c>
      <c r="F42" s="417" t="str">
        <f t="shared" si="5"/>
        <v>MTEP No. 2750</v>
      </c>
      <c r="G42" s="417" t="str">
        <f t="shared" si="4"/>
        <v>MTEP No. 3156</v>
      </c>
      <c r="H42" s="417" t="str">
        <f>H12</f>
        <v>MTEP No. 3481</v>
      </c>
      <c r="I42" s="183" t="s">
        <v>16</v>
      </c>
    </row>
    <row r="43" spans="1:31" ht="15">
      <c r="A43" s="174">
        <v>1</v>
      </c>
      <c r="B43" s="546" t="str">
        <f>B13</f>
        <v>December 2014</v>
      </c>
      <c r="C43" s="1030">
        <v>729659</v>
      </c>
      <c r="D43" s="1030">
        <v>1001428.673130873</v>
      </c>
      <c r="E43" s="655">
        <v>20994</v>
      </c>
      <c r="F43" s="1030">
        <v>0</v>
      </c>
      <c r="G43" s="1030">
        <v>257050.72274061391</v>
      </c>
      <c r="H43" s="373">
        <v>98947.0513165499</v>
      </c>
      <c r="I43" s="381">
        <f t="shared" ref="I43:I55" si="8">+SUM(C43:H43)</f>
        <v>2108079.447188037</v>
      </c>
      <c r="J43" s="947"/>
      <c r="K43" s="1033"/>
      <c r="L43" s="637"/>
      <c r="M43" s="637"/>
      <c r="N43" s="637"/>
      <c r="O43" s="637"/>
      <c r="P43" s="637"/>
      <c r="Q43" s="637"/>
      <c r="R43" s="637"/>
      <c r="S43" s="637"/>
      <c r="T43" s="637"/>
      <c r="U43" s="637"/>
      <c r="V43" s="637"/>
      <c r="W43" s="637"/>
      <c r="AE43" s="678"/>
    </row>
    <row r="44" spans="1:31">
      <c r="A44" s="177">
        <f>+A43+1</f>
        <v>2</v>
      </c>
      <c r="B44" s="547" t="str">
        <f>B14</f>
        <v>January 2015</v>
      </c>
      <c r="C44" s="1030">
        <v>754082</v>
      </c>
      <c r="D44" s="1030">
        <v>1068734.5445223439</v>
      </c>
      <c r="E44" s="656">
        <v>21496</v>
      </c>
      <c r="F44" s="1030">
        <v>1009.48</v>
      </c>
      <c r="G44" s="1030">
        <v>266152.58383532637</v>
      </c>
      <c r="H44" s="964">
        <v>107192.63892626201</v>
      </c>
      <c r="I44" s="381">
        <f t="shared" si="8"/>
        <v>2218667.2472839323</v>
      </c>
      <c r="J44" s="947"/>
      <c r="K44" s="947"/>
      <c r="M44" s="908"/>
      <c r="N44" s="908"/>
      <c r="O44" s="908"/>
      <c r="P44" s="908"/>
      <c r="Q44" s="908"/>
      <c r="R44" s="908"/>
      <c r="S44" s="908"/>
      <c r="T44" s="908"/>
      <c r="U44" s="908"/>
      <c r="V44" s="908"/>
      <c r="W44" s="908"/>
      <c r="X44" s="908"/>
      <c r="Y44" s="908"/>
      <c r="Z44" s="907"/>
    </row>
    <row r="45" spans="1:31">
      <c r="A45" s="177">
        <f>+A44+1</f>
        <v>3</v>
      </c>
      <c r="B45" s="187" t="s">
        <v>17</v>
      </c>
      <c r="C45" s="1030">
        <v>778504</v>
      </c>
      <c r="D45" s="1030">
        <v>1136040.415913814</v>
      </c>
      <c r="E45" s="656">
        <v>21997</v>
      </c>
      <c r="F45" s="1030">
        <v>2018.96</v>
      </c>
      <c r="G45" s="1030">
        <v>275254.44493003789</v>
      </c>
      <c r="H45" s="964">
        <v>115438.226535974</v>
      </c>
      <c r="I45" s="381">
        <f t="shared" si="8"/>
        <v>2329253.0473798257</v>
      </c>
      <c r="J45" s="947"/>
      <c r="K45" s="947"/>
    </row>
    <row r="46" spans="1:31" ht="15">
      <c r="A46" s="177">
        <f>+A45+1</f>
        <v>4</v>
      </c>
      <c r="B46" s="187" t="s">
        <v>18</v>
      </c>
      <c r="C46" s="1030">
        <v>802927</v>
      </c>
      <c r="D46" s="1030">
        <v>1203346.2873052841</v>
      </c>
      <c r="E46" s="656">
        <v>22499</v>
      </c>
      <c r="F46" s="1030">
        <v>3028.44</v>
      </c>
      <c r="G46" s="1030">
        <v>284356.30602474941</v>
      </c>
      <c r="H46" s="964">
        <v>123683.81414568701</v>
      </c>
      <c r="I46" s="381">
        <f t="shared" si="8"/>
        <v>2439840.8474757206</v>
      </c>
      <c r="J46" s="947"/>
      <c r="K46" s="1034"/>
      <c r="L46" s="635"/>
      <c r="M46" s="635"/>
      <c r="N46" s="635"/>
      <c r="O46" s="635"/>
      <c r="P46" s="635"/>
      <c r="Q46" s="635"/>
      <c r="R46" s="635"/>
      <c r="S46" s="635"/>
      <c r="T46" s="635"/>
      <c r="U46" s="635"/>
      <c r="V46" s="635"/>
      <c r="W46" s="635"/>
    </row>
    <row r="47" spans="1:31">
      <c r="A47" s="177">
        <f>+A46+1</f>
        <v>5</v>
      </c>
      <c r="B47" s="187" t="s">
        <v>19</v>
      </c>
      <c r="C47" s="1030">
        <v>827349</v>
      </c>
      <c r="D47" s="1030">
        <v>1270652.1586967539</v>
      </c>
      <c r="E47" s="656">
        <v>23001</v>
      </c>
      <c r="F47" s="1030">
        <v>4037.92</v>
      </c>
      <c r="G47" s="1030">
        <v>293458.16711946088</v>
      </c>
      <c r="H47" s="964">
        <v>131929.4017554</v>
      </c>
      <c r="I47" s="381">
        <f t="shared" si="8"/>
        <v>2550427.6475716149</v>
      </c>
      <c r="J47" s="947"/>
      <c r="K47" s="947"/>
      <c r="L47" s="683"/>
      <c r="M47" s="683"/>
      <c r="N47" s="683"/>
      <c r="O47" s="683"/>
      <c r="P47" s="683"/>
      <c r="Q47" s="683"/>
      <c r="R47" s="683"/>
      <c r="S47" s="683"/>
      <c r="T47" s="683"/>
      <c r="U47" s="683"/>
      <c r="V47" s="683"/>
      <c r="W47" s="683"/>
    </row>
    <row r="48" spans="1:31">
      <c r="A48" s="177">
        <f>+A47+1</f>
        <v>6</v>
      </c>
      <c r="B48" s="187" t="s">
        <v>20</v>
      </c>
      <c r="C48" s="1030">
        <v>851772</v>
      </c>
      <c r="D48" s="1030">
        <v>1337958.0300882242</v>
      </c>
      <c r="E48" s="656">
        <v>23503</v>
      </c>
      <c r="F48" s="1030">
        <v>5047.3999999999996</v>
      </c>
      <c r="G48" s="1030">
        <v>302560.0282141724</v>
      </c>
      <c r="H48" s="964">
        <v>140174.98936511201</v>
      </c>
      <c r="I48" s="381">
        <f t="shared" si="8"/>
        <v>2661015.4476675089</v>
      </c>
      <c r="J48" s="947"/>
      <c r="K48" s="947"/>
      <c r="L48" s="682"/>
      <c r="M48" s="682"/>
      <c r="N48" s="682"/>
      <c r="O48" s="682"/>
      <c r="P48" s="682"/>
      <c r="Q48" s="682"/>
      <c r="R48" s="682"/>
      <c r="S48" s="682"/>
      <c r="T48" s="682"/>
      <c r="U48" s="682"/>
      <c r="V48" s="682"/>
      <c r="W48" s="682"/>
      <c r="X48" s="682"/>
      <c r="Y48" s="682"/>
    </row>
    <row r="49" spans="1:26" ht="15">
      <c r="A49" s="177">
        <f t="shared" ref="A49:A57" si="9">+A48+1</f>
        <v>7</v>
      </c>
      <c r="B49" s="187" t="s">
        <v>21</v>
      </c>
      <c r="C49" s="1030">
        <v>876194</v>
      </c>
      <c r="D49" s="1030">
        <v>1467994.0781980688</v>
      </c>
      <c r="E49" s="656">
        <v>24005</v>
      </c>
      <c r="F49" s="1030">
        <v>6056.88</v>
      </c>
      <c r="G49" s="1030">
        <v>311661.88930888387</v>
      </c>
      <c r="H49" s="964">
        <v>148420.576974825</v>
      </c>
      <c r="I49" s="381">
        <f t="shared" si="8"/>
        <v>2834332.4244817775</v>
      </c>
      <c r="J49" s="947"/>
      <c r="K49" s="1035"/>
      <c r="L49" s="636"/>
      <c r="M49" s="636"/>
      <c r="N49" s="636"/>
      <c r="O49" s="636"/>
      <c r="P49" s="636"/>
      <c r="Q49" s="636"/>
      <c r="R49" s="636"/>
      <c r="S49" s="636"/>
      <c r="T49" s="636"/>
      <c r="U49" s="636"/>
      <c r="V49" s="636"/>
      <c r="W49" s="636"/>
    </row>
    <row r="50" spans="1:26">
      <c r="A50" s="177">
        <f t="shared" si="9"/>
        <v>8</v>
      </c>
      <c r="B50" s="187" t="s">
        <v>22</v>
      </c>
      <c r="C50" s="1030">
        <v>900616</v>
      </c>
      <c r="D50" s="1030">
        <v>1598281.363092914</v>
      </c>
      <c r="E50" s="656">
        <v>24507</v>
      </c>
      <c r="F50" s="1030">
        <v>7066.35</v>
      </c>
      <c r="G50" s="1030">
        <v>320763.75040359638</v>
      </c>
      <c r="H50" s="964">
        <v>156666.16458453701</v>
      </c>
      <c r="I50" s="381">
        <f t="shared" si="8"/>
        <v>3007900.6280810479</v>
      </c>
      <c r="J50" s="947"/>
      <c r="K50" s="947"/>
    </row>
    <row r="51" spans="1:26">
      <c r="A51" s="177">
        <f t="shared" si="9"/>
        <v>9</v>
      </c>
      <c r="B51" s="187" t="s">
        <v>23</v>
      </c>
      <c r="C51" s="1030">
        <v>925039</v>
      </c>
      <c r="D51" s="1030">
        <v>1728900.3165577587</v>
      </c>
      <c r="E51" s="656">
        <v>25009</v>
      </c>
      <c r="F51" s="1030">
        <v>8075.83</v>
      </c>
      <c r="G51" s="1030">
        <v>329865.6114983079</v>
      </c>
      <c r="H51" s="964">
        <v>164911.75219425</v>
      </c>
      <c r="I51" s="381">
        <f t="shared" si="8"/>
        <v>3181801.5102503165</v>
      </c>
      <c r="J51" s="947"/>
      <c r="K51" s="947"/>
    </row>
    <row r="52" spans="1:26">
      <c r="A52" s="177">
        <f t="shared" si="9"/>
        <v>10</v>
      </c>
      <c r="B52" s="187" t="s">
        <v>24</v>
      </c>
      <c r="C52" s="1030">
        <v>949461</v>
      </c>
      <c r="D52" s="1030">
        <v>1859736.6961026029</v>
      </c>
      <c r="E52" s="656">
        <v>25511</v>
      </c>
      <c r="F52" s="1030">
        <v>9085.31</v>
      </c>
      <c r="G52" s="1030">
        <v>338967.47259301937</v>
      </c>
      <c r="H52" s="964">
        <v>173157.33980396201</v>
      </c>
      <c r="I52" s="381">
        <f t="shared" si="8"/>
        <v>3355918.8184995842</v>
      </c>
      <c r="J52" s="947"/>
      <c r="K52" s="947"/>
      <c r="M52" s="931"/>
      <c r="N52" s="931"/>
      <c r="O52" s="931"/>
      <c r="P52" s="931"/>
      <c r="Q52" s="931"/>
      <c r="R52" s="931"/>
      <c r="S52" s="931"/>
      <c r="T52" s="931"/>
      <c r="U52" s="931"/>
      <c r="V52" s="931"/>
      <c r="W52" s="931"/>
      <c r="X52" s="931"/>
      <c r="Y52" s="931"/>
      <c r="Z52" s="931"/>
    </row>
    <row r="53" spans="1:26">
      <c r="A53" s="177">
        <f t="shared" si="9"/>
        <v>11</v>
      </c>
      <c r="B53" s="187" t="s">
        <v>25</v>
      </c>
      <c r="C53" s="1030">
        <v>973884</v>
      </c>
      <c r="D53" s="1030">
        <v>1990673.2831774489</v>
      </c>
      <c r="E53" s="656">
        <v>26013</v>
      </c>
      <c r="F53" s="1030">
        <v>10094.790000000001</v>
      </c>
      <c r="G53" s="1030">
        <v>348069.33368773089</v>
      </c>
      <c r="H53" s="964">
        <v>181402.927413675</v>
      </c>
      <c r="I53" s="381">
        <f t="shared" si="8"/>
        <v>3530137.334278855</v>
      </c>
      <c r="J53" s="947"/>
      <c r="K53" s="947"/>
    </row>
    <row r="54" spans="1:26">
      <c r="A54" s="177">
        <f t="shared" si="9"/>
        <v>12</v>
      </c>
      <c r="B54" s="187" t="s">
        <v>26</v>
      </c>
      <c r="C54" s="1030">
        <v>998306</v>
      </c>
      <c r="D54" s="1030">
        <v>2121681.103174794</v>
      </c>
      <c r="E54" s="656">
        <v>26515</v>
      </c>
      <c r="F54" s="1030">
        <v>11104</v>
      </c>
      <c r="G54" s="1030">
        <v>357171.19478244236</v>
      </c>
      <c r="H54" s="964">
        <v>189648.51502338701</v>
      </c>
      <c r="I54" s="381">
        <f t="shared" si="8"/>
        <v>3704425.8129806235</v>
      </c>
      <c r="J54" s="947"/>
      <c r="K54" s="947"/>
    </row>
    <row r="55" spans="1:26">
      <c r="A55" s="177">
        <f t="shared" si="9"/>
        <v>13</v>
      </c>
      <c r="B55" s="187" t="s">
        <v>27</v>
      </c>
      <c r="C55" s="1030">
        <v>1022729</v>
      </c>
      <c r="D55" s="1030">
        <v>2252744.838649638</v>
      </c>
      <c r="E55" s="656">
        <v>27017</v>
      </c>
      <c r="F55" s="1030">
        <v>12114</v>
      </c>
      <c r="G55" s="1030">
        <v>366273.05587715388</v>
      </c>
      <c r="H55" s="964">
        <v>197894.1026331</v>
      </c>
      <c r="I55" s="381">
        <f t="shared" si="8"/>
        <v>3878771.9971598918</v>
      </c>
      <c r="J55" s="947"/>
      <c r="K55" s="947"/>
    </row>
    <row r="56" spans="1:26">
      <c r="A56" s="177">
        <f t="shared" si="9"/>
        <v>14</v>
      </c>
      <c r="B56" s="187"/>
      <c r="C56" s="659"/>
      <c r="D56" s="659"/>
      <c r="E56" s="659"/>
      <c r="F56" s="964"/>
      <c r="G56" s="1036"/>
      <c r="H56" s="964"/>
      <c r="I56" s="369"/>
      <c r="J56" s="947"/>
      <c r="K56" s="947"/>
    </row>
    <row r="57" spans="1:26">
      <c r="A57" s="177">
        <f t="shared" si="9"/>
        <v>15</v>
      </c>
      <c r="B57" s="401" t="s">
        <v>479</v>
      </c>
      <c r="C57" s="1037">
        <f t="shared" ref="C57:H57" si="10">+AVERAGE(C43:C55)</f>
        <v>876194</v>
      </c>
      <c r="D57" s="1037">
        <f>+AVERAGE(D43:D55)</f>
        <v>1541397.8298931168</v>
      </c>
      <c r="E57" s="1037">
        <f>+AVERAGE(E43:E55)</f>
        <v>24005.153846153848</v>
      </c>
      <c r="F57" s="1037">
        <f>+AVERAGE(F43:F55)</f>
        <v>6056.873846153846</v>
      </c>
      <c r="G57" s="1037">
        <f t="shared" si="10"/>
        <v>311661.88930888427</v>
      </c>
      <c r="H57" s="1037">
        <f t="shared" si="10"/>
        <v>148420.57697482471</v>
      </c>
      <c r="I57" s="1038">
        <f>+SUM(C57:H57)</f>
        <v>2907736.3238691334</v>
      </c>
      <c r="J57" s="947"/>
      <c r="K57" s="947"/>
    </row>
    <row r="58" spans="1:26">
      <c r="A58" s="177"/>
      <c r="B58" s="188"/>
      <c r="C58" s="964"/>
      <c r="D58" s="964"/>
      <c r="E58" s="964"/>
      <c r="F58" s="964"/>
      <c r="G58" s="964"/>
      <c r="H58" s="964"/>
      <c r="I58" s="1039"/>
      <c r="J58" s="947"/>
      <c r="K58" s="947"/>
    </row>
    <row r="59" spans="1:26" ht="13.5" thickBot="1">
      <c r="A59" s="177"/>
      <c r="B59" s="401" t="s">
        <v>478</v>
      </c>
      <c r="C59" s="1040">
        <f t="shared" ref="C59:H59" si="11">C27-C57</f>
        <v>15455007</v>
      </c>
      <c r="D59" s="1040">
        <f>D27-D57</f>
        <v>78503412.631645352</v>
      </c>
      <c r="E59" s="1040">
        <f>E27-E57</f>
        <v>370393.84615384613</v>
      </c>
      <c r="F59" s="1040">
        <f>F27-F57</f>
        <v>787143.12615384615</v>
      </c>
      <c r="G59" s="1040">
        <f t="shared" si="11"/>
        <v>6728286.1106911153</v>
      </c>
      <c r="H59" s="1040">
        <f t="shared" si="11"/>
        <v>5900021.423025175</v>
      </c>
      <c r="I59" s="1041">
        <f>I27-I57</f>
        <v>107744264.13766932</v>
      </c>
      <c r="J59" s="1031">
        <f>I59-SUM(C59:H59)</f>
        <v>0</v>
      </c>
      <c r="K59" s="1032" t="s">
        <v>536</v>
      </c>
    </row>
    <row r="60" spans="1:26" ht="13.5" thickTop="1">
      <c r="A60" s="177"/>
      <c r="B60" s="188"/>
      <c r="C60" s="1042" t="s">
        <v>368</v>
      </c>
      <c r="D60" s="1042" t="s">
        <v>368</v>
      </c>
      <c r="E60" s="1042" t="s">
        <v>368</v>
      </c>
      <c r="F60" s="1042" t="s">
        <v>368</v>
      </c>
      <c r="G60" s="1042" t="s">
        <v>368</v>
      </c>
      <c r="H60" s="1042" t="s">
        <v>368</v>
      </c>
      <c r="I60" s="1043"/>
      <c r="J60" s="947"/>
      <c r="K60" s="947"/>
    </row>
    <row r="61" spans="1:26">
      <c r="A61" s="189"/>
      <c r="B61" s="403" t="s">
        <v>476</v>
      </c>
      <c r="C61" s="1044">
        <f t="shared" ref="C61:H61" si="12">C55-C43</f>
        <v>293070</v>
      </c>
      <c r="D61" s="1044">
        <f>D55-D43</f>
        <v>1251316.1655187649</v>
      </c>
      <c r="E61" s="1045">
        <f>E55-E43</f>
        <v>6023</v>
      </c>
      <c r="F61" s="1045">
        <f>F55-F43</f>
        <v>12114</v>
      </c>
      <c r="G61" s="1044">
        <f t="shared" si="12"/>
        <v>109222.33313653996</v>
      </c>
      <c r="H61" s="1045">
        <f t="shared" si="12"/>
        <v>98947.051316550103</v>
      </c>
      <c r="I61" s="1046">
        <f>I55-I43</f>
        <v>1770692.5499718548</v>
      </c>
      <c r="J61" s="947"/>
      <c r="K61" s="947"/>
    </row>
    <row r="62" spans="1:26">
      <c r="C62" s="1036"/>
      <c r="D62" s="1036"/>
      <c r="E62" s="1036"/>
      <c r="G62" s="1036"/>
      <c r="I62" s="1047">
        <f>I61-SUM(C61:H61)</f>
        <v>0</v>
      </c>
      <c r="J62" s="1032" t="s">
        <v>536</v>
      </c>
      <c r="K62" s="947"/>
    </row>
    <row r="64" spans="1:26">
      <c r="B64" s="620" t="s">
        <v>679</v>
      </c>
    </row>
  </sheetData>
  <mergeCells count="6">
    <mergeCell ref="A36:H36"/>
    <mergeCell ref="A4:H4"/>
    <mergeCell ref="A5:H5"/>
    <mergeCell ref="A6:H6"/>
    <mergeCell ref="A34:H34"/>
    <mergeCell ref="A35:H35"/>
  </mergeCells>
  <printOptions horizontalCentered="1"/>
  <pageMargins left="0.75" right="0.75" top="0.75" bottom="0.75" header="0.5" footer="0.5"/>
  <pageSetup scale="62" orientation="portrait" r:id="rId1"/>
  <headerFooter>
    <oddHeader xml:space="preserve">&amp;R&amp;"Arial,Regular"&amp;10Attachment GG Work Paper
Page 1 of 1
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X65"/>
  <sheetViews>
    <sheetView showGridLines="0" zoomScaleNormal="100" workbookViewId="0">
      <selection activeCell="G21" sqref="G21"/>
    </sheetView>
  </sheetViews>
  <sheetFormatPr defaultRowHeight="12.75"/>
  <cols>
    <col min="1" max="1" width="3.6640625" style="172" customWidth="1"/>
    <col min="2" max="2" width="20.33203125" style="173" customWidth="1"/>
    <col min="3" max="3" width="15.5546875" style="173" customWidth="1"/>
    <col min="4" max="4" width="14.6640625" style="173" customWidth="1"/>
    <col min="5" max="5" width="14.21875" style="173" customWidth="1"/>
    <col min="6" max="6" width="12.77734375" style="173" customWidth="1"/>
    <col min="7" max="10" width="8.88671875" style="322"/>
    <col min="11" max="11" width="10.77734375" style="322" bestFit="1" customWidth="1"/>
    <col min="12" max="12" width="11.109375" style="322" bestFit="1" customWidth="1"/>
    <col min="13" max="13" width="11.6640625" style="322" bestFit="1" customWidth="1"/>
    <col min="14" max="16384" width="8.88671875" style="322"/>
  </cols>
  <sheetData>
    <row r="3" spans="1:13">
      <c r="F3" s="1080"/>
    </row>
    <row r="4" spans="1:13">
      <c r="A4" s="1085" t="s">
        <v>0</v>
      </c>
      <c r="B4" s="1085"/>
      <c r="C4" s="1085"/>
      <c r="D4" s="1085"/>
      <c r="E4" s="1085"/>
      <c r="F4" s="1085"/>
      <c r="G4" s="414"/>
      <c r="H4" s="414"/>
      <c r="I4" s="414"/>
      <c r="J4" s="414"/>
    </row>
    <row r="5" spans="1:13">
      <c r="A5" s="1183" t="s">
        <v>537</v>
      </c>
      <c r="B5" s="1085"/>
      <c r="C5" s="1085"/>
      <c r="D5" s="1085"/>
      <c r="E5" s="1085"/>
      <c r="F5" s="1085"/>
      <c r="G5" s="638"/>
    </row>
    <row r="6" spans="1:13">
      <c r="A6" s="1085" t="str">
        <f>'Attachment GG Projects'!A6:H6</f>
        <v>For the 13 Months Ended December 31, 2014</v>
      </c>
      <c r="B6" s="1085"/>
      <c r="C6" s="1085"/>
      <c r="D6" s="1085"/>
      <c r="E6" s="1085"/>
      <c r="F6" s="1085"/>
    </row>
    <row r="8" spans="1:13">
      <c r="B8" s="172" t="s">
        <v>1</v>
      </c>
      <c r="C8" s="172" t="s">
        <v>2</v>
      </c>
      <c r="D8" s="172" t="s">
        <v>3</v>
      </c>
      <c r="E8" s="172" t="s">
        <v>4</v>
      </c>
      <c r="F8" s="392" t="s">
        <v>5</v>
      </c>
    </row>
    <row r="10" spans="1:13">
      <c r="A10" s="174"/>
      <c r="B10" s="200"/>
      <c r="C10" s="175" t="s">
        <v>356</v>
      </c>
      <c r="D10" s="568" t="s">
        <v>521</v>
      </c>
      <c r="E10" s="568" t="s">
        <v>520</v>
      </c>
      <c r="F10" s="176"/>
    </row>
    <row r="11" spans="1:13">
      <c r="A11" s="177" t="s">
        <v>8</v>
      </c>
      <c r="B11" s="178"/>
      <c r="C11" s="629" t="s">
        <v>542</v>
      </c>
      <c r="D11" s="629" t="s">
        <v>541</v>
      </c>
      <c r="E11" s="629" t="s">
        <v>542</v>
      </c>
      <c r="F11" s="180"/>
    </row>
    <row r="12" spans="1:13">
      <c r="A12" s="181" t="s">
        <v>10</v>
      </c>
      <c r="B12" s="201" t="s">
        <v>47</v>
      </c>
      <c r="C12" s="389" t="s">
        <v>472</v>
      </c>
      <c r="D12" s="569" t="s">
        <v>522</v>
      </c>
      <c r="E12" s="569" t="s">
        <v>523</v>
      </c>
      <c r="F12" s="183" t="s">
        <v>16</v>
      </c>
      <c r="L12" s="807"/>
      <c r="M12" s="807"/>
    </row>
    <row r="13" spans="1:13">
      <c r="A13" s="174">
        <v>1</v>
      </c>
      <c r="B13" s="546" t="str">
        <f>'Attachment GG Projects'!B13</f>
        <v>December 2014</v>
      </c>
      <c r="C13" s="373">
        <f>'Page 3 - CWIP'!F13+15490024</f>
        <v>24108201.689999998</v>
      </c>
      <c r="D13" s="373">
        <f>'Page 3 - CWIP'!G13</f>
        <v>6259445</v>
      </c>
      <c r="E13" s="964">
        <f>'Page 3 - CWIP'!H13</f>
        <v>6615624.4299999904</v>
      </c>
      <c r="F13" s="381">
        <f t="shared" ref="F13:F25" si="0">+SUM(C13:E13)</f>
        <v>36983271.11999999</v>
      </c>
      <c r="G13" s="947"/>
      <c r="H13" s="373"/>
      <c r="I13" s="394"/>
      <c r="J13" s="394"/>
      <c r="L13" s="373"/>
      <c r="M13" s="373"/>
    </row>
    <row r="14" spans="1:13">
      <c r="A14" s="177">
        <f>+A13+1</f>
        <v>2</v>
      </c>
      <c r="B14" s="676" t="str">
        <f>'Attachment GG Projects'!B14</f>
        <v>January 2015</v>
      </c>
      <c r="C14" s="373">
        <f>'Page 3 - CWIP'!F14+21579755</f>
        <v>24548496.690000001</v>
      </c>
      <c r="D14" s="373">
        <f>'Page 3 - CWIP'!G14</f>
        <v>6605618</v>
      </c>
      <c r="E14" s="964">
        <f>'Page 3 - CWIP'!H14</f>
        <v>7339881.4299999904</v>
      </c>
      <c r="F14" s="381">
        <f t="shared" si="0"/>
        <v>38493996.11999999</v>
      </c>
      <c r="G14" s="947"/>
      <c r="H14" s="373"/>
      <c r="I14" s="394"/>
      <c r="J14" s="394"/>
      <c r="L14" s="373"/>
      <c r="M14" s="373"/>
    </row>
    <row r="15" spans="1:13">
      <c r="A15" s="177">
        <f>+A14+1</f>
        <v>3</v>
      </c>
      <c r="B15" s="187" t="s">
        <v>17</v>
      </c>
      <c r="C15" s="373">
        <f>'Page 3 - CWIP'!F15+22417720</f>
        <v>24822452.690000001</v>
      </c>
      <c r="D15" s="373">
        <f>'Page 3 - CWIP'!G15</f>
        <v>6972792</v>
      </c>
      <c r="E15" s="964">
        <f>'Page 3 - CWIP'!H15</f>
        <v>7638433.4299999904</v>
      </c>
      <c r="F15" s="381">
        <f t="shared" si="0"/>
        <v>39433678.11999999</v>
      </c>
      <c r="G15" s="947"/>
      <c r="H15" s="373"/>
      <c r="I15" s="394"/>
      <c r="J15" s="394"/>
      <c r="L15" s="373"/>
      <c r="M15" s="373"/>
    </row>
    <row r="16" spans="1:13">
      <c r="A16" s="177">
        <f>+A15+1</f>
        <v>4</v>
      </c>
      <c r="B16" s="187" t="s">
        <v>18</v>
      </c>
      <c r="C16" s="373">
        <f>'Page 3 - CWIP'!F16+22588975</f>
        <v>25018460.690000001</v>
      </c>
      <c r="D16" s="373">
        <f>'Page 3 - CWIP'!G16</f>
        <v>7318967</v>
      </c>
      <c r="E16" s="964">
        <f>'Page 3 - CWIP'!H16</f>
        <v>8094343.4299999904</v>
      </c>
      <c r="F16" s="381">
        <f t="shared" si="0"/>
        <v>40431771.11999999</v>
      </c>
      <c r="G16" s="947"/>
      <c r="H16" s="373"/>
      <c r="I16" s="394"/>
      <c r="J16" s="394"/>
      <c r="L16" s="373"/>
      <c r="M16" s="373"/>
    </row>
    <row r="17" spans="1:24">
      <c r="A17" s="177">
        <f>+A16+1</f>
        <v>5</v>
      </c>
      <c r="B17" s="187" t="s">
        <v>19</v>
      </c>
      <c r="C17" s="373">
        <f>'Page 3 - CWIP'!F17+22817605</f>
        <v>25094954.690000001</v>
      </c>
      <c r="D17" s="373">
        <f>'Page 3 - CWIP'!G17</f>
        <v>7688643</v>
      </c>
      <c r="E17" s="964">
        <f>'Page 3 - CWIP'!H17</f>
        <v>8623632.4299999997</v>
      </c>
      <c r="F17" s="381">
        <f t="shared" si="0"/>
        <v>41407230.120000005</v>
      </c>
      <c r="G17" s="947"/>
      <c r="H17" s="373"/>
      <c r="I17" s="394"/>
      <c r="J17" s="394"/>
      <c r="L17" s="373"/>
      <c r="M17" s="373"/>
    </row>
    <row r="18" spans="1:24">
      <c r="A18" s="177">
        <f>+A17+1</f>
        <v>6</v>
      </c>
      <c r="B18" s="187" t="s">
        <v>20</v>
      </c>
      <c r="C18" s="373">
        <f>'Page 3 - CWIP'!F18+22923092</f>
        <v>25206317.690000001</v>
      </c>
      <c r="D18" s="373">
        <f>'Page 3 - CWIP'!G18</f>
        <v>8075320</v>
      </c>
      <c r="E18" s="964">
        <f>'Page 3 - CWIP'!H18</f>
        <v>9206499.4299999997</v>
      </c>
      <c r="F18" s="381">
        <f t="shared" si="0"/>
        <v>42488137.120000005</v>
      </c>
      <c r="G18" s="947"/>
      <c r="H18" s="373"/>
      <c r="I18" s="394"/>
      <c r="J18" s="394"/>
      <c r="L18" s="373"/>
      <c r="M18" s="373"/>
    </row>
    <row r="19" spans="1:24">
      <c r="A19" s="177">
        <f t="shared" ref="A19:A27" si="1">+A18+1</f>
        <v>7</v>
      </c>
      <c r="B19" s="187" t="s">
        <v>21</v>
      </c>
      <c r="C19" s="373">
        <f>'Page 3 - CWIP'!F19+23071562</f>
        <v>25360906.690000001</v>
      </c>
      <c r="D19" s="373">
        <f>'Page 3 - CWIP'!G19</f>
        <v>9015498</v>
      </c>
      <c r="E19" s="964">
        <f>'Page 3 - CWIP'!H19</f>
        <v>9670283.4299999997</v>
      </c>
      <c r="F19" s="381">
        <f t="shared" si="0"/>
        <v>44046688.119999997</v>
      </c>
      <c r="G19" s="947"/>
      <c r="H19" s="373"/>
      <c r="I19" s="394"/>
      <c r="J19" s="394"/>
      <c r="L19" s="373"/>
      <c r="M19" s="373"/>
    </row>
    <row r="20" spans="1:24">
      <c r="A20" s="177">
        <f t="shared" si="1"/>
        <v>8</v>
      </c>
      <c r="B20" s="187" t="s">
        <v>22</v>
      </c>
      <c r="C20" s="373">
        <f>'Page 3 - CWIP'!F20+23230662</f>
        <v>25522823.690000001</v>
      </c>
      <c r="D20" s="373">
        <f>'Page 3 - CWIP'!G20</f>
        <v>10418677</v>
      </c>
      <c r="E20" s="964">
        <f>'Page 3 - CWIP'!H20</f>
        <v>12431212.43</v>
      </c>
      <c r="F20" s="381">
        <f t="shared" si="0"/>
        <v>48372713.119999997</v>
      </c>
      <c r="G20" s="947"/>
      <c r="H20" s="373"/>
      <c r="I20" s="394"/>
      <c r="J20" s="394"/>
      <c r="L20" s="373"/>
      <c r="M20" s="373"/>
    </row>
    <row r="21" spans="1:24">
      <c r="A21" s="177">
        <f t="shared" si="1"/>
        <v>9</v>
      </c>
      <c r="B21" s="187" t="s">
        <v>23</v>
      </c>
      <c r="C21" s="373">
        <f>'Page 3 - CWIP'!F21+23338560</f>
        <v>25633538.690000001</v>
      </c>
      <c r="D21" s="373">
        <f>'Page 3 - CWIP'!G21</f>
        <v>11821857</v>
      </c>
      <c r="E21" s="964">
        <f>'Page 3 - CWIP'!H21</f>
        <v>12882983.43</v>
      </c>
      <c r="F21" s="381">
        <f t="shared" si="0"/>
        <v>50338379.119999997</v>
      </c>
      <c r="G21" s="947"/>
      <c r="H21" s="373"/>
      <c r="I21" s="394"/>
      <c r="J21" s="394"/>
      <c r="L21" s="373"/>
      <c r="M21" s="373"/>
    </row>
    <row r="22" spans="1:24">
      <c r="A22" s="177">
        <f t="shared" si="1"/>
        <v>10</v>
      </c>
      <c r="B22" s="187" t="s">
        <v>24</v>
      </c>
      <c r="C22" s="373">
        <f>'Page 3 - CWIP'!F22+23424832</f>
        <v>25722627.690000001</v>
      </c>
      <c r="D22" s="373">
        <f>'Page 3 - CWIP'!G22</f>
        <v>13149038</v>
      </c>
      <c r="E22" s="964">
        <f>'Page 3 - CWIP'!H22</f>
        <v>15629586.429999899</v>
      </c>
      <c r="F22" s="381">
        <f t="shared" si="0"/>
        <v>54501252.1199999</v>
      </c>
      <c r="G22" s="947"/>
      <c r="H22" s="373"/>
      <c r="I22" s="394"/>
      <c r="J22" s="394"/>
      <c r="L22" s="373"/>
      <c r="M22" s="373"/>
    </row>
    <row r="23" spans="1:24">
      <c r="A23" s="177">
        <f t="shared" si="1"/>
        <v>11</v>
      </c>
      <c r="B23" s="187" t="s">
        <v>25</v>
      </c>
      <c r="C23" s="373">
        <f>'Page 3 - CWIP'!F23+23529140</f>
        <v>25829752.690000001</v>
      </c>
      <c r="D23" s="373">
        <f>'Page 3 - CWIP'!G23</f>
        <v>14476220</v>
      </c>
      <c r="E23" s="964">
        <f>'Page 3 - CWIP'!H23</f>
        <v>16661373.429999899</v>
      </c>
      <c r="F23" s="381">
        <f t="shared" si="0"/>
        <v>56967346.1199999</v>
      </c>
      <c r="G23" s="947"/>
      <c r="H23" s="373"/>
      <c r="I23" s="394"/>
      <c r="J23" s="394"/>
      <c r="L23" s="373"/>
      <c r="M23" s="373"/>
    </row>
    <row r="24" spans="1:24">
      <c r="A24" s="177">
        <f t="shared" si="1"/>
        <v>12</v>
      </c>
      <c r="B24" s="187" t="s">
        <v>26</v>
      </c>
      <c r="C24" s="373">
        <f>'Page 3 - CWIP'!F24+23587348</f>
        <v>25890534.690000001</v>
      </c>
      <c r="D24" s="373">
        <f>'Page 3 - CWIP'!G24</f>
        <v>15263403</v>
      </c>
      <c r="E24" s="964">
        <f>'Page 3 - CWIP'!H24</f>
        <v>17485613.43</v>
      </c>
      <c r="F24" s="381">
        <f t="shared" si="0"/>
        <v>58639551.119999997</v>
      </c>
      <c r="G24" s="947"/>
      <c r="H24" s="373"/>
      <c r="I24" s="394"/>
      <c r="J24" s="394"/>
      <c r="L24" s="373"/>
      <c r="M24" s="373"/>
    </row>
    <row r="25" spans="1:24">
      <c r="A25" s="177">
        <f t="shared" si="1"/>
        <v>13</v>
      </c>
      <c r="B25" s="187" t="s">
        <v>27</v>
      </c>
      <c r="C25" s="373">
        <f>'Page 3 - CWIP'!F25+25962609</f>
        <v>25962609</v>
      </c>
      <c r="D25" s="373">
        <f>'Page 3 - CWIP'!G25</f>
        <v>17741587</v>
      </c>
      <c r="E25" s="964">
        <f>'Page 3 - CWIP'!H25</f>
        <v>20013799.43</v>
      </c>
      <c r="F25" s="381">
        <f t="shared" si="0"/>
        <v>63717995.43</v>
      </c>
      <c r="G25" s="947"/>
      <c r="H25" s="373"/>
      <c r="I25" s="394"/>
      <c r="J25" s="394"/>
      <c r="L25" s="373"/>
      <c r="M25" s="373"/>
    </row>
    <row r="26" spans="1:24">
      <c r="A26" s="177">
        <f t="shared" si="1"/>
        <v>14</v>
      </c>
      <c r="B26" s="187"/>
      <c r="C26" s="659"/>
      <c r="D26" s="659"/>
      <c r="E26" s="659"/>
      <c r="F26" s="381"/>
      <c r="G26" s="947"/>
      <c r="H26" s="947"/>
    </row>
    <row r="27" spans="1:24">
      <c r="A27" s="177">
        <f t="shared" si="1"/>
        <v>15</v>
      </c>
      <c r="B27" s="188" t="s">
        <v>28</v>
      </c>
      <c r="C27" s="1051">
        <f>+AVERAGE(C13:C25)</f>
        <v>25286282.867692307</v>
      </c>
      <c r="D27" s="1051">
        <f>+AVERAGE(D13:D25)</f>
        <v>10369774.23076923</v>
      </c>
      <c r="E27" s="1051">
        <f>+AVERAGE(E13:E25)</f>
        <v>11714866.660769215</v>
      </c>
      <c r="F27" s="1052">
        <f>+SUM(C27:E27)</f>
        <v>47370923.759230755</v>
      </c>
      <c r="G27" s="1031">
        <f>AVERAGE(F13:F25)-F27</f>
        <v>0</v>
      </c>
      <c r="H27" s="1032" t="s">
        <v>536</v>
      </c>
    </row>
    <row r="28" spans="1:24">
      <c r="A28" s="189"/>
      <c r="B28" s="202"/>
      <c r="C28" s="1042" t="s">
        <v>368</v>
      </c>
      <c r="D28" s="1042" t="s">
        <v>368</v>
      </c>
      <c r="E28" s="1042" t="s">
        <v>368</v>
      </c>
      <c r="F28" s="1053"/>
      <c r="G28" s="947"/>
      <c r="H28" s="947"/>
      <c r="K28" s="807"/>
    </row>
    <row r="29" spans="1:24" ht="15">
      <c r="C29" s="413"/>
      <c r="K29" s="373"/>
      <c r="L29" s="846"/>
      <c r="M29" s="844"/>
      <c r="N29" s="847"/>
      <c r="O29" s="847"/>
      <c r="P29" s="847"/>
      <c r="Q29" s="847"/>
      <c r="R29" s="847"/>
      <c r="S29" s="847"/>
      <c r="T29" s="847"/>
      <c r="U29" s="847"/>
      <c r="V29" s="847"/>
      <c r="W29" s="847"/>
      <c r="X29" s="847"/>
    </row>
    <row r="30" spans="1:24" ht="15">
      <c r="B30" s="630" t="s">
        <v>543</v>
      </c>
      <c r="C30" s="545"/>
      <c r="D30" s="545"/>
      <c r="K30" s="373"/>
      <c r="L30" s="373"/>
      <c r="M30" s="844"/>
    </row>
    <row r="31" spans="1:24" ht="15">
      <c r="B31" s="630" t="s">
        <v>680</v>
      </c>
      <c r="C31" s="545"/>
      <c r="D31" s="545"/>
      <c r="K31" s="373"/>
      <c r="L31" s="373"/>
      <c r="M31" s="844"/>
    </row>
    <row r="32" spans="1:24" ht="15">
      <c r="B32" s="630"/>
      <c r="C32" s="545"/>
      <c r="D32" s="545"/>
      <c r="K32" s="373"/>
      <c r="L32" s="373"/>
      <c r="M32" s="844"/>
    </row>
    <row r="33" spans="1:21" ht="15">
      <c r="B33" s="400"/>
      <c r="K33" s="373"/>
      <c r="L33" s="373"/>
      <c r="M33" s="844"/>
    </row>
    <row r="34" spans="1:21" ht="15">
      <c r="A34" s="1085" t="s">
        <v>0</v>
      </c>
      <c r="B34" s="1085"/>
      <c r="C34" s="1085"/>
      <c r="D34" s="1085"/>
      <c r="E34" s="1085"/>
      <c r="F34" s="1085"/>
      <c r="K34" s="373"/>
      <c r="L34" s="373"/>
      <c r="M34" s="844"/>
    </row>
    <row r="35" spans="1:21" ht="15">
      <c r="A35" s="1085" t="s">
        <v>477</v>
      </c>
      <c r="B35" s="1085"/>
      <c r="C35" s="1085"/>
      <c r="D35" s="1085"/>
      <c r="E35" s="1085"/>
      <c r="F35" s="1085"/>
      <c r="K35" s="373"/>
      <c r="L35" s="373"/>
      <c r="M35" s="844"/>
    </row>
    <row r="36" spans="1:21" ht="15">
      <c r="A36" s="1183" t="str">
        <f>'Attachment GG Projects'!A36:H36</f>
        <v>For the 13 Months Ended December 31, 2014</v>
      </c>
      <c r="B36" s="1085"/>
      <c r="C36" s="1085"/>
      <c r="D36" s="1085"/>
      <c r="E36" s="1085"/>
      <c r="F36" s="1085"/>
      <c r="K36" s="373"/>
      <c r="L36" s="373"/>
      <c r="M36" s="844"/>
    </row>
    <row r="37" spans="1:21" ht="15">
      <c r="K37" s="373"/>
      <c r="L37" s="373"/>
      <c r="M37" s="844"/>
    </row>
    <row r="38" spans="1:21" ht="15">
      <c r="B38" s="172" t="str">
        <f>B8</f>
        <v>(A)</v>
      </c>
      <c r="C38" s="172" t="str">
        <f t="shared" ref="C38:F38" si="2">C8</f>
        <v>(B)</v>
      </c>
      <c r="D38" s="172" t="str">
        <f t="shared" si="2"/>
        <v>(C)</v>
      </c>
      <c r="E38" s="172" t="str">
        <f t="shared" si="2"/>
        <v>(D)</v>
      </c>
      <c r="F38" s="172" t="str">
        <f t="shared" si="2"/>
        <v>(E)</v>
      </c>
      <c r="K38" s="373"/>
      <c r="L38" s="373"/>
      <c r="M38" s="844"/>
    </row>
    <row r="39" spans="1:21" ht="15">
      <c r="K39" s="373"/>
      <c r="L39" s="373"/>
      <c r="M39" s="844"/>
    </row>
    <row r="40" spans="1:21" ht="15">
      <c r="A40" s="174"/>
      <c r="B40" s="402" t="s">
        <v>480</v>
      </c>
      <c r="C40" s="175" t="str">
        <f t="shared" ref="C40:E42" si="3">C10</f>
        <v>CAPX 2020 Brookings</v>
      </c>
      <c r="D40" s="175" t="str">
        <f t="shared" si="3"/>
        <v>BSS - Ellendale</v>
      </c>
      <c r="E40" s="175" t="str">
        <f t="shared" si="3"/>
        <v>BSS - Brookings</v>
      </c>
      <c r="F40" s="176"/>
      <c r="K40" s="373"/>
      <c r="L40" s="373"/>
      <c r="M40" s="844"/>
    </row>
    <row r="41" spans="1:21" ht="15">
      <c r="A41" s="177" t="s">
        <v>8</v>
      </c>
      <c r="B41" s="401" t="s">
        <v>481</v>
      </c>
      <c r="C41" s="179" t="str">
        <f t="shared" si="3"/>
        <v>Project (See Below)</v>
      </c>
      <c r="D41" s="179" t="str">
        <f t="shared" si="3"/>
        <v>Project (104593)</v>
      </c>
      <c r="E41" s="179" t="str">
        <f t="shared" si="3"/>
        <v>Project (See Below)</v>
      </c>
      <c r="F41" s="180"/>
      <c r="K41" s="373"/>
      <c r="L41" s="373"/>
      <c r="M41" s="844"/>
    </row>
    <row r="42" spans="1:21" ht="15">
      <c r="A42" s="181" t="s">
        <v>10</v>
      </c>
      <c r="B42" s="201" t="s">
        <v>47</v>
      </c>
      <c r="C42" s="417" t="str">
        <f t="shared" si="3"/>
        <v>MTEP No. 1203</v>
      </c>
      <c r="D42" s="417" t="str">
        <f t="shared" si="3"/>
        <v>MTEP No. 2220</v>
      </c>
      <c r="E42" s="417" t="str">
        <f t="shared" si="3"/>
        <v>MTEP No. 2221</v>
      </c>
      <c r="F42" s="183" t="s">
        <v>16</v>
      </c>
      <c r="H42" s="679"/>
      <c r="I42" s="679"/>
      <c r="J42" s="679"/>
      <c r="K42" s="679"/>
      <c r="L42" s="679"/>
      <c r="M42" s="845"/>
      <c r="N42" s="679"/>
      <c r="O42" s="679"/>
      <c r="P42" s="679"/>
      <c r="Q42" s="679"/>
      <c r="R42" s="679"/>
      <c r="S42" s="679"/>
      <c r="T42" s="679"/>
    </row>
    <row r="43" spans="1:21">
      <c r="A43" s="174">
        <v>1</v>
      </c>
      <c r="B43" s="546" t="str">
        <f>B13</f>
        <v>December 2014</v>
      </c>
      <c r="C43" s="373">
        <v>231252</v>
      </c>
      <c r="D43" s="373">
        <v>0</v>
      </c>
      <c r="E43" s="373">
        <v>0</v>
      </c>
      <c r="F43" s="381">
        <f>+SUM(C43:E43)</f>
        <v>231252</v>
      </c>
      <c r="G43" s="947"/>
      <c r="H43" s="947"/>
    </row>
    <row r="44" spans="1:21">
      <c r="A44" s="177">
        <f>+A43+1</f>
        <v>2</v>
      </c>
      <c r="B44" s="547" t="str">
        <f>B14</f>
        <v>January 2015</v>
      </c>
      <c r="C44" s="373">
        <v>258472</v>
      </c>
      <c r="D44" s="373">
        <v>0</v>
      </c>
      <c r="E44" s="373">
        <v>0</v>
      </c>
      <c r="F44" s="381">
        <f t="shared" ref="F44:F55" si="4">+SUM(C44:E44)</f>
        <v>258472</v>
      </c>
      <c r="G44" s="947"/>
      <c r="H44" s="947"/>
    </row>
    <row r="45" spans="1:21">
      <c r="A45" s="177">
        <f>+A44+1</f>
        <v>3</v>
      </c>
      <c r="B45" s="187" t="s">
        <v>17</v>
      </c>
      <c r="C45" s="373">
        <v>294507</v>
      </c>
      <c r="D45" s="373">
        <v>0</v>
      </c>
      <c r="E45" s="373">
        <v>0</v>
      </c>
      <c r="F45" s="381">
        <f t="shared" si="4"/>
        <v>294507</v>
      </c>
      <c r="G45" s="947"/>
      <c r="H45" s="947"/>
    </row>
    <row r="46" spans="1:21">
      <c r="A46" s="177">
        <f>+A45+1</f>
        <v>4</v>
      </c>
      <c r="B46" s="187" t="s">
        <v>18</v>
      </c>
      <c r="C46" s="373">
        <v>331755</v>
      </c>
      <c r="D46" s="373">
        <v>0</v>
      </c>
      <c r="E46" s="373">
        <v>0</v>
      </c>
      <c r="F46" s="381">
        <f t="shared" si="4"/>
        <v>331755</v>
      </c>
      <c r="G46" s="947"/>
      <c r="H46" s="947"/>
    </row>
    <row r="47" spans="1:21">
      <c r="A47" s="177">
        <f>+A46+1</f>
        <v>5</v>
      </c>
      <c r="B47" s="187" t="s">
        <v>19</v>
      </c>
      <c r="C47" s="373">
        <v>369250</v>
      </c>
      <c r="D47" s="373">
        <v>0</v>
      </c>
      <c r="E47" s="373">
        <v>0</v>
      </c>
      <c r="F47" s="381">
        <f t="shared" si="4"/>
        <v>369250</v>
      </c>
      <c r="G47" s="947"/>
      <c r="H47" s="947"/>
    </row>
    <row r="48" spans="1:21">
      <c r="A48" s="177">
        <f>+A47+1</f>
        <v>6</v>
      </c>
      <c r="B48" s="187" t="s">
        <v>20</v>
      </c>
      <c r="C48" s="373">
        <v>407077</v>
      </c>
      <c r="D48" s="373">
        <v>0</v>
      </c>
      <c r="E48" s="373">
        <v>0</v>
      </c>
      <c r="F48" s="381">
        <f t="shared" si="4"/>
        <v>407077</v>
      </c>
      <c r="G48" s="947"/>
      <c r="H48" s="947"/>
      <c r="I48" s="684"/>
      <c r="J48" s="684"/>
      <c r="K48" s="684"/>
      <c r="L48" s="684"/>
      <c r="M48" s="684"/>
      <c r="N48" s="684"/>
      <c r="O48" s="684"/>
      <c r="P48" s="684"/>
      <c r="Q48" s="684"/>
      <c r="R48" s="684"/>
      <c r="S48" s="684"/>
      <c r="T48" s="684"/>
      <c r="U48" s="684"/>
    </row>
    <row r="49" spans="1:8">
      <c r="A49" s="177">
        <f t="shared" ref="A49:A57" si="5">+A48+1</f>
        <v>7</v>
      </c>
      <c r="B49" s="187" t="s">
        <v>21</v>
      </c>
      <c r="C49" s="373">
        <v>445057</v>
      </c>
      <c r="D49" s="373">
        <v>0</v>
      </c>
      <c r="E49" s="373">
        <v>0</v>
      </c>
      <c r="F49" s="381">
        <f t="shared" si="4"/>
        <v>445057</v>
      </c>
      <c r="G49" s="947"/>
      <c r="H49" s="947"/>
    </row>
    <row r="50" spans="1:8">
      <c r="A50" s="177">
        <f t="shared" si="5"/>
        <v>8</v>
      </c>
      <c r="B50" s="187" t="s">
        <v>22</v>
      </c>
      <c r="C50" s="373">
        <v>483251</v>
      </c>
      <c r="D50" s="373">
        <v>0</v>
      </c>
      <c r="E50" s="373">
        <v>0</v>
      </c>
      <c r="F50" s="381">
        <f t="shared" si="4"/>
        <v>483251</v>
      </c>
      <c r="G50" s="947"/>
      <c r="H50" s="947"/>
    </row>
    <row r="51" spans="1:8">
      <c r="A51" s="177">
        <f t="shared" si="5"/>
        <v>9</v>
      </c>
      <c r="B51" s="187" t="s">
        <v>23</v>
      </c>
      <c r="C51" s="373">
        <v>521675</v>
      </c>
      <c r="D51" s="373">
        <v>0</v>
      </c>
      <c r="E51" s="373">
        <v>0</v>
      </c>
      <c r="F51" s="381">
        <f t="shared" si="4"/>
        <v>521675</v>
      </c>
      <c r="G51" s="947"/>
      <c r="H51" s="947"/>
    </row>
    <row r="52" spans="1:8">
      <c r="A52" s="177">
        <f t="shared" si="5"/>
        <v>10</v>
      </c>
      <c r="B52" s="187" t="s">
        <v>24</v>
      </c>
      <c r="C52" s="373">
        <v>560256</v>
      </c>
      <c r="D52" s="373">
        <v>0</v>
      </c>
      <c r="E52" s="373">
        <v>0</v>
      </c>
      <c r="F52" s="381">
        <f t="shared" si="4"/>
        <v>560256</v>
      </c>
      <c r="G52" s="947"/>
      <c r="H52" s="947"/>
    </row>
    <row r="53" spans="1:8">
      <c r="A53" s="177">
        <f t="shared" si="5"/>
        <v>11</v>
      </c>
      <c r="B53" s="187" t="s">
        <v>25</v>
      </c>
      <c r="C53" s="373">
        <v>598962</v>
      </c>
      <c r="D53" s="373">
        <v>0</v>
      </c>
      <c r="E53" s="373">
        <v>0</v>
      </c>
      <c r="F53" s="381">
        <f t="shared" si="4"/>
        <v>598962</v>
      </c>
      <c r="G53" s="947"/>
      <c r="H53" s="947"/>
    </row>
    <row r="54" spans="1:8">
      <c r="A54" s="177">
        <f t="shared" si="5"/>
        <v>12</v>
      </c>
      <c r="B54" s="187" t="s">
        <v>26</v>
      </c>
      <c r="C54" s="373">
        <v>637819</v>
      </c>
      <c r="D54" s="373">
        <v>0</v>
      </c>
      <c r="E54" s="373">
        <v>0</v>
      </c>
      <c r="F54" s="381">
        <f t="shared" si="4"/>
        <v>637819</v>
      </c>
      <c r="G54" s="947"/>
      <c r="H54" s="947"/>
    </row>
    <row r="55" spans="1:8">
      <c r="A55" s="177">
        <f t="shared" si="5"/>
        <v>13</v>
      </c>
      <c r="B55" s="187" t="s">
        <v>27</v>
      </c>
      <c r="C55" s="373">
        <v>676760</v>
      </c>
      <c r="D55" s="373">
        <v>0</v>
      </c>
      <c r="E55" s="373">
        <v>0</v>
      </c>
      <c r="F55" s="381">
        <f t="shared" si="4"/>
        <v>676760</v>
      </c>
      <c r="G55" s="947"/>
      <c r="H55" s="947"/>
    </row>
    <row r="56" spans="1:8">
      <c r="A56" s="177">
        <f t="shared" si="5"/>
        <v>14</v>
      </c>
      <c r="B56" s="187"/>
      <c r="C56" s="373"/>
      <c r="D56" s="373"/>
      <c r="E56" s="373"/>
      <c r="F56" s="369"/>
      <c r="G56" s="947"/>
      <c r="H56" s="947"/>
    </row>
    <row r="57" spans="1:8">
      <c r="A57" s="177">
        <f t="shared" si="5"/>
        <v>15</v>
      </c>
      <c r="B57" s="401" t="s">
        <v>479</v>
      </c>
      <c r="C57" s="1048">
        <f>+AVERAGE(C43:C55)</f>
        <v>447391.76923076925</v>
      </c>
      <c r="D57" s="1048">
        <f t="shared" ref="D57:E57" si="6">+AVERAGE(D43:D55)</f>
        <v>0</v>
      </c>
      <c r="E57" s="1048">
        <f t="shared" si="6"/>
        <v>0</v>
      </c>
      <c r="F57" s="1038">
        <f>+SUM(C57:E57)</f>
        <v>447391.76923076925</v>
      </c>
      <c r="G57" s="947"/>
      <c r="H57" s="947"/>
    </row>
    <row r="58" spans="1:8">
      <c r="A58" s="177"/>
      <c r="B58" s="188"/>
      <c r="C58" s="964"/>
      <c r="D58" s="964"/>
      <c r="E58" s="964"/>
      <c r="F58" s="1039"/>
      <c r="G58" s="947"/>
      <c r="H58" s="947"/>
    </row>
    <row r="59" spans="1:8" ht="13.5" thickBot="1">
      <c r="A59" s="177"/>
      <c r="B59" s="401" t="s">
        <v>478</v>
      </c>
      <c r="C59" s="1049">
        <f>C27-C57</f>
        <v>24838891.098461539</v>
      </c>
      <c r="D59" s="1049">
        <f>D27-D57</f>
        <v>10369774.23076923</v>
      </c>
      <c r="E59" s="1049">
        <f>E27-E57</f>
        <v>11714866.660769215</v>
      </c>
      <c r="F59" s="1041">
        <f>F27-F57</f>
        <v>46923531.989999987</v>
      </c>
      <c r="G59" s="1031">
        <f>F59-SUM(C59:E59)</f>
        <v>0</v>
      </c>
      <c r="H59" s="1032" t="s">
        <v>536</v>
      </c>
    </row>
    <row r="60" spans="1:8" ht="13.5" thickTop="1">
      <c r="A60" s="177"/>
      <c r="B60" s="188"/>
      <c r="C60" s="1042" t="s">
        <v>368</v>
      </c>
      <c r="D60" s="1042" t="s">
        <v>368</v>
      </c>
      <c r="E60" s="1042" t="s">
        <v>368</v>
      </c>
      <c r="F60" s="1043"/>
      <c r="G60" s="947"/>
      <c r="H60" s="947"/>
    </row>
    <row r="61" spans="1:8">
      <c r="A61" s="189"/>
      <c r="B61" s="403" t="s">
        <v>476</v>
      </c>
      <c r="C61" s="1044">
        <f>C55-C43</f>
        <v>445508</v>
      </c>
      <c r="D61" s="1045">
        <f>D55-D43</f>
        <v>0</v>
      </c>
      <c r="E61" s="1045">
        <f>E55-E43</f>
        <v>0</v>
      </c>
      <c r="F61" s="1050">
        <f>F55-F43</f>
        <v>445508</v>
      </c>
      <c r="G61" s="947"/>
      <c r="H61" s="947"/>
    </row>
    <row r="62" spans="1:8">
      <c r="C62" s="1036"/>
      <c r="D62" s="1036"/>
      <c r="E62" s="1036"/>
      <c r="F62" s="1047">
        <f>F61-SUM(C61:E61)</f>
        <v>0</v>
      </c>
      <c r="G62" s="1032" t="s">
        <v>536</v>
      </c>
      <c r="H62" s="947"/>
    </row>
    <row r="64" spans="1:8">
      <c r="B64" s="620" t="s">
        <v>539</v>
      </c>
    </row>
    <row r="65" spans="2:2">
      <c r="B65" s="614" t="s">
        <v>540</v>
      </c>
    </row>
  </sheetData>
  <mergeCells count="6">
    <mergeCell ref="A36:F36"/>
    <mergeCell ref="A4:F4"/>
    <mergeCell ref="A5:F5"/>
    <mergeCell ref="A6:F6"/>
    <mergeCell ref="A34:F34"/>
    <mergeCell ref="A35:F35"/>
  </mergeCells>
  <printOptions horizontalCentered="1"/>
  <pageMargins left="0.75" right="0.75" top="0.75" bottom="0.75" header="0.5" footer="0.5"/>
  <pageSetup scale="86" orientation="portrait" r:id="rId1"/>
  <headerFooter>
    <oddHeader xml:space="preserve">&amp;R&amp;"Arial,Regular"&amp;10Attachment MM Work Paper
Page 1 of 1
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E69DA"/>
  </sheetPr>
  <dimension ref="A1:C37"/>
  <sheetViews>
    <sheetView workbookViewId="0">
      <selection activeCell="C38" sqref="C38"/>
    </sheetView>
  </sheetViews>
  <sheetFormatPr defaultRowHeight="15"/>
  <cols>
    <col min="3" max="3" width="27.77734375" bestFit="1" customWidth="1"/>
  </cols>
  <sheetData>
    <row r="1" spans="1:3" ht="15.75">
      <c r="A1" s="639" t="s">
        <v>550</v>
      </c>
      <c r="B1" s="639">
        <v>358304</v>
      </c>
      <c r="C1" s="856" t="s">
        <v>681</v>
      </c>
    </row>
    <row r="2" spans="1:3" ht="15.75">
      <c r="A2" s="639" t="s">
        <v>445</v>
      </c>
      <c r="B2" s="639">
        <v>2014</v>
      </c>
      <c r="C2" s="639" t="s">
        <v>445</v>
      </c>
    </row>
    <row r="3" spans="1:3" ht="15.75">
      <c r="A3" s="639" t="s">
        <v>445</v>
      </c>
      <c r="B3" s="639">
        <v>2015</v>
      </c>
      <c r="C3" s="639" t="s">
        <v>445</v>
      </c>
    </row>
    <row r="4" spans="1:3" ht="15.75">
      <c r="A4" s="639" t="s">
        <v>551</v>
      </c>
      <c r="B4" s="639">
        <v>1</v>
      </c>
      <c r="C4" s="639" t="s">
        <v>408</v>
      </c>
    </row>
    <row r="5" spans="1:3" ht="15.75">
      <c r="A5" s="639" t="s">
        <v>551</v>
      </c>
      <c r="B5" s="639">
        <v>2</v>
      </c>
      <c r="C5" s="639" t="s">
        <v>409</v>
      </c>
    </row>
    <row r="6" spans="1:3" ht="15.75">
      <c r="A6" s="639" t="s">
        <v>551</v>
      </c>
      <c r="B6" s="639">
        <v>3</v>
      </c>
      <c r="C6" s="639" t="s">
        <v>410</v>
      </c>
    </row>
    <row r="7" spans="1:3" ht="15.75">
      <c r="A7" s="639" t="s">
        <v>551</v>
      </c>
      <c r="B7" s="639">
        <v>4</v>
      </c>
      <c r="C7" s="639" t="s">
        <v>411</v>
      </c>
    </row>
    <row r="8" spans="1:3" ht="15.75">
      <c r="A8" s="639" t="s">
        <v>551</v>
      </c>
      <c r="B8" s="639">
        <v>5</v>
      </c>
      <c r="C8" s="639" t="s">
        <v>20</v>
      </c>
    </row>
    <row r="9" spans="1:3" ht="15.75">
      <c r="A9" s="639" t="s">
        <v>551</v>
      </c>
      <c r="B9" s="639">
        <v>6</v>
      </c>
      <c r="C9" s="639" t="s">
        <v>412</v>
      </c>
    </row>
    <row r="10" spans="1:3" ht="15.75">
      <c r="A10" s="639" t="s">
        <v>551</v>
      </c>
      <c r="B10" s="639">
        <v>7</v>
      </c>
      <c r="C10" s="639" t="s">
        <v>413</v>
      </c>
    </row>
    <row r="11" spans="1:3" ht="15.75">
      <c r="A11" s="639" t="s">
        <v>551</v>
      </c>
      <c r="B11" s="639">
        <v>8</v>
      </c>
      <c r="C11" s="639" t="s">
        <v>414</v>
      </c>
    </row>
    <row r="12" spans="1:3" ht="15.75">
      <c r="A12" s="639" t="s">
        <v>551</v>
      </c>
      <c r="B12" s="639">
        <v>9</v>
      </c>
      <c r="C12" s="639" t="s">
        <v>415</v>
      </c>
    </row>
    <row r="13" spans="1:3" ht="15.75">
      <c r="A13" s="639" t="s">
        <v>551</v>
      </c>
      <c r="B13" s="639">
        <v>10</v>
      </c>
      <c r="C13" s="639" t="s">
        <v>416</v>
      </c>
    </row>
    <row r="14" spans="1:3" ht="15.75">
      <c r="A14" s="639" t="s">
        <v>551</v>
      </c>
      <c r="B14" s="639">
        <v>11</v>
      </c>
      <c r="C14" s="639" t="s">
        <v>417</v>
      </c>
    </row>
    <row r="15" spans="1:3" ht="15.75">
      <c r="A15" s="639" t="s">
        <v>551</v>
      </c>
      <c r="B15" s="639">
        <v>12</v>
      </c>
      <c r="C15" s="639" t="s">
        <v>418</v>
      </c>
    </row>
    <row r="16" spans="1:3" ht="15.75">
      <c r="A16" s="639" t="s">
        <v>551</v>
      </c>
      <c r="B16" s="639">
        <v>0</v>
      </c>
      <c r="C16" s="639" t="s">
        <v>445</v>
      </c>
    </row>
    <row r="17" spans="1:3" ht="15.75">
      <c r="A17" s="639" t="s">
        <v>552</v>
      </c>
      <c r="B17" s="639">
        <v>31700</v>
      </c>
      <c r="C17" s="639" t="s">
        <v>553</v>
      </c>
    </row>
    <row r="18" spans="1:3" ht="15.75">
      <c r="A18" s="639" t="s">
        <v>552</v>
      </c>
      <c r="B18" s="639">
        <v>18500</v>
      </c>
      <c r="C18" s="639" t="s">
        <v>554</v>
      </c>
    </row>
    <row r="19" spans="1:3" ht="15.75">
      <c r="A19" s="639" t="s">
        <v>552</v>
      </c>
      <c r="B19" s="639">
        <v>17506</v>
      </c>
      <c r="C19" s="639" t="s">
        <v>555</v>
      </c>
    </row>
    <row r="20" spans="1:3" ht="15.75">
      <c r="A20" s="639" t="s">
        <v>552</v>
      </c>
      <c r="B20" s="639">
        <v>116303</v>
      </c>
      <c r="C20" s="639" t="s">
        <v>556</v>
      </c>
    </row>
    <row r="21" spans="1:3" ht="15.75">
      <c r="A21" s="639" t="s">
        <v>552</v>
      </c>
      <c r="B21" s="639">
        <v>99927</v>
      </c>
      <c r="C21" s="639" t="s">
        <v>557</v>
      </c>
    </row>
    <row r="22" spans="1:3" ht="15.75">
      <c r="A22" s="639" t="s">
        <v>552</v>
      </c>
      <c r="B22" s="639">
        <v>100001</v>
      </c>
      <c r="C22" s="639" t="s">
        <v>558</v>
      </c>
    </row>
    <row r="23" spans="1:3" ht="15.75">
      <c r="A23" s="639" t="s">
        <v>552</v>
      </c>
      <c r="B23" s="639">
        <v>125100</v>
      </c>
      <c r="C23" s="639" t="s">
        <v>559</v>
      </c>
    </row>
    <row r="24" spans="1:3" ht="15.75">
      <c r="A24" s="639" t="s">
        <v>552</v>
      </c>
      <c r="B24" s="639">
        <v>18300</v>
      </c>
      <c r="C24" s="639" t="s">
        <v>560</v>
      </c>
    </row>
    <row r="25" spans="1:3" ht="15.75">
      <c r="A25" s="639" t="s">
        <v>552</v>
      </c>
      <c r="B25" s="639">
        <v>19200</v>
      </c>
      <c r="C25" s="639" t="s">
        <v>561</v>
      </c>
    </row>
    <row r="26" spans="1:3" ht="15.75">
      <c r="A26" s="639" t="s">
        <v>552</v>
      </c>
      <c r="B26" s="639">
        <v>125987</v>
      </c>
      <c r="C26" s="639" t="s">
        <v>562</v>
      </c>
    </row>
    <row r="27" spans="1:3" ht="15.75">
      <c r="A27" s="639" t="s">
        <v>552</v>
      </c>
      <c r="B27" s="639">
        <v>19503</v>
      </c>
      <c r="C27" s="639" t="s">
        <v>563</v>
      </c>
    </row>
    <row r="28" spans="1:3" ht="15.75">
      <c r="A28" s="639" t="s">
        <v>552</v>
      </c>
      <c r="B28" s="639">
        <v>1501</v>
      </c>
      <c r="C28" s="639" t="s">
        <v>564</v>
      </c>
    </row>
    <row r="29" spans="1:3" ht="15.75">
      <c r="A29" s="639" t="s">
        <v>552</v>
      </c>
      <c r="B29" s="639">
        <v>1503</v>
      </c>
      <c r="C29" s="639" t="s">
        <v>565</v>
      </c>
    </row>
    <row r="30" spans="1:3" ht="15.75">
      <c r="A30" s="639" t="s">
        <v>552</v>
      </c>
      <c r="B30" s="639">
        <v>87300</v>
      </c>
      <c r="C30" s="652" t="s">
        <v>580</v>
      </c>
    </row>
    <row r="31" spans="1:3" ht="15.75">
      <c r="A31" s="639" t="s">
        <v>552</v>
      </c>
      <c r="B31" s="639">
        <v>11725</v>
      </c>
      <c r="C31" s="652" t="s">
        <v>584</v>
      </c>
    </row>
    <row r="32" spans="1:3" ht="15.75">
      <c r="A32" s="669" t="s">
        <v>552</v>
      </c>
      <c r="B32" s="669">
        <v>43550</v>
      </c>
      <c r="C32" s="669" t="s">
        <v>592</v>
      </c>
    </row>
    <row r="33" spans="1:3" ht="15.75">
      <c r="A33" s="669" t="s">
        <v>552</v>
      </c>
      <c r="B33" s="669">
        <v>164900</v>
      </c>
      <c r="C33" s="675" t="s">
        <v>609</v>
      </c>
    </row>
    <row r="34" spans="1:3" ht="15.75">
      <c r="A34" s="639" t="s">
        <v>566</v>
      </c>
      <c r="B34" s="639">
        <v>1206</v>
      </c>
      <c r="C34" s="639" t="s">
        <v>0</v>
      </c>
    </row>
    <row r="35" spans="1:3" ht="15.75">
      <c r="A35" s="639" t="s">
        <v>566</v>
      </c>
      <c r="B35" s="639">
        <v>18594</v>
      </c>
      <c r="C35" s="639" t="s">
        <v>567</v>
      </c>
    </row>
    <row r="36" spans="1:3" ht="15.75">
      <c r="A36" s="639" t="s">
        <v>566</v>
      </c>
      <c r="B36" s="639">
        <v>18595</v>
      </c>
      <c r="C36" s="639" t="s">
        <v>568</v>
      </c>
    </row>
    <row r="37" spans="1:3" ht="15.75">
      <c r="A37" s="639" t="s">
        <v>566</v>
      </c>
      <c r="B37" s="639">
        <v>18596</v>
      </c>
      <c r="C37" s="881" t="s">
        <v>702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3:S36"/>
  <sheetViews>
    <sheetView showGridLines="0" zoomScaleNormal="100" workbookViewId="0">
      <selection activeCell="O2" sqref="O2"/>
    </sheetView>
  </sheetViews>
  <sheetFormatPr defaultRowHeight="12.75"/>
  <cols>
    <col min="1" max="1" width="3.6640625" style="172" customWidth="1"/>
    <col min="2" max="2" width="18.6640625" style="173" bestFit="1" customWidth="1"/>
    <col min="3" max="3" width="15.77734375" style="173" customWidth="1"/>
    <col min="4" max="4" width="17.5546875" style="173" customWidth="1"/>
    <col min="5" max="5" width="12.77734375" style="173" customWidth="1"/>
    <col min="6" max="7" width="15.77734375" style="173" customWidth="1"/>
    <col min="8" max="8" width="18.44140625" style="173" customWidth="1"/>
    <col min="9" max="9" width="12.77734375" style="173" customWidth="1"/>
    <col min="10" max="19" width="9.109375" style="173" customWidth="1"/>
    <col min="20" max="16384" width="8.88671875" style="173"/>
  </cols>
  <sheetData>
    <row r="3" spans="1:19">
      <c r="I3" s="1080"/>
    </row>
    <row r="4" spans="1:19">
      <c r="A4" s="1085" t="s">
        <v>0</v>
      </c>
      <c r="B4" s="1085"/>
      <c r="C4" s="1085"/>
      <c r="D4" s="1085"/>
      <c r="E4" s="1085"/>
      <c r="F4" s="1085"/>
      <c r="G4" s="1085"/>
      <c r="H4" s="1085"/>
      <c r="I4" s="1085"/>
    </row>
    <row r="5" spans="1:19">
      <c r="A5" s="1085" t="s">
        <v>353</v>
      </c>
      <c r="B5" s="1085"/>
      <c r="C5" s="1085"/>
      <c r="D5" s="1085"/>
      <c r="E5" s="1085"/>
      <c r="F5" s="1085"/>
      <c r="G5" s="1085"/>
      <c r="H5" s="1085"/>
      <c r="I5" s="1085"/>
      <c r="J5" s="638"/>
    </row>
    <row r="6" spans="1:19">
      <c r="A6" s="1084" t="str">
        <f>"For the 13 Months Ended December 31, "&amp;Info!B3</f>
        <v>For the 13 Months Ended December 31, 2015</v>
      </c>
      <c r="B6" s="1084"/>
      <c r="C6" s="1084"/>
      <c r="D6" s="1084"/>
      <c r="E6" s="1084"/>
      <c r="F6" s="1084"/>
      <c r="G6" s="1084"/>
      <c r="H6" s="1084"/>
      <c r="I6" s="1084"/>
      <c r="J6" s="638"/>
    </row>
    <row r="8" spans="1:19">
      <c r="B8" s="172" t="s">
        <v>1</v>
      </c>
      <c r="C8" s="172" t="s">
        <v>2</v>
      </c>
      <c r="D8" s="172" t="s">
        <v>3</v>
      </c>
      <c r="E8" s="570" t="s">
        <v>4</v>
      </c>
      <c r="F8" s="570" t="s">
        <v>5</v>
      </c>
      <c r="G8" s="571" t="s">
        <v>7</v>
      </c>
      <c r="H8" s="571" t="s">
        <v>6</v>
      </c>
      <c r="I8" s="571" t="s">
        <v>30</v>
      </c>
    </row>
    <row r="10" spans="1:19">
      <c r="A10" s="174"/>
      <c r="B10" s="200"/>
      <c r="C10" s="175" t="s">
        <v>354</v>
      </c>
      <c r="D10" s="175" t="s">
        <v>354</v>
      </c>
      <c r="E10" s="175" t="s">
        <v>355</v>
      </c>
      <c r="F10" s="175" t="s">
        <v>356</v>
      </c>
      <c r="G10" s="568" t="s">
        <v>521</v>
      </c>
      <c r="H10" s="568" t="s">
        <v>520</v>
      </c>
      <c r="I10" s="176"/>
    </row>
    <row r="11" spans="1:19">
      <c r="A11" s="177" t="s">
        <v>8</v>
      </c>
      <c r="B11" s="178"/>
      <c r="C11" s="179" t="s">
        <v>469</v>
      </c>
      <c r="D11" s="629" t="s">
        <v>546</v>
      </c>
      <c r="E11" s="689" t="s">
        <v>611</v>
      </c>
      <c r="F11" s="688" t="s">
        <v>611</v>
      </c>
      <c r="G11" s="629" t="s">
        <v>541</v>
      </c>
      <c r="H11" s="629" t="s">
        <v>608</v>
      </c>
      <c r="I11" s="180"/>
    </row>
    <row r="12" spans="1:19">
      <c r="A12" s="181" t="s">
        <v>10</v>
      </c>
      <c r="B12" s="201" t="s">
        <v>47</v>
      </c>
      <c r="C12" s="389" t="s">
        <v>470</v>
      </c>
      <c r="D12" s="569" t="s">
        <v>547</v>
      </c>
      <c r="E12" s="389" t="s">
        <v>471</v>
      </c>
      <c r="F12" s="389" t="s">
        <v>472</v>
      </c>
      <c r="G12" s="569" t="s">
        <v>522</v>
      </c>
      <c r="H12" s="569" t="s">
        <v>523</v>
      </c>
      <c r="I12" s="183" t="s">
        <v>16</v>
      </c>
    </row>
    <row r="13" spans="1:19">
      <c r="A13" s="174">
        <v>1</v>
      </c>
      <c r="B13" s="953" t="str">
        <f>"December "&amp;Info!B2</f>
        <v>December 2014</v>
      </c>
      <c r="C13" s="956">
        <v>0</v>
      </c>
      <c r="D13" s="956">
        <v>0</v>
      </c>
      <c r="E13" s="956">
        <v>40919614</v>
      </c>
      <c r="F13" s="956">
        <v>8618177.6899999995</v>
      </c>
      <c r="G13" s="956">
        <v>6259445</v>
      </c>
      <c r="H13" s="956">
        <v>6615624.4299999904</v>
      </c>
      <c r="I13" s="615">
        <f t="shared" ref="I13:I25" si="0">+SUM(C13:H13)</f>
        <v>62412861.11999999</v>
      </c>
      <c r="J13" s="184"/>
      <c r="K13" s="184"/>
      <c r="L13" s="184"/>
      <c r="M13" s="184"/>
      <c r="N13" s="184"/>
      <c r="O13" s="184"/>
      <c r="P13" s="184"/>
      <c r="Q13" s="184"/>
      <c r="R13" s="184"/>
      <c r="S13" s="184"/>
    </row>
    <row r="14" spans="1:19" s="184" customFormat="1">
      <c r="A14" s="177">
        <f>+A13+1</f>
        <v>2</v>
      </c>
      <c r="B14" s="953" t="str">
        <f>"January "&amp;Info!B3</f>
        <v>January 2015</v>
      </c>
      <c r="C14" s="956">
        <v>0</v>
      </c>
      <c r="D14" s="956">
        <v>0</v>
      </c>
      <c r="E14" s="956">
        <v>41671210</v>
      </c>
      <c r="F14" s="956">
        <v>2968741.69</v>
      </c>
      <c r="G14" s="956">
        <v>6605618</v>
      </c>
      <c r="H14" s="956">
        <v>7339881.4299999904</v>
      </c>
      <c r="I14" s="615">
        <f t="shared" si="0"/>
        <v>58585451.11999999</v>
      </c>
      <c r="J14" s="186"/>
      <c r="K14" s="186"/>
      <c r="L14" s="186"/>
      <c r="M14" s="186"/>
      <c r="N14" s="186"/>
      <c r="O14" s="186"/>
      <c r="P14" s="186"/>
      <c r="Q14" s="186"/>
      <c r="R14" s="186"/>
      <c r="S14" s="186"/>
    </row>
    <row r="15" spans="1:19">
      <c r="A15" s="177">
        <f>+A14+1</f>
        <v>3</v>
      </c>
      <c r="B15" s="957" t="s">
        <v>17</v>
      </c>
      <c r="C15" s="956">
        <v>0</v>
      </c>
      <c r="D15" s="956">
        <v>0</v>
      </c>
      <c r="E15" s="956">
        <v>41996254</v>
      </c>
      <c r="F15" s="956">
        <v>2404732.69</v>
      </c>
      <c r="G15" s="956">
        <v>6972792</v>
      </c>
      <c r="H15" s="956">
        <v>7638433.4299999904</v>
      </c>
      <c r="I15" s="615">
        <f t="shared" si="0"/>
        <v>59012212.11999999</v>
      </c>
      <c r="J15" s="184"/>
    </row>
    <row r="16" spans="1:19">
      <c r="A16" s="177">
        <f>+A15+1</f>
        <v>4</v>
      </c>
      <c r="B16" s="957" t="s">
        <v>18</v>
      </c>
      <c r="C16" s="956">
        <v>0</v>
      </c>
      <c r="D16" s="956">
        <v>0</v>
      </c>
      <c r="E16" s="956">
        <v>42374447</v>
      </c>
      <c r="F16" s="956">
        <v>2429485.69</v>
      </c>
      <c r="G16" s="956">
        <v>7318967</v>
      </c>
      <c r="H16" s="956">
        <v>8094343.4299999904</v>
      </c>
      <c r="I16" s="615">
        <f t="shared" si="0"/>
        <v>60217243.11999999</v>
      </c>
    </row>
    <row r="17" spans="1:19">
      <c r="A17" s="177">
        <f>+A16+1</f>
        <v>5</v>
      </c>
      <c r="B17" s="957" t="s">
        <v>19</v>
      </c>
      <c r="C17" s="956">
        <v>0</v>
      </c>
      <c r="D17" s="956">
        <v>0</v>
      </c>
      <c r="E17" s="956">
        <v>42699399</v>
      </c>
      <c r="F17" s="956">
        <v>2277349.69</v>
      </c>
      <c r="G17" s="956">
        <v>7688643</v>
      </c>
      <c r="H17" s="956">
        <v>8623632.4299999997</v>
      </c>
      <c r="I17" s="615">
        <f t="shared" si="0"/>
        <v>61289024.119999997</v>
      </c>
    </row>
    <row r="18" spans="1:19">
      <c r="A18" s="177">
        <f>+A17+1</f>
        <v>6</v>
      </c>
      <c r="B18" s="957" t="s">
        <v>20</v>
      </c>
      <c r="C18" s="956">
        <v>0</v>
      </c>
      <c r="D18" s="956">
        <v>0</v>
      </c>
      <c r="E18" s="956">
        <v>0</v>
      </c>
      <c r="F18" s="956">
        <v>2283225.69</v>
      </c>
      <c r="G18" s="956">
        <v>8075320</v>
      </c>
      <c r="H18" s="956">
        <v>9206499.4299999997</v>
      </c>
      <c r="I18" s="615">
        <f t="shared" si="0"/>
        <v>19565045.119999997</v>
      </c>
      <c r="J18" s="184"/>
      <c r="K18" s="184"/>
      <c r="L18" s="184"/>
      <c r="M18" s="184"/>
      <c r="N18" s="184"/>
      <c r="O18" s="184"/>
      <c r="P18" s="184"/>
    </row>
    <row r="19" spans="1:19">
      <c r="A19" s="177">
        <f t="shared" ref="A19:A27" si="1">+A18+1</f>
        <v>7</v>
      </c>
      <c r="B19" s="957" t="s">
        <v>21</v>
      </c>
      <c r="C19" s="956">
        <v>0</v>
      </c>
      <c r="D19" s="956">
        <v>0</v>
      </c>
      <c r="E19" s="956">
        <v>0</v>
      </c>
      <c r="F19" s="956">
        <v>2289344.69</v>
      </c>
      <c r="G19" s="956">
        <v>9015498</v>
      </c>
      <c r="H19" s="956">
        <v>9670283.4299999997</v>
      </c>
      <c r="I19" s="615">
        <f t="shared" si="0"/>
        <v>20975126.119999997</v>
      </c>
      <c r="L19" s="184"/>
      <c r="M19" s="184"/>
      <c r="N19" s="184"/>
      <c r="O19" s="184"/>
      <c r="P19" s="184"/>
      <c r="Q19" s="184"/>
      <c r="R19" s="184"/>
      <c r="S19" s="184"/>
    </row>
    <row r="20" spans="1:19">
      <c r="A20" s="177">
        <f t="shared" si="1"/>
        <v>8</v>
      </c>
      <c r="B20" s="957" t="s">
        <v>22</v>
      </c>
      <c r="C20" s="956">
        <v>0</v>
      </c>
      <c r="D20" s="956">
        <v>0</v>
      </c>
      <c r="E20" s="956">
        <v>0</v>
      </c>
      <c r="F20" s="956">
        <v>2292161.69</v>
      </c>
      <c r="G20" s="956">
        <v>10418677</v>
      </c>
      <c r="H20" s="956">
        <v>12431212.43</v>
      </c>
      <c r="I20" s="615">
        <f t="shared" si="0"/>
        <v>25142051.119999997</v>
      </c>
    </row>
    <row r="21" spans="1:19">
      <c r="A21" s="177">
        <f t="shared" si="1"/>
        <v>9</v>
      </c>
      <c r="B21" s="957" t="s">
        <v>23</v>
      </c>
      <c r="C21" s="956">
        <v>0</v>
      </c>
      <c r="D21" s="956">
        <v>0</v>
      </c>
      <c r="E21" s="956">
        <v>0</v>
      </c>
      <c r="F21" s="956">
        <v>2294978.69</v>
      </c>
      <c r="G21" s="956">
        <v>11821857</v>
      </c>
      <c r="H21" s="956">
        <v>12882983.43</v>
      </c>
      <c r="I21" s="615">
        <f t="shared" si="0"/>
        <v>26999819.119999997</v>
      </c>
    </row>
    <row r="22" spans="1:19">
      <c r="A22" s="177">
        <f t="shared" si="1"/>
        <v>10</v>
      </c>
      <c r="B22" s="957" t="s">
        <v>24</v>
      </c>
      <c r="C22" s="956">
        <v>0</v>
      </c>
      <c r="D22" s="956">
        <v>0</v>
      </c>
      <c r="E22" s="956">
        <v>0</v>
      </c>
      <c r="F22" s="956">
        <v>2297795.69</v>
      </c>
      <c r="G22" s="956">
        <v>13149038</v>
      </c>
      <c r="H22" s="956">
        <v>15629586.429999899</v>
      </c>
      <c r="I22" s="615">
        <f t="shared" si="0"/>
        <v>31076420.1199999</v>
      </c>
      <c r="J22" s="184"/>
      <c r="K22" s="185"/>
    </row>
    <row r="23" spans="1:19">
      <c r="A23" s="177">
        <f t="shared" si="1"/>
        <v>11</v>
      </c>
      <c r="B23" s="957" t="s">
        <v>25</v>
      </c>
      <c r="C23" s="956">
        <v>0</v>
      </c>
      <c r="D23" s="956">
        <v>0</v>
      </c>
      <c r="E23" s="956">
        <v>0</v>
      </c>
      <c r="F23" s="956">
        <v>2300612.69</v>
      </c>
      <c r="G23" s="956">
        <v>14476220</v>
      </c>
      <c r="H23" s="956">
        <v>16661373.429999899</v>
      </c>
      <c r="I23" s="615">
        <f t="shared" si="0"/>
        <v>33438206.1199999</v>
      </c>
    </row>
    <row r="24" spans="1:19">
      <c r="A24" s="177">
        <f t="shared" si="1"/>
        <v>12</v>
      </c>
      <c r="B24" s="957" t="s">
        <v>26</v>
      </c>
      <c r="C24" s="956">
        <v>0</v>
      </c>
      <c r="D24" s="956">
        <v>0</v>
      </c>
      <c r="E24" s="956">
        <v>0</v>
      </c>
      <c r="F24" s="956">
        <v>2303186.69</v>
      </c>
      <c r="G24" s="956">
        <v>15263403</v>
      </c>
      <c r="H24" s="956">
        <v>17485613.43</v>
      </c>
      <c r="I24" s="615">
        <f t="shared" si="0"/>
        <v>35052203.120000005</v>
      </c>
    </row>
    <row r="25" spans="1:19">
      <c r="A25" s="177">
        <f t="shared" si="1"/>
        <v>13</v>
      </c>
      <c r="B25" s="957" t="s">
        <v>27</v>
      </c>
      <c r="C25" s="956">
        <v>0</v>
      </c>
      <c r="D25" s="956">
        <v>0</v>
      </c>
      <c r="E25" s="956">
        <v>0</v>
      </c>
      <c r="F25" s="956">
        <v>0</v>
      </c>
      <c r="G25" s="956">
        <v>17741587</v>
      </c>
      <c r="H25" s="956">
        <v>20013799.43</v>
      </c>
      <c r="I25" s="615">
        <f t="shared" si="0"/>
        <v>37755386.43</v>
      </c>
    </row>
    <row r="26" spans="1:19">
      <c r="A26" s="177">
        <f t="shared" si="1"/>
        <v>14</v>
      </c>
      <c r="B26" s="187"/>
      <c r="C26" s="616"/>
      <c r="D26" s="616"/>
      <c r="E26" s="616"/>
      <c r="F26" s="616"/>
      <c r="G26" s="616"/>
      <c r="H26" s="616"/>
      <c r="I26" s="617"/>
    </row>
    <row r="27" spans="1:19">
      <c r="A27" s="177">
        <f t="shared" si="1"/>
        <v>15</v>
      </c>
      <c r="B27" s="188" t="s">
        <v>28</v>
      </c>
      <c r="C27" s="618">
        <f t="shared" ref="C27:H27" si="2">+AVERAGE(C13:C25)</f>
        <v>0</v>
      </c>
      <c r="D27" s="618">
        <f t="shared" ref="D27" si="3">+AVERAGE(D13:D25)</f>
        <v>0</v>
      </c>
      <c r="E27" s="618">
        <f>+AVERAGE(E13:E25)</f>
        <v>16127763.384615384</v>
      </c>
      <c r="F27" s="618">
        <f t="shared" si="2"/>
        <v>2673830.252307693</v>
      </c>
      <c r="G27" s="618">
        <f t="shared" si="2"/>
        <v>10369774.23076923</v>
      </c>
      <c r="H27" s="618">
        <f t="shared" si="2"/>
        <v>11714866.660769215</v>
      </c>
      <c r="I27" s="619">
        <f>+SUM(C27:H27)</f>
        <v>40886234.528461523</v>
      </c>
      <c r="J27" s="545">
        <f>AVERAGE(I13:I25)-I27</f>
        <v>0</v>
      </c>
    </row>
    <row r="28" spans="1:19">
      <c r="A28" s="189"/>
      <c r="B28" s="202"/>
      <c r="C28" s="190"/>
      <c r="D28" s="190"/>
      <c r="E28" s="190"/>
      <c r="F28" s="190"/>
      <c r="G28" s="190"/>
      <c r="H28" s="190"/>
      <c r="I28" s="191"/>
    </row>
    <row r="31" spans="1:19">
      <c r="B31" s="154" t="s">
        <v>519</v>
      </c>
      <c r="C31" s="411"/>
      <c r="D31" s="411"/>
      <c r="E31" s="412"/>
    </row>
    <row r="32" spans="1:19">
      <c r="B32" s="611" t="s">
        <v>610</v>
      </c>
    </row>
    <row r="34" spans="2:18">
      <c r="B34" s="690" t="s">
        <v>612</v>
      </c>
    </row>
    <row r="35" spans="2:18">
      <c r="B35" s="690" t="s">
        <v>543</v>
      </c>
    </row>
    <row r="36" spans="2:18">
      <c r="E36" s="681"/>
      <c r="F36" s="681"/>
      <c r="G36" s="681"/>
      <c r="H36" s="681"/>
      <c r="I36" s="681"/>
      <c r="J36" s="681"/>
      <c r="K36" s="681"/>
      <c r="L36" s="681"/>
      <c r="M36" s="681"/>
      <c r="N36" s="681"/>
      <c r="O36" s="681"/>
      <c r="P36" s="681"/>
      <c r="Q36" s="681"/>
      <c r="R36" s="680">
        <v>0</v>
      </c>
    </row>
  </sheetData>
  <mergeCells count="3">
    <mergeCell ref="A6:I6"/>
    <mergeCell ref="A4:I4"/>
    <mergeCell ref="A5:I5"/>
  </mergeCells>
  <printOptions horizontalCentered="1"/>
  <pageMargins left="0.75" right="0.75" top="0.75" bottom="0.75" header="0.5" footer="0.3"/>
  <pageSetup scale="60" orientation="landscape" r:id="rId1"/>
  <headerFooter>
    <oddHeader>&amp;R&amp;"Arial,Regular"&amp;10Attachment O Work Paper
Page 3 of 20</oddHeader>
  </headerFooter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>
    <pageSetUpPr fitToPage="1"/>
  </sheetPr>
  <dimension ref="A1:J35"/>
  <sheetViews>
    <sheetView showGridLines="0" zoomScaleNormal="100" workbookViewId="0">
      <selection activeCell="O2" sqref="O2"/>
    </sheetView>
  </sheetViews>
  <sheetFormatPr defaultColWidth="8.5546875" defaultRowHeight="12.75"/>
  <cols>
    <col min="1" max="1" width="7.109375" style="27" customWidth="1"/>
    <col min="2" max="2" width="43.77734375" style="29" bestFit="1" customWidth="1"/>
    <col min="3" max="5" width="12.77734375" style="29" customWidth="1"/>
    <col min="6" max="6" width="12.77734375" style="30" customWidth="1"/>
    <col min="7" max="7" width="8.5546875" style="30"/>
    <col min="8" max="8" width="9.109375" style="30" customWidth="1"/>
    <col min="9" max="16384" width="8.5546875" style="30"/>
  </cols>
  <sheetData>
    <row r="1" spans="1:7">
      <c r="B1" s="28"/>
      <c r="F1" s="1080"/>
    </row>
    <row r="2" spans="1:7">
      <c r="B2" s="31"/>
      <c r="F2" s="638"/>
    </row>
    <row r="3" spans="1:7" ht="12.75" customHeight="1">
      <c r="A3" s="1086" t="s">
        <v>0</v>
      </c>
      <c r="B3" s="1086"/>
      <c r="C3" s="1086"/>
      <c r="D3" s="1086"/>
      <c r="E3" s="1086"/>
      <c r="F3" s="1086"/>
    </row>
    <row r="4" spans="1:7" ht="12.75" customHeight="1">
      <c r="A4" s="1086" t="s">
        <v>37</v>
      </c>
      <c r="B4" s="1086"/>
      <c r="C4" s="1086"/>
      <c r="D4" s="1086"/>
      <c r="E4" s="1086"/>
      <c r="F4" s="1086"/>
    </row>
    <row r="5" spans="1:7" ht="12.75" customHeight="1">
      <c r="A5" s="1087" t="s">
        <v>683</v>
      </c>
      <c r="B5" s="1087"/>
      <c r="C5" s="1087"/>
      <c r="D5" s="1087"/>
      <c r="E5" s="1087"/>
      <c r="F5" s="1087"/>
    </row>
    <row r="6" spans="1:7" ht="12.75" customHeight="1">
      <c r="C6" s="32"/>
      <c r="D6" s="33"/>
      <c r="G6" s="638"/>
    </row>
    <row r="7" spans="1:7" ht="12.75" customHeight="1">
      <c r="B7" s="27" t="s">
        <v>1</v>
      </c>
      <c r="C7" s="27" t="s">
        <v>2</v>
      </c>
      <c r="D7" s="27" t="s">
        <v>3</v>
      </c>
      <c r="E7" s="27" t="s">
        <v>4</v>
      </c>
      <c r="F7" s="138" t="s">
        <v>5</v>
      </c>
    </row>
    <row r="9" spans="1:7" ht="25.5">
      <c r="A9" s="134" t="s">
        <v>38</v>
      </c>
      <c r="B9" s="34" t="s">
        <v>39</v>
      </c>
      <c r="C9" s="42">
        <v>42004</v>
      </c>
      <c r="D9" s="45" t="s">
        <v>40</v>
      </c>
      <c r="E9" s="42">
        <v>42369</v>
      </c>
      <c r="F9" s="139" t="s">
        <v>338</v>
      </c>
    </row>
    <row r="10" spans="1:7">
      <c r="A10" s="100">
        <v>1</v>
      </c>
      <c r="B10" s="33" t="s">
        <v>44</v>
      </c>
      <c r="C10" s="686">
        <f>C26</f>
        <v>79468936.82981503</v>
      </c>
      <c r="D10" s="38">
        <f>E10-C10</f>
        <v>-14711608.512828499</v>
      </c>
      <c r="E10" s="686">
        <f>E26</f>
        <v>64757328.316986531</v>
      </c>
      <c r="F10" s="141">
        <f>(C10+E10)/2</f>
        <v>72113132.573400781</v>
      </c>
      <c r="G10" s="628"/>
    </row>
    <row r="11" spans="1:7">
      <c r="A11" s="102">
        <f>A10+1</f>
        <v>2</v>
      </c>
      <c r="B11" s="33"/>
      <c r="C11" s="38"/>
      <c r="D11" s="38"/>
      <c r="E11" s="38"/>
      <c r="F11" s="141"/>
    </row>
    <row r="12" spans="1:7">
      <c r="A12" s="102">
        <f t="shared" ref="A12:A18" si="0">A11+1</f>
        <v>3</v>
      </c>
      <c r="B12" s="33" t="s">
        <v>41</v>
      </c>
      <c r="C12" s="692">
        <f>C31</f>
        <v>-274355353.84971601</v>
      </c>
      <c r="D12" s="38">
        <f>E12-C12</f>
        <v>-7064826.2943765521</v>
      </c>
      <c r="E12" s="692">
        <f>E31</f>
        <v>-281420180.14409256</v>
      </c>
      <c r="F12" s="141">
        <f>(C12+E12)/2</f>
        <v>-277887766.99690425</v>
      </c>
    </row>
    <row r="13" spans="1:7">
      <c r="A13" s="102">
        <f t="shared" si="0"/>
        <v>4</v>
      </c>
      <c r="B13" s="33"/>
      <c r="C13" s="38"/>
      <c r="D13" s="38"/>
      <c r="E13" s="38"/>
      <c r="F13" s="141"/>
    </row>
    <row r="14" spans="1:7">
      <c r="A14" s="102">
        <f t="shared" si="0"/>
        <v>5</v>
      </c>
      <c r="B14" s="33" t="s">
        <v>42</v>
      </c>
      <c r="C14" s="692">
        <f>C35</f>
        <v>-20258494.537329331</v>
      </c>
      <c r="D14" s="38">
        <f>E14-C14</f>
        <v>6034590.2253357917</v>
      </c>
      <c r="E14" s="692">
        <f>E35</f>
        <v>-14223904.311993539</v>
      </c>
      <c r="F14" s="141">
        <f>(C14+E14)/2</f>
        <v>-17241199.424661435</v>
      </c>
    </row>
    <row r="15" spans="1:7">
      <c r="A15" s="102">
        <f t="shared" si="0"/>
        <v>6</v>
      </c>
      <c r="B15" s="33" t="s">
        <v>43</v>
      </c>
      <c r="C15" s="143">
        <v>0</v>
      </c>
      <c r="D15" s="143">
        <v>0</v>
      </c>
      <c r="E15" s="143">
        <f>C15-D15</f>
        <v>0</v>
      </c>
      <c r="F15" s="142">
        <f>(C15+E15)/2</f>
        <v>0</v>
      </c>
    </row>
    <row r="16" spans="1:7">
      <c r="A16" s="102">
        <f t="shared" si="0"/>
        <v>7</v>
      </c>
      <c r="B16" s="137" t="s">
        <v>337</v>
      </c>
      <c r="C16" s="38">
        <f>+SUM(C14:C15)</f>
        <v>-20258494.537329331</v>
      </c>
      <c r="D16" s="38">
        <f>+SUM(D14:D15)</f>
        <v>6034590.2253357917</v>
      </c>
      <c r="E16" s="38">
        <f>+SUM(E14:E15)</f>
        <v>-14223904.311993539</v>
      </c>
      <c r="F16" s="146">
        <f>+SUM(F14:F15)</f>
        <v>-17241199.424661435</v>
      </c>
    </row>
    <row r="17" spans="1:10">
      <c r="A17" s="102">
        <f t="shared" si="0"/>
        <v>8</v>
      </c>
      <c r="B17" s="137"/>
      <c r="C17" s="38"/>
      <c r="D17" s="38"/>
      <c r="E17" s="145"/>
      <c r="F17" s="144"/>
    </row>
    <row r="18" spans="1:10">
      <c r="A18" s="102">
        <f t="shared" si="0"/>
        <v>9</v>
      </c>
      <c r="B18" s="136" t="s">
        <v>339</v>
      </c>
      <c r="C18" s="147">
        <f>SUM(C10:C12)+C16</f>
        <v>-215144911.55723029</v>
      </c>
      <c r="D18" s="147">
        <f>SUM(D10:D12)+D16</f>
        <v>-15741844.581869259</v>
      </c>
      <c r="E18" s="148">
        <f>SUM(E10:E12)+E16</f>
        <v>-230886756.13909957</v>
      </c>
      <c r="F18" s="197">
        <f>SUM(F10:F12)+F16</f>
        <v>-223015833.84816489</v>
      </c>
    </row>
    <row r="19" spans="1:10">
      <c r="A19" s="101"/>
      <c r="B19" s="44"/>
      <c r="C19" s="514"/>
      <c r="D19" s="514"/>
      <c r="E19" s="514"/>
      <c r="F19" s="140"/>
    </row>
    <row r="20" spans="1:10">
      <c r="C20" s="40"/>
      <c r="D20" s="40"/>
      <c r="E20" s="40"/>
    </row>
    <row r="21" spans="1:10">
      <c r="B21" s="154" t="s">
        <v>519</v>
      </c>
      <c r="C21" s="40"/>
      <c r="D21" s="40"/>
      <c r="E21" s="40"/>
    </row>
    <row r="22" spans="1:10">
      <c r="A22" s="515"/>
      <c r="C22" s="861">
        <v>2014</v>
      </c>
      <c r="E22" s="861">
        <v>2015</v>
      </c>
    </row>
    <row r="23" spans="1:10" s="29" customFormat="1">
      <c r="A23" s="33"/>
      <c r="B23" s="685" t="s">
        <v>613</v>
      </c>
      <c r="C23" s="958">
        <v>99730493.24514915</v>
      </c>
      <c r="D23" s="959"/>
      <c r="E23" s="958">
        <v>85597181.139919758</v>
      </c>
      <c r="F23" s="30"/>
      <c r="G23" s="30"/>
      <c r="H23" s="30"/>
      <c r="I23" s="30"/>
      <c r="J23" s="30"/>
    </row>
    <row r="24" spans="1:10" s="29" customFormat="1" ht="25.5">
      <c r="A24" s="650"/>
      <c r="B24" s="936" t="s">
        <v>731</v>
      </c>
      <c r="C24" s="960">
        <v>-3031837</v>
      </c>
      <c r="D24" s="961"/>
      <c r="E24" s="960">
        <v>-3031837</v>
      </c>
      <c r="F24" s="935"/>
      <c r="G24" s="935"/>
      <c r="H24" s="935"/>
      <c r="I24" s="628"/>
      <c r="J24" s="30"/>
    </row>
    <row r="25" spans="1:10" s="29" customFormat="1" ht="38.25">
      <c r="A25" s="650"/>
      <c r="B25" s="687" t="s">
        <v>705</v>
      </c>
      <c r="C25" s="373">
        <v>-17229719.415334128</v>
      </c>
      <c r="D25" s="962"/>
      <c r="E25" s="373">
        <v>-17808015.822933223</v>
      </c>
      <c r="F25" s="30"/>
      <c r="G25" s="30"/>
      <c r="H25" s="30"/>
      <c r="I25" s="30"/>
      <c r="J25" s="30"/>
    </row>
    <row r="26" spans="1:10" s="29" customFormat="1">
      <c r="A26" s="27"/>
      <c r="B26" s="627"/>
      <c r="C26" s="963">
        <f t="shared" ref="C26" si="1">SUM(C23:C25)</f>
        <v>79468936.82981503</v>
      </c>
      <c r="D26" s="964"/>
      <c r="E26" s="963">
        <f>SUM(E23:E25)</f>
        <v>64757328.316986531</v>
      </c>
      <c r="F26" s="30"/>
      <c r="G26" s="30"/>
      <c r="H26" s="30"/>
      <c r="I26" s="30"/>
      <c r="J26" s="30"/>
    </row>
    <row r="27" spans="1:10" s="29" customFormat="1">
      <c r="A27" s="27"/>
      <c r="B27" s="627"/>
      <c r="C27" s="965"/>
      <c r="D27" s="959"/>
      <c r="E27" s="959"/>
      <c r="F27" s="30"/>
      <c r="G27" s="30"/>
      <c r="H27" s="30"/>
      <c r="I27" s="30"/>
      <c r="J27" s="30"/>
    </row>
    <row r="28" spans="1:10" s="29" customFormat="1">
      <c r="A28" s="27"/>
      <c r="B28" s="627"/>
      <c r="C28" s="965"/>
      <c r="D28" s="959"/>
      <c r="E28" s="959"/>
      <c r="F28" s="30"/>
      <c r="G28" s="30"/>
      <c r="H28" s="30"/>
      <c r="I28" s="30"/>
      <c r="J28" s="30"/>
    </row>
    <row r="29" spans="1:10" s="29" customFormat="1">
      <c r="A29" s="27"/>
      <c r="B29" s="685" t="s">
        <v>614</v>
      </c>
      <c r="C29" s="966">
        <v>-276536542.84971601</v>
      </c>
      <c r="D29" s="959"/>
      <c r="E29" s="966">
        <v>-283601369.14409256</v>
      </c>
      <c r="F29" s="30"/>
      <c r="G29" s="30"/>
      <c r="H29" s="30"/>
      <c r="I29" s="30"/>
      <c r="J29" s="30"/>
    </row>
    <row r="30" spans="1:10" s="29" customFormat="1" ht="25.5">
      <c r="A30" s="27"/>
      <c r="B30" s="693" t="s">
        <v>706</v>
      </c>
      <c r="C30" s="960">
        <v>2181189</v>
      </c>
      <c r="D30" s="961"/>
      <c r="E30" s="960">
        <v>2181189</v>
      </c>
      <c r="F30" s="30"/>
      <c r="G30" s="30"/>
      <c r="H30" s="30"/>
      <c r="I30" s="30"/>
      <c r="J30" s="30"/>
    </row>
    <row r="31" spans="1:10" s="29" customFormat="1">
      <c r="A31" s="27"/>
      <c r="B31" s="33"/>
      <c r="C31" s="967">
        <f>SUM(C29:C30)</f>
        <v>-274355353.84971601</v>
      </c>
      <c r="D31" s="959"/>
      <c r="E31" s="968">
        <f>SUM(E29:E30)</f>
        <v>-281420180.14409256</v>
      </c>
      <c r="F31" s="30"/>
      <c r="G31" s="30"/>
      <c r="H31" s="30"/>
      <c r="I31" s="30"/>
      <c r="J31" s="30"/>
    </row>
    <row r="32" spans="1:10" s="29" customFormat="1">
      <c r="A32" s="27"/>
      <c r="B32" s="33"/>
      <c r="C32" s="965"/>
      <c r="D32" s="959"/>
      <c r="E32" s="959"/>
      <c r="F32" s="30"/>
      <c r="G32" s="30"/>
      <c r="H32" s="30"/>
      <c r="I32" s="30"/>
      <c r="J32" s="30"/>
    </row>
    <row r="33" spans="1:10" s="29" customFormat="1">
      <c r="A33" s="27"/>
      <c r="B33" s="685" t="s">
        <v>615</v>
      </c>
      <c r="C33" s="966">
        <v>-23330609.537329331</v>
      </c>
      <c r="D33" s="962"/>
      <c r="E33" s="966">
        <v>-17296019.311993539</v>
      </c>
      <c r="F33" s="30"/>
      <c r="G33" s="30"/>
      <c r="H33" s="30"/>
      <c r="I33" s="30"/>
      <c r="J33" s="30"/>
    </row>
    <row r="34" spans="1:10" s="29" customFormat="1" ht="25.5">
      <c r="A34" s="27"/>
      <c r="B34" s="693" t="s">
        <v>707</v>
      </c>
      <c r="C34" s="960">
        <v>3072115</v>
      </c>
      <c r="D34" s="961"/>
      <c r="E34" s="960">
        <v>3072115</v>
      </c>
      <c r="F34" s="30"/>
      <c r="G34" s="30"/>
      <c r="H34" s="30"/>
      <c r="I34" s="30"/>
      <c r="J34" s="30"/>
    </row>
    <row r="35" spans="1:10" s="29" customFormat="1">
      <c r="A35" s="27"/>
      <c r="B35" s="33"/>
      <c r="C35" s="691">
        <f>SUM(C33:C34)</f>
        <v>-20258494.537329331</v>
      </c>
      <c r="D35" s="691"/>
      <c r="E35" s="691">
        <f t="shared" ref="E35" si="2">SUM(E33:E34)</f>
        <v>-14223904.311993539</v>
      </c>
      <c r="F35" s="30"/>
      <c r="G35" s="30"/>
      <c r="H35" s="30"/>
      <c r="I35" s="30"/>
      <c r="J35" s="30"/>
    </row>
  </sheetData>
  <mergeCells count="3">
    <mergeCell ref="A3:F3"/>
    <mergeCell ref="A4:F4"/>
    <mergeCell ref="A5:F5"/>
  </mergeCells>
  <printOptions horizontalCentered="1"/>
  <pageMargins left="0.75" right="0.75" top="0.75" bottom="0.75" header="0.5" footer="0.5"/>
  <pageSetup scale="73" orientation="portrait" r:id="rId1"/>
  <headerFooter alignWithMargins="0">
    <oddHeader>&amp;R&amp;"Arial,Regular"&amp;10Attachment O Work Paper
Page 4 of 20</oddHeader>
  </headerFooter>
  <ignoredErrors>
    <ignoredError sqref="C11:F11 C20:F20 D10 F10 C13:F13 D12 F12 C15:F17 D14 F14 D18:F18" unlockedFormula="1"/>
    <ignoredError sqref="F19" numberStoredAsText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2"/>
  <sheetViews>
    <sheetView showGridLines="0" zoomScaleNormal="100" workbookViewId="0">
      <selection activeCell="O2" sqref="O2"/>
    </sheetView>
  </sheetViews>
  <sheetFormatPr defaultRowHeight="12.75"/>
  <cols>
    <col min="1" max="1" width="3.6640625" style="172" customWidth="1"/>
    <col min="2" max="2" width="18.6640625" style="173" bestFit="1" customWidth="1"/>
    <col min="3" max="5" width="15.77734375" style="173" customWidth="1"/>
    <col min="6" max="6" width="12.77734375" style="173" customWidth="1"/>
    <col min="7" max="16" width="9.109375" style="173" customWidth="1"/>
    <col min="17" max="16384" width="8.88671875" style="173"/>
  </cols>
  <sheetData>
    <row r="2" spans="1:16">
      <c r="F2" s="1080"/>
    </row>
    <row r="3" spans="1:16">
      <c r="F3" s="638"/>
    </row>
    <row r="4" spans="1:16">
      <c r="A4" s="1085" t="s">
        <v>0</v>
      </c>
      <c r="B4" s="1085"/>
      <c r="C4" s="1085"/>
      <c r="D4" s="1085"/>
      <c r="E4" s="1085"/>
      <c r="F4" s="1085"/>
    </row>
    <row r="5" spans="1:16">
      <c r="A5" s="1085" t="s">
        <v>359</v>
      </c>
      <c r="B5" s="1085"/>
      <c r="C5" s="1085"/>
      <c r="D5" s="1085"/>
      <c r="E5" s="1085"/>
      <c r="F5" s="1085"/>
      <c r="G5" s="638"/>
    </row>
    <row r="6" spans="1:16">
      <c r="A6" s="1084" t="str">
        <f>"For the 13 Months Ended December 31, "&amp;Info!B3</f>
        <v>For the 13 Months Ended December 31, 2015</v>
      </c>
      <c r="B6" s="1084"/>
      <c r="C6" s="1084"/>
      <c r="D6" s="1084"/>
      <c r="E6" s="1084"/>
      <c r="F6" s="1084"/>
      <c r="G6" s="646"/>
      <c r="H6" s="646"/>
      <c r="I6" s="646"/>
    </row>
    <row r="8" spans="1:16">
      <c r="B8" s="172" t="s">
        <v>1</v>
      </c>
      <c r="C8" s="172" t="s">
        <v>2</v>
      </c>
      <c r="D8" s="172" t="s">
        <v>3</v>
      </c>
      <c r="E8" s="172" t="s">
        <v>4</v>
      </c>
      <c r="F8" s="172" t="s">
        <v>5</v>
      </c>
    </row>
    <row r="10" spans="1:16">
      <c r="A10" s="174"/>
      <c r="B10" s="200"/>
      <c r="C10" s="175" t="s">
        <v>354</v>
      </c>
      <c r="D10" s="175" t="s">
        <v>355</v>
      </c>
      <c r="E10" s="175" t="s">
        <v>356</v>
      </c>
      <c r="F10" s="176"/>
    </row>
    <row r="11" spans="1:16">
      <c r="A11" s="177" t="s">
        <v>8</v>
      </c>
      <c r="B11" s="178"/>
      <c r="C11" s="179" t="s">
        <v>360</v>
      </c>
      <c r="D11" s="179" t="s">
        <v>360</v>
      </c>
      <c r="E11" s="179" t="s">
        <v>360</v>
      </c>
      <c r="F11" s="180"/>
    </row>
    <row r="12" spans="1:16">
      <c r="A12" s="181" t="s">
        <v>10</v>
      </c>
      <c r="B12" s="201" t="s">
        <v>47</v>
      </c>
      <c r="C12" s="182" t="s">
        <v>357</v>
      </c>
      <c r="D12" s="854" t="s">
        <v>611</v>
      </c>
      <c r="E12" s="854" t="s">
        <v>611</v>
      </c>
      <c r="F12" s="183" t="s">
        <v>16</v>
      </c>
    </row>
    <row r="13" spans="1:16">
      <c r="A13" s="174">
        <v>1</v>
      </c>
      <c r="B13" s="953" t="str">
        <f>"December "&amp;Info!B2</f>
        <v>December 2014</v>
      </c>
      <c r="C13" s="416">
        <v>0</v>
      </c>
      <c r="D13" s="416">
        <v>0</v>
      </c>
      <c r="E13" s="416">
        <v>0</v>
      </c>
      <c r="F13" s="395">
        <f t="shared" ref="F13:F25" si="0">+SUM(C13:E13)</f>
        <v>0</v>
      </c>
      <c r="G13" s="184"/>
      <c r="H13" s="184"/>
      <c r="I13" s="184"/>
      <c r="J13" s="184"/>
      <c r="K13" s="184"/>
      <c r="L13" s="184"/>
      <c r="M13" s="184"/>
      <c r="N13" s="184"/>
      <c r="O13" s="184"/>
      <c r="P13" s="184"/>
    </row>
    <row r="14" spans="1:16" s="184" customFormat="1">
      <c r="A14" s="177">
        <f>+A13+1</f>
        <v>2</v>
      </c>
      <c r="B14" s="953" t="str">
        <f>"January "&amp;Info!B3</f>
        <v>January 2015</v>
      </c>
      <c r="C14" s="416">
        <v>0</v>
      </c>
      <c r="D14" s="416">
        <v>0</v>
      </c>
      <c r="E14" s="416">
        <v>0</v>
      </c>
      <c r="F14" s="395">
        <f t="shared" si="0"/>
        <v>0</v>
      </c>
      <c r="G14" s="186"/>
      <c r="H14" s="186"/>
      <c r="I14" s="186"/>
      <c r="J14" s="186"/>
      <c r="K14" s="186"/>
      <c r="L14" s="186"/>
      <c r="M14" s="186"/>
      <c r="N14" s="186"/>
      <c r="O14" s="186"/>
      <c r="P14" s="186"/>
    </row>
    <row r="15" spans="1:16">
      <c r="A15" s="177">
        <f>+A14+1</f>
        <v>3</v>
      </c>
      <c r="B15" s="187" t="s">
        <v>17</v>
      </c>
      <c r="C15" s="416">
        <v>0</v>
      </c>
      <c r="D15" s="416">
        <v>0</v>
      </c>
      <c r="E15" s="416">
        <v>0</v>
      </c>
      <c r="F15" s="395">
        <f t="shared" si="0"/>
        <v>0</v>
      </c>
      <c r="G15" s="184"/>
    </row>
    <row r="16" spans="1:16">
      <c r="A16" s="177">
        <f>+A15+1</f>
        <v>4</v>
      </c>
      <c r="B16" s="187" t="s">
        <v>18</v>
      </c>
      <c r="C16" s="416">
        <v>0</v>
      </c>
      <c r="D16" s="416">
        <v>0</v>
      </c>
      <c r="E16" s="416">
        <v>0</v>
      </c>
      <c r="F16" s="395">
        <f t="shared" si="0"/>
        <v>0</v>
      </c>
    </row>
    <row r="17" spans="1:16">
      <c r="A17" s="177">
        <f>+A16+1</f>
        <v>5</v>
      </c>
      <c r="B17" s="187" t="s">
        <v>19</v>
      </c>
      <c r="C17" s="416">
        <v>0</v>
      </c>
      <c r="D17" s="416">
        <v>0</v>
      </c>
      <c r="E17" s="416">
        <v>0</v>
      </c>
      <c r="F17" s="395">
        <f t="shared" si="0"/>
        <v>0</v>
      </c>
    </row>
    <row r="18" spans="1:16">
      <c r="A18" s="177">
        <f>+A17+1</f>
        <v>6</v>
      </c>
      <c r="B18" s="187" t="s">
        <v>20</v>
      </c>
      <c r="C18" s="416">
        <v>0</v>
      </c>
      <c r="D18" s="416">
        <v>0</v>
      </c>
      <c r="E18" s="416">
        <v>0</v>
      </c>
      <c r="F18" s="395">
        <f t="shared" si="0"/>
        <v>0</v>
      </c>
      <c r="G18" s="184"/>
      <c r="H18" s="184"/>
      <c r="I18" s="184"/>
      <c r="J18" s="184"/>
      <c r="K18" s="184"/>
      <c r="L18" s="184"/>
      <c r="M18" s="184"/>
    </row>
    <row r="19" spans="1:16">
      <c r="A19" s="177">
        <f t="shared" ref="A19:A27" si="1">+A18+1</f>
        <v>7</v>
      </c>
      <c r="B19" s="187" t="s">
        <v>21</v>
      </c>
      <c r="C19" s="416">
        <v>0</v>
      </c>
      <c r="D19" s="416">
        <v>0</v>
      </c>
      <c r="E19" s="416">
        <v>0</v>
      </c>
      <c r="F19" s="395">
        <f t="shared" si="0"/>
        <v>0</v>
      </c>
      <c r="I19" s="184"/>
      <c r="J19" s="184"/>
      <c r="K19" s="184"/>
      <c r="L19" s="184"/>
      <c r="M19" s="184"/>
      <c r="N19" s="184"/>
      <c r="O19" s="184"/>
      <c r="P19" s="184"/>
    </row>
    <row r="20" spans="1:16">
      <c r="A20" s="177">
        <f t="shared" si="1"/>
        <v>8</v>
      </c>
      <c r="B20" s="187" t="s">
        <v>22</v>
      </c>
      <c r="C20" s="416">
        <v>0</v>
      </c>
      <c r="D20" s="416">
        <v>0</v>
      </c>
      <c r="E20" s="416">
        <v>0</v>
      </c>
      <c r="F20" s="395">
        <f t="shared" si="0"/>
        <v>0</v>
      </c>
    </row>
    <row r="21" spans="1:16">
      <c r="A21" s="177">
        <f t="shared" si="1"/>
        <v>9</v>
      </c>
      <c r="B21" s="187" t="s">
        <v>23</v>
      </c>
      <c r="C21" s="416">
        <v>0</v>
      </c>
      <c r="D21" s="416">
        <v>0</v>
      </c>
      <c r="E21" s="416">
        <v>0</v>
      </c>
      <c r="F21" s="395">
        <f t="shared" si="0"/>
        <v>0</v>
      </c>
    </row>
    <row r="22" spans="1:16">
      <c r="A22" s="177">
        <f t="shared" si="1"/>
        <v>10</v>
      </c>
      <c r="B22" s="187" t="s">
        <v>24</v>
      </c>
      <c r="C22" s="416">
        <v>0</v>
      </c>
      <c r="D22" s="416">
        <v>0</v>
      </c>
      <c r="E22" s="416">
        <v>0</v>
      </c>
      <c r="F22" s="395">
        <f t="shared" si="0"/>
        <v>0</v>
      </c>
      <c r="G22" s="184"/>
      <c r="H22" s="185"/>
    </row>
    <row r="23" spans="1:16">
      <c r="A23" s="177">
        <f t="shared" si="1"/>
        <v>11</v>
      </c>
      <c r="B23" s="187" t="s">
        <v>25</v>
      </c>
      <c r="C23" s="416">
        <v>0</v>
      </c>
      <c r="D23" s="416">
        <v>0</v>
      </c>
      <c r="E23" s="416">
        <v>0</v>
      </c>
      <c r="F23" s="395">
        <f t="shared" si="0"/>
        <v>0</v>
      </c>
    </row>
    <row r="24" spans="1:16">
      <c r="A24" s="177">
        <f t="shared" si="1"/>
        <v>12</v>
      </c>
      <c r="B24" s="187" t="s">
        <v>26</v>
      </c>
      <c r="C24" s="416">
        <v>0</v>
      </c>
      <c r="D24" s="416">
        <v>0</v>
      </c>
      <c r="E24" s="416">
        <v>0</v>
      </c>
      <c r="F24" s="395">
        <f t="shared" si="0"/>
        <v>0</v>
      </c>
    </row>
    <row r="25" spans="1:16">
      <c r="A25" s="177">
        <f t="shared" si="1"/>
        <v>13</v>
      </c>
      <c r="B25" s="187" t="s">
        <v>27</v>
      </c>
      <c r="C25" s="416">
        <v>0</v>
      </c>
      <c r="D25" s="416">
        <v>0</v>
      </c>
      <c r="E25" s="416">
        <v>0</v>
      </c>
      <c r="F25" s="395">
        <f t="shared" si="0"/>
        <v>0</v>
      </c>
    </row>
    <row r="26" spans="1:16">
      <c r="A26" s="177">
        <f t="shared" si="1"/>
        <v>14</v>
      </c>
      <c r="B26" s="187"/>
      <c r="C26" s="396"/>
      <c r="D26" s="396"/>
      <c r="E26" s="396"/>
      <c r="F26" s="397"/>
    </row>
    <row r="27" spans="1:16">
      <c r="A27" s="177">
        <f t="shared" si="1"/>
        <v>15</v>
      </c>
      <c r="B27" s="188" t="s">
        <v>28</v>
      </c>
      <c r="C27" s="398">
        <f>+AVERAGE(C13:C25)</f>
        <v>0</v>
      </c>
      <c r="D27" s="398">
        <f>+AVERAGE(D13:D25)</f>
        <v>0</v>
      </c>
      <c r="E27" s="398">
        <f>+AVERAGE(E13:E25)</f>
        <v>0</v>
      </c>
      <c r="F27" s="399">
        <f>+SUM(C27:E27)</f>
        <v>0</v>
      </c>
    </row>
    <row r="28" spans="1:16">
      <c r="A28" s="189"/>
      <c r="B28" s="202"/>
      <c r="C28" s="190"/>
      <c r="D28" s="190"/>
      <c r="E28" s="190"/>
      <c r="F28" s="191"/>
    </row>
    <row r="31" spans="1:16">
      <c r="B31" s="855" t="s">
        <v>612</v>
      </c>
    </row>
    <row r="32" spans="1:16">
      <c r="B32" s="855" t="s">
        <v>543</v>
      </c>
    </row>
  </sheetData>
  <mergeCells count="3">
    <mergeCell ref="A4:F4"/>
    <mergeCell ref="A5:F5"/>
    <mergeCell ref="A6:F6"/>
  </mergeCells>
  <printOptions horizontalCentered="1"/>
  <pageMargins left="0.75" right="0.75" top="0.75" bottom="0.75" header="0.5" footer="0.3"/>
  <pageSetup scale="78" orientation="portrait" r:id="rId1"/>
  <headerFooter>
    <oddHeader>&amp;R&amp;"Arial,Regular"&amp;10Attachment O Work Paper
Page 5 of 20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2:L148"/>
  <sheetViews>
    <sheetView showGridLines="0" topLeftCell="C1" zoomScaleNormal="100" workbookViewId="0">
      <selection activeCell="O2" sqref="O2"/>
    </sheetView>
  </sheetViews>
  <sheetFormatPr defaultRowHeight="12.75" outlineLevelCol="1"/>
  <cols>
    <col min="1" max="2" width="0" style="1" hidden="1" customWidth="1" outlineLevel="1"/>
    <col min="3" max="3" width="4.5546875" style="1" customWidth="1" collapsed="1"/>
    <col min="4" max="4" width="3.44140625" style="1" bestFit="1" customWidth="1"/>
    <col min="5" max="5" width="18.6640625" style="1" bestFit="1" customWidth="1"/>
    <col min="6" max="8" width="10.77734375" style="1" customWidth="1"/>
    <col min="9" max="13" width="11.5546875" style="1" bestFit="1" customWidth="1"/>
    <col min="14" max="16384" width="8.88671875" style="1"/>
  </cols>
  <sheetData>
    <row r="2" spans="1:12">
      <c r="H2" s="638"/>
      <c r="I2" s="1080"/>
    </row>
    <row r="3" spans="1:12">
      <c r="D3" s="1084" t="s">
        <v>0</v>
      </c>
      <c r="E3" s="1084"/>
      <c r="F3" s="1084"/>
      <c r="G3" s="1084"/>
      <c r="H3" s="1084"/>
    </row>
    <row r="4" spans="1:12">
      <c r="D4" s="1084" t="s">
        <v>36</v>
      </c>
      <c r="E4" s="1084"/>
      <c r="F4" s="1084"/>
      <c r="G4" s="1084"/>
      <c r="H4" s="1084"/>
      <c r="I4" s="638"/>
    </row>
    <row r="5" spans="1:12">
      <c r="D5" s="1084" t="str">
        <f>"For the 13 Months Ended December 31, "&amp;Info!B3</f>
        <v>For the 13 Months Ended December 31, 2015</v>
      </c>
      <c r="E5" s="1084"/>
      <c r="F5" s="1084"/>
      <c r="G5" s="1084"/>
      <c r="H5" s="1084"/>
      <c r="I5" s="646"/>
      <c r="J5" s="646"/>
      <c r="K5" s="646"/>
      <c r="L5" s="646"/>
    </row>
    <row r="6" spans="1:12">
      <c r="D6" s="2"/>
    </row>
    <row r="7" spans="1:12" s="4" customFormat="1">
      <c r="D7" s="3"/>
      <c r="E7" s="4" t="s">
        <v>1</v>
      </c>
      <c r="F7" s="4" t="s">
        <v>2</v>
      </c>
      <c r="G7" s="4" t="s">
        <v>3</v>
      </c>
      <c r="H7" s="4" t="s">
        <v>4</v>
      </c>
    </row>
    <row r="9" spans="1:12">
      <c r="D9" s="5" t="s">
        <v>8</v>
      </c>
      <c r="E9" s="6"/>
      <c r="F9" s="8"/>
      <c r="G9" s="9"/>
      <c r="H9" s="10"/>
    </row>
    <row r="10" spans="1:12">
      <c r="A10" s="1" t="s">
        <v>12</v>
      </c>
      <c r="B10" s="1" t="s">
        <v>13</v>
      </c>
      <c r="D10" s="11" t="s">
        <v>10</v>
      </c>
      <c r="E10" s="12" t="s">
        <v>47</v>
      </c>
      <c r="F10" s="13" t="s">
        <v>12</v>
      </c>
      <c r="G10" s="13" t="s">
        <v>13</v>
      </c>
      <c r="H10" s="14" t="s">
        <v>16</v>
      </c>
    </row>
    <row r="11" spans="1:12">
      <c r="A11" s="1">
        <v>124501</v>
      </c>
      <c r="B11" s="1">
        <v>124517</v>
      </c>
      <c r="D11" s="5">
        <v>1</v>
      </c>
      <c r="E11" s="953" t="str">
        <f>"December "&amp;Info!B2</f>
        <v>December 2014</v>
      </c>
      <c r="F11" s="955">
        <v>9038</v>
      </c>
      <c r="G11" s="15">
        <v>20619</v>
      </c>
      <c r="H11" s="16">
        <f t="shared" ref="H11:H23" si="0">+SUM(F11:G11)</f>
        <v>29657</v>
      </c>
    </row>
    <row r="12" spans="1:12">
      <c r="A12" s="1">
        <v>124501</v>
      </c>
      <c r="B12" s="1">
        <v>124517</v>
      </c>
      <c r="D12" s="17">
        <f t="shared" ref="D12:D25" si="1">+D11+1</f>
        <v>2</v>
      </c>
      <c r="E12" s="953" t="str">
        <f>"January "&amp;Info!B3</f>
        <v>January 2015</v>
      </c>
      <c r="F12" s="955">
        <v>9038</v>
      </c>
      <c r="G12" s="15">
        <v>20619</v>
      </c>
      <c r="H12" s="16">
        <f t="shared" si="0"/>
        <v>29657</v>
      </c>
    </row>
    <row r="13" spans="1:12">
      <c r="A13" s="1">
        <v>124501</v>
      </c>
      <c r="B13" s="1">
        <v>124517</v>
      </c>
      <c r="D13" s="17">
        <f t="shared" si="1"/>
        <v>3</v>
      </c>
      <c r="E13" s="18" t="s">
        <v>17</v>
      </c>
      <c r="F13" s="955">
        <v>9038</v>
      </c>
      <c r="G13" s="15">
        <v>20619</v>
      </c>
      <c r="H13" s="16">
        <f t="shared" si="0"/>
        <v>29657</v>
      </c>
    </row>
    <row r="14" spans="1:12">
      <c r="A14" s="1">
        <v>124501</v>
      </c>
      <c r="B14" s="1">
        <v>124517</v>
      </c>
      <c r="D14" s="17">
        <f t="shared" si="1"/>
        <v>4</v>
      </c>
      <c r="E14" s="18" t="s">
        <v>18</v>
      </c>
      <c r="F14" s="955">
        <v>9038</v>
      </c>
      <c r="G14" s="15">
        <v>20619</v>
      </c>
      <c r="H14" s="16">
        <f t="shared" si="0"/>
        <v>29657</v>
      </c>
    </row>
    <row r="15" spans="1:12">
      <c r="A15" s="1">
        <v>124501</v>
      </c>
      <c r="B15" s="1">
        <v>124517</v>
      </c>
      <c r="D15" s="17">
        <f t="shared" si="1"/>
        <v>5</v>
      </c>
      <c r="E15" s="18" t="s">
        <v>19</v>
      </c>
      <c r="F15" s="955">
        <v>9038</v>
      </c>
      <c r="G15" s="15">
        <v>20619</v>
      </c>
      <c r="H15" s="16">
        <f t="shared" si="0"/>
        <v>29657</v>
      </c>
    </row>
    <row r="16" spans="1:12">
      <c r="A16" s="1">
        <v>124501</v>
      </c>
      <c r="B16" s="1">
        <v>124517</v>
      </c>
      <c r="D16" s="17">
        <f t="shared" si="1"/>
        <v>6</v>
      </c>
      <c r="E16" s="18" t="s">
        <v>20</v>
      </c>
      <c r="F16" s="955">
        <v>9038</v>
      </c>
      <c r="G16" s="15">
        <v>20619</v>
      </c>
      <c r="H16" s="16">
        <f t="shared" si="0"/>
        <v>29657</v>
      </c>
    </row>
    <row r="17" spans="1:8">
      <c r="A17" s="1">
        <v>124501</v>
      </c>
      <c r="B17" s="1">
        <v>124517</v>
      </c>
      <c r="D17" s="17">
        <f t="shared" si="1"/>
        <v>7</v>
      </c>
      <c r="E17" s="18" t="s">
        <v>21</v>
      </c>
      <c r="F17" s="955">
        <v>9038</v>
      </c>
      <c r="G17" s="15">
        <v>20619</v>
      </c>
      <c r="H17" s="16">
        <f t="shared" si="0"/>
        <v>29657</v>
      </c>
    </row>
    <row r="18" spans="1:8">
      <c r="A18" s="1">
        <v>124501</v>
      </c>
      <c r="B18" s="1">
        <v>124517</v>
      </c>
      <c r="D18" s="17">
        <f t="shared" si="1"/>
        <v>8</v>
      </c>
      <c r="E18" s="18" t="s">
        <v>22</v>
      </c>
      <c r="F18" s="955">
        <v>9038</v>
      </c>
      <c r="G18" s="15">
        <v>20619</v>
      </c>
      <c r="H18" s="16">
        <f t="shared" si="0"/>
        <v>29657</v>
      </c>
    </row>
    <row r="19" spans="1:8">
      <c r="A19" s="1">
        <v>124501</v>
      </c>
      <c r="B19" s="1">
        <v>124517</v>
      </c>
      <c r="D19" s="17">
        <f t="shared" si="1"/>
        <v>9</v>
      </c>
      <c r="E19" s="18" t="s">
        <v>23</v>
      </c>
      <c r="F19" s="955">
        <v>9038</v>
      </c>
      <c r="G19" s="15">
        <v>20619</v>
      </c>
      <c r="H19" s="16">
        <f t="shared" si="0"/>
        <v>29657</v>
      </c>
    </row>
    <row r="20" spans="1:8">
      <c r="A20" s="1">
        <v>124501</v>
      </c>
      <c r="B20" s="1">
        <v>124517</v>
      </c>
      <c r="D20" s="17">
        <f t="shared" si="1"/>
        <v>10</v>
      </c>
      <c r="E20" s="18" t="s">
        <v>24</v>
      </c>
      <c r="F20" s="955">
        <v>9038</v>
      </c>
      <c r="G20" s="15">
        <v>20619</v>
      </c>
      <c r="H20" s="16">
        <f t="shared" si="0"/>
        <v>29657</v>
      </c>
    </row>
    <row r="21" spans="1:8">
      <c r="A21" s="1">
        <v>124501</v>
      </c>
      <c r="B21" s="1">
        <v>124517</v>
      </c>
      <c r="D21" s="17">
        <f t="shared" si="1"/>
        <v>11</v>
      </c>
      <c r="E21" s="18" t="s">
        <v>25</v>
      </c>
      <c r="F21" s="955">
        <v>9038</v>
      </c>
      <c r="G21" s="15">
        <v>20619</v>
      </c>
      <c r="H21" s="16">
        <f t="shared" si="0"/>
        <v>29657</v>
      </c>
    </row>
    <row r="22" spans="1:8">
      <c r="A22" s="1">
        <v>124501</v>
      </c>
      <c r="B22" s="1">
        <v>124517</v>
      </c>
      <c r="D22" s="17">
        <f t="shared" si="1"/>
        <v>12</v>
      </c>
      <c r="E22" s="18" t="s">
        <v>26</v>
      </c>
      <c r="F22" s="955">
        <v>9038</v>
      </c>
      <c r="G22" s="15">
        <v>20619</v>
      </c>
      <c r="H22" s="16">
        <f t="shared" si="0"/>
        <v>29657</v>
      </c>
    </row>
    <row r="23" spans="1:8">
      <c r="A23" s="1">
        <v>124501</v>
      </c>
      <c r="B23" s="1">
        <v>124517</v>
      </c>
      <c r="D23" s="17">
        <f t="shared" si="1"/>
        <v>13</v>
      </c>
      <c r="E23" s="18" t="s">
        <v>27</v>
      </c>
      <c r="F23" s="955">
        <v>9038</v>
      </c>
      <c r="G23" s="15">
        <v>20619</v>
      </c>
      <c r="H23" s="16">
        <f t="shared" si="0"/>
        <v>29657</v>
      </c>
    </row>
    <row r="24" spans="1:8">
      <c r="D24" s="17">
        <f t="shared" si="1"/>
        <v>14</v>
      </c>
      <c r="E24" s="18"/>
      <c r="F24" s="15"/>
      <c r="G24" s="15"/>
      <c r="H24" s="16"/>
    </row>
    <row r="25" spans="1:8">
      <c r="D25" s="17">
        <f t="shared" si="1"/>
        <v>15</v>
      </c>
      <c r="E25" s="199" t="s">
        <v>28</v>
      </c>
      <c r="F25" s="193">
        <f>AVERAGE(F11:F23)</f>
        <v>9038</v>
      </c>
      <c r="G25" s="19">
        <f>AVERAGE(G11:G23)</f>
        <v>20619</v>
      </c>
      <c r="H25" s="20">
        <f>AVERAGE(H11:H23)</f>
        <v>29657</v>
      </c>
    </row>
    <row r="26" spans="1:8">
      <c r="D26" s="17"/>
      <c r="E26" s="21"/>
      <c r="F26" s="22"/>
      <c r="G26" s="22"/>
      <c r="H26" s="23"/>
    </row>
    <row r="27" spans="1:8">
      <c r="D27" s="24"/>
    </row>
    <row r="28" spans="1:8">
      <c r="D28" s="25"/>
      <c r="E28" s="154" t="s">
        <v>519</v>
      </c>
    </row>
    <row r="29" spans="1:8" s="15" customFormat="1">
      <c r="D29" s="26"/>
      <c r="E29" s="153" t="s">
        <v>571</v>
      </c>
    </row>
    <row r="30" spans="1:8" s="15" customFormat="1">
      <c r="D30" s="26"/>
      <c r="E30" s="518"/>
    </row>
    <row r="31" spans="1:8">
      <c r="D31" s="25"/>
    </row>
    <row r="32" spans="1:8">
      <c r="D32" s="25"/>
    </row>
    <row r="33" spans="4:4">
      <c r="D33" s="25"/>
    </row>
    <row r="34" spans="4:4">
      <c r="D34" s="25"/>
    </row>
    <row r="35" spans="4:4">
      <c r="D35" s="25"/>
    </row>
    <row r="36" spans="4:4">
      <c r="D36" s="25"/>
    </row>
    <row r="37" spans="4:4">
      <c r="D37" s="25"/>
    </row>
    <row r="38" spans="4:4">
      <c r="D38" s="25"/>
    </row>
    <row r="39" spans="4:4">
      <c r="D39" s="25"/>
    </row>
    <row r="40" spans="4:4">
      <c r="D40" s="25"/>
    </row>
    <row r="41" spans="4:4">
      <c r="D41" s="25"/>
    </row>
    <row r="42" spans="4:4">
      <c r="D42" s="25"/>
    </row>
    <row r="43" spans="4:4">
      <c r="D43" s="25"/>
    </row>
    <row r="44" spans="4:4">
      <c r="D44" s="25"/>
    </row>
    <row r="45" spans="4:4">
      <c r="D45" s="25"/>
    </row>
    <row r="46" spans="4:4">
      <c r="D46" s="25"/>
    </row>
    <row r="47" spans="4:4">
      <c r="D47" s="25"/>
    </row>
    <row r="48" spans="4:4">
      <c r="D48" s="25"/>
    </row>
    <row r="49" spans="4:4">
      <c r="D49" s="25"/>
    </row>
    <row r="50" spans="4:4">
      <c r="D50" s="25"/>
    </row>
    <row r="51" spans="4:4">
      <c r="D51" s="25"/>
    </row>
    <row r="52" spans="4:4">
      <c r="D52" s="25"/>
    </row>
    <row r="53" spans="4:4">
      <c r="D53" s="25"/>
    </row>
    <row r="54" spans="4:4">
      <c r="D54" s="25"/>
    </row>
    <row r="55" spans="4:4">
      <c r="D55" s="25"/>
    </row>
    <row r="56" spans="4:4">
      <c r="D56" s="25"/>
    </row>
    <row r="57" spans="4:4">
      <c r="D57" s="25"/>
    </row>
    <row r="58" spans="4:4">
      <c r="D58" s="25"/>
    </row>
    <row r="59" spans="4:4">
      <c r="D59" s="25"/>
    </row>
    <row r="60" spans="4:4">
      <c r="D60" s="25"/>
    </row>
    <row r="61" spans="4:4">
      <c r="D61" s="25"/>
    </row>
    <row r="62" spans="4:4">
      <c r="D62" s="25"/>
    </row>
    <row r="63" spans="4:4">
      <c r="D63" s="25"/>
    </row>
    <row r="64" spans="4:4">
      <c r="D64" s="25"/>
    </row>
    <row r="65" spans="4:4">
      <c r="D65" s="25"/>
    </row>
    <row r="66" spans="4:4">
      <c r="D66" s="25"/>
    </row>
    <row r="67" spans="4:4">
      <c r="D67" s="25"/>
    </row>
    <row r="68" spans="4:4">
      <c r="D68" s="25"/>
    </row>
    <row r="69" spans="4:4">
      <c r="D69" s="25"/>
    </row>
    <row r="70" spans="4:4">
      <c r="D70" s="25"/>
    </row>
    <row r="71" spans="4:4">
      <c r="D71" s="25"/>
    </row>
    <row r="72" spans="4:4">
      <c r="D72" s="25"/>
    </row>
    <row r="73" spans="4:4">
      <c r="D73" s="25"/>
    </row>
    <row r="74" spans="4:4">
      <c r="D74" s="25"/>
    </row>
    <row r="75" spans="4:4">
      <c r="D75" s="25"/>
    </row>
    <row r="76" spans="4:4">
      <c r="D76" s="25"/>
    </row>
    <row r="77" spans="4:4">
      <c r="D77" s="25"/>
    </row>
    <row r="78" spans="4:4">
      <c r="D78" s="25"/>
    </row>
    <row r="79" spans="4:4">
      <c r="D79" s="25"/>
    </row>
    <row r="80" spans="4:4">
      <c r="D80" s="25"/>
    </row>
    <row r="81" spans="4:4">
      <c r="D81" s="25"/>
    </row>
    <row r="82" spans="4:4">
      <c r="D82" s="25"/>
    </row>
    <row r="83" spans="4:4">
      <c r="D83" s="25"/>
    </row>
    <row r="84" spans="4:4">
      <c r="D84" s="25"/>
    </row>
    <row r="85" spans="4:4">
      <c r="D85" s="25"/>
    </row>
    <row r="86" spans="4:4">
      <c r="D86" s="25"/>
    </row>
    <row r="87" spans="4:4">
      <c r="D87" s="25"/>
    </row>
    <row r="88" spans="4:4">
      <c r="D88" s="25"/>
    </row>
    <row r="89" spans="4:4">
      <c r="D89" s="25"/>
    </row>
    <row r="90" spans="4:4">
      <c r="D90" s="25"/>
    </row>
    <row r="91" spans="4:4">
      <c r="D91" s="25"/>
    </row>
    <row r="92" spans="4:4">
      <c r="D92" s="25"/>
    </row>
    <row r="93" spans="4:4">
      <c r="D93" s="25"/>
    </row>
    <row r="94" spans="4:4">
      <c r="D94" s="25"/>
    </row>
    <row r="95" spans="4:4">
      <c r="D95" s="25"/>
    </row>
    <row r="96" spans="4:4">
      <c r="D96" s="25"/>
    </row>
    <row r="97" spans="4:4">
      <c r="D97" s="25"/>
    </row>
    <row r="98" spans="4:4">
      <c r="D98" s="25"/>
    </row>
    <row r="99" spans="4:4">
      <c r="D99" s="25"/>
    </row>
    <row r="100" spans="4:4">
      <c r="D100" s="25"/>
    </row>
    <row r="101" spans="4:4">
      <c r="D101" s="25"/>
    </row>
    <row r="102" spans="4:4">
      <c r="D102" s="25"/>
    </row>
    <row r="103" spans="4:4">
      <c r="D103" s="25"/>
    </row>
    <row r="104" spans="4:4">
      <c r="D104" s="25"/>
    </row>
    <row r="105" spans="4:4">
      <c r="D105" s="25"/>
    </row>
    <row r="106" spans="4:4">
      <c r="D106" s="25"/>
    </row>
    <row r="107" spans="4:4">
      <c r="D107" s="25"/>
    </row>
    <row r="108" spans="4:4">
      <c r="D108" s="25"/>
    </row>
    <row r="109" spans="4:4">
      <c r="D109" s="25"/>
    </row>
    <row r="110" spans="4:4">
      <c r="D110" s="25"/>
    </row>
    <row r="111" spans="4:4">
      <c r="D111" s="25"/>
    </row>
    <row r="112" spans="4:4">
      <c r="D112" s="25"/>
    </row>
    <row r="113" spans="4:4">
      <c r="D113" s="25"/>
    </row>
    <row r="114" spans="4:4">
      <c r="D114" s="25"/>
    </row>
    <row r="115" spans="4:4">
      <c r="D115" s="25"/>
    </row>
    <row r="116" spans="4:4">
      <c r="D116" s="25"/>
    </row>
    <row r="117" spans="4:4">
      <c r="D117" s="25"/>
    </row>
    <row r="118" spans="4:4">
      <c r="D118" s="25"/>
    </row>
    <row r="119" spans="4:4">
      <c r="D119" s="25"/>
    </row>
    <row r="120" spans="4:4">
      <c r="D120" s="25"/>
    </row>
    <row r="121" spans="4:4">
      <c r="D121" s="25"/>
    </row>
    <row r="122" spans="4:4">
      <c r="D122" s="25"/>
    </row>
    <row r="123" spans="4:4">
      <c r="D123" s="25"/>
    </row>
    <row r="124" spans="4:4">
      <c r="D124" s="25"/>
    </row>
    <row r="125" spans="4:4">
      <c r="D125" s="25"/>
    </row>
    <row r="126" spans="4:4">
      <c r="D126" s="25"/>
    </row>
    <row r="127" spans="4:4">
      <c r="D127" s="25"/>
    </row>
    <row r="128" spans="4:4">
      <c r="D128" s="25"/>
    </row>
    <row r="129" spans="4:4">
      <c r="D129" s="25"/>
    </row>
    <row r="130" spans="4:4">
      <c r="D130" s="25"/>
    </row>
    <row r="131" spans="4:4">
      <c r="D131" s="25"/>
    </row>
    <row r="132" spans="4:4">
      <c r="D132" s="25"/>
    </row>
    <row r="133" spans="4:4">
      <c r="D133" s="25"/>
    </row>
    <row r="134" spans="4:4">
      <c r="D134" s="25"/>
    </row>
    <row r="135" spans="4:4">
      <c r="D135" s="25"/>
    </row>
    <row r="136" spans="4:4">
      <c r="D136" s="25"/>
    </row>
    <row r="137" spans="4:4">
      <c r="D137" s="25"/>
    </row>
    <row r="138" spans="4:4">
      <c r="D138" s="25"/>
    </row>
    <row r="139" spans="4:4">
      <c r="D139" s="25"/>
    </row>
    <row r="140" spans="4:4">
      <c r="D140" s="25"/>
    </row>
    <row r="141" spans="4:4">
      <c r="D141" s="25"/>
    </row>
    <row r="142" spans="4:4">
      <c r="D142" s="25"/>
    </row>
    <row r="143" spans="4:4">
      <c r="D143" s="25"/>
    </row>
    <row r="144" spans="4:4">
      <c r="D144" s="25"/>
    </row>
    <row r="145" spans="4:4">
      <c r="D145" s="25"/>
    </row>
    <row r="146" spans="4:4">
      <c r="D146" s="25"/>
    </row>
    <row r="147" spans="4:4">
      <c r="D147" s="25"/>
    </row>
    <row r="148" spans="4:4">
      <c r="D148" s="25"/>
    </row>
  </sheetData>
  <mergeCells count="3">
    <mergeCell ref="D3:H3"/>
    <mergeCell ref="D4:H4"/>
    <mergeCell ref="D5:H5"/>
  </mergeCells>
  <printOptions horizontalCentered="1"/>
  <pageMargins left="0.75" right="0.75" top="0.75" bottom="0.75" header="0.5" footer="0.3"/>
  <pageSetup scale="80" orientation="portrait" r:id="rId1"/>
  <headerFooter>
    <oddHeader>&amp;R&amp;"Arial,Regular"&amp;10Attachment O Work Paper
Page 6 of 20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U35"/>
  <sheetViews>
    <sheetView showGridLines="0" topLeftCell="F1" zoomScaleNormal="100" workbookViewId="0">
      <selection activeCell="O2" sqref="O2"/>
    </sheetView>
  </sheetViews>
  <sheetFormatPr defaultRowHeight="12.75" outlineLevelCol="1"/>
  <cols>
    <col min="1" max="5" width="0" style="29" hidden="1" customWidth="1" outlineLevel="1"/>
    <col min="6" max="6" width="3.6640625" style="29" customWidth="1" collapsed="1"/>
    <col min="7" max="7" width="3.44140625" style="27" bestFit="1" customWidth="1"/>
    <col min="8" max="8" width="13.5546875" style="29" bestFit="1" customWidth="1"/>
    <col min="9" max="11" width="11.21875" style="29" customWidth="1"/>
    <col min="12" max="12" width="12.33203125" style="29" bestFit="1" customWidth="1"/>
    <col min="13" max="15" width="8.33203125" style="29" bestFit="1" customWidth="1"/>
    <col min="16" max="16384" width="8.88671875" style="29"/>
  </cols>
  <sheetData>
    <row r="2" spans="1:21">
      <c r="L2" s="638"/>
    </row>
    <row r="3" spans="1:21">
      <c r="G3" s="1088" t="s">
        <v>0</v>
      </c>
      <c r="H3" s="1088"/>
      <c r="I3" s="1088"/>
      <c r="J3" s="1088"/>
      <c r="K3" s="1088"/>
      <c r="L3" s="1088"/>
      <c r="M3" s="1080"/>
      <c r="N3" s="43"/>
      <c r="O3" s="43"/>
      <c r="P3" s="43"/>
      <c r="Q3" s="43"/>
      <c r="R3" s="43"/>
      <c r="S3" s="43"/>
      <c r="T3" s="43"/>
      <c r="U3" s="43"/>
    </row>
    <row r="4" spans="1:21">
      <c r="G4" s="1088" t="s">
        <v>45</v>
      </c>
      <c r="H4" s="1088"/>
      <c r="I4" s="1088"/>
      <c r="J4" s="1088"/>
      <c r="K4" s="1088"/>
      <c r="L4" s="1088"/>
      <c r="M4" s="43"/>
      <c r="N4" s="43"/>
      <c r="O4" s="43"/>
      <c r="P4" s="43"/>
      <c r="Q4" s="43"/>
      <c r="R4" s="43"/>
      <c r="S4" s="43"/>
      <c r="T4" s="43"/>
      <c r="U4" s="43"/>
    </row>
    <row r="5" spans="1:21">
      <c r="G5" s="1084" t="str">
        <f>"For the 13 Months Ended December 31, "&amp;Info!B3</f>
        <v>For the 13 Months Ended December 31, 2015</v>
      </c>
      <c r="H5" s="1084"/>
      <c r="I5" s="1084"/>
      <c r="J5" s="1084"/>
      <c r="K5" s="1084"/>
      <c r="L5" s="1084"/>
      <c r="M5" s="43"/>
      <c r="N5" s="43"/>
      <c r="O5" s="43"/>
      <c r="P5" s="43"/>
      <c r="Q5" s="43"/>
      <c r="R5" s="43"/>
      <c r="S5" s="43"/>
      <c r="T5" s="43"/>
      <c r="U5" s="43"/>
    </row>
    <row r="6" spans="1:21">
      <c r="G6" s="1088"/>
      <c r="H6" s="1088"/>
      <c r="I6" s="1088"/>
      <c r="J6" s="1088"/>
      <c r="K6" s="1088"/>
      <c r="L6" s="43"/>
      <c r="M6" s="43"/>
      <c r="N6" s="43"/>
      <c r="O6" s="43"/>
      <c r="P6" s="43"/>
      <c r="Q6" s="43"/>
      <c r="R6" s="43"/>
      <c r="S6" s="43"/>
      <c r="T6" s="43"/>
      <c r="U6" s="43"/>
    </row>
    <row r="8" spans="1:21" ht="15">
      <c r="G8"/>
      <c r="H8" s="573" t="s">
        <v>1</v>
      </c>
      <c r="I8" s="574" t="s">
        <v>2</v>
      </c>
      <c r="J8" s="574"/>
      <c r="K8" s="574" t="s">
        <v>3</v>
      </c>
      <c r="L8" s="574" t="s">
        <v>4</v>
      </c>
    </row>
    <row r="9" spans="1:21">
      <c r="G9" s="574"/>
      <c r="H9" s="575"/>
      <c r="I9" s="575"/>
      <c r="J9" s="575"/>
      <c r="K9" s="575"/>
      <c r="L9" s="575"/>
    </row>
    <row r="10" spans="1:21">
      <c r="G10" s="576" t="s">
        <v>8</v>
      </c>
      <c r="H10" s="577"/>
      <c r="I10" s="1089" t="s">
        <v>46</v>
      </c>
      <c r="J10" s="1089"/>
      <c r="K10" s="1089"/>
      <c r="L10" s="1090"/>
    </row>
    <row r="11" spans="1:21">
      <c r="A11" s="647" t="s">
        <v>11</v>
      </c>
      <c r="B11" s="647" t="s">
        <v>12</v>
      </c>
      <c r="C11" s="647" t="s">
        <v>574</v>
      </c>
      <c r="D11" s="647" t="s">
        <v>13</v>
      </c>
      <c r="E11" s="647" t="s">
        <v>575</v>
      </c>
      <c r="G11" s="578" t="s">
        <v>10</v>
      </c>
      <c r="H11" s="579" t="s">
        <v>47</v>
      </c>
      <c r="I11" s="640" t="s">
        <v>11</v>
      </c>
      <c r="J11" s="580" t="s">
        <v>12</v>
      </c>
      <c r="K11" s="580" t="s">
        <v>13</v>
      </c>
      <c r="L11" s="581" t="s">
        <v>48</v>
      </c>
    </row>
    <row r="12" spans="1:21">
      <c r="A12" s="29">
        <v>105104</v>
      </c>
      <c r="B12" s="29">
        <v>103958</v>
      </c>
      <c r="C12" s="29">
        <v>139905</v>
      </c>
      <c r="D12" s="29">
        <v>105102</v>
      </c>
      <c r="E12" s="29">
        <v>139907</v>
      </c>
      <c r="G12" s="582">
        <v>1</v>
      </c>
      <c r="H12" s="953" t="str">
        <f>"December "&amp;Info!B2</f>
        <v>December 2014</v>
      </c>
      <c r="I12" s="969">
        <v>5552211.1197600001</v>
      </c>
      <c r="J12" s="969">
        <v>4209821.4285714282</v>
      </c>
      <c r="K12" s="969">
        <v>7290178.5714285718</v>
      </c>
      <c r="L12" s="584">
        <f>SUM(I12:K12)</f>
        <v>17052211.119759999</v>
      </c>
    </row>
    <row r="13" spans="1:21">
      <c r="A13" s="29">
        <v>105104</v>
      </c>
      <c r="B13" s="29">
        <v>103958</v>
      </c>
      <c r="C13" s="29">
        <v>139905</v>
      </c>
      <c r="D13" s="29">
        <v>105102</v>
      </c>
      <c r="E13" s="29">
        <v>139907</v>
      </c>
      <c r="G13" s="582">
        <v>2</v>
      </c>
      <c r="H13" s="953" t="str">
        <f>"January "&amp;Info!B3</f>
        <v>January 2015</v>
      </c>
      <c r="I13" s="969">
        <v>5502211.1197600001</v>
      </c>
      <c r="J13" s="969">
        <v>4209821.4285714282</v>
      </c>
      <c r="K13" s="969">
        <v>7290178.5714285718</v>
      </c>
      <c r="L13" s="584">
        <f t="shared" ref="L13:L22" si="0">SUM(I13:K13)</f>
        <v>17002211.119759999</v>
      </c>
    </row>
    <row r="14" spans="1:21">
      <c r="A14" s="29">
        <v>105104</v>
      </c>
      <c r="B14" s="29">
        <v>103958</v>
      </c>
      <c r="C14" s="29">
        <v>139905</v>
      </c>
      <c r="D14" s="29">
        <v>105102</v>
      </c>
      <c r="E14" s="29">
        <v>139907</v>
      </c>
      <c r="G14" s="582">
        <v>3</v>
      </c>
      <c r="H14" s="970" t="s">
        <v>17</v>
      </c>
      <c r="I14" s="969">
        <v>5652211.1197600001</v>
      </c>
      <c r="J14" s="969">
        <v>4209821.4285714282</v>
      </c>
      <c r="K14" s="969">
        <v>7290178.5714285718</v>
      </c>
      <c r="L14" s="584">
        <f t="shared" si="0"/>
        <v>17152211.119759999</v>
      </c>
    </row>
    <row r="15" spans="1:21">
      <c r="A15" s="29">
        <v>105104</v>
      </c>
      <c r="B15" s="29">
        <v>103958</v>
      </c>
      <c r="C15" s="29">
        <v>139905</v>
      </c>
      <c r="D15" s="29">
        <v>105102</v>
      </c>
      <c r="E15" s="29">
        <v>139907</v>
      </c>
      <c r="G15" s="582">
        <v>4</v>
      </c>
      <c r="H15" s="970" t="s">
        <v>18</v>
      </c>
      <c r="I15" s="969">
        <v>5552211.1197600001</v>
      </c>
      <c r="J15" s="969">
        <v>4209821.4285714282</v>
      </c>
      <c r="K15" s="969">
        <v>7290178.5714285718</v>
      </c>
      <c r="L15" s="584">
        <f t="shared" si="0"/>
        <v>17052211.119759999</v>
      </c>
    </row>
    <row r="16" spans="1:21">
      <c r="A16" s="29">
        <v>105104</v>
      </c>
      <c r="B16" s="29">
        <v>103958</v>
      </c>
      <c r="C16" s="29">
        <v>139905</v>
      </c>
      <c r="D16" s="29">
        <v>105102</v>
      </c>
      <c r="E16" s="29">
        <v>139907</v>
      </c>
      <c r="G16" s="582">
        <v>5</v>
      </c>
      <c r="H16" s="970" t="s">
        <v>19</v>
      </c>
      <c r="I16" s="969">
        <v>5502211.1197600001</v>
      </c>
      <c r="J16" s="969">
        <v>4209821.4285714282</v>
      </c>
      <c r="K16" s="969">
        <v>7290178.5714285718</v>
      </c>
      <c r="L16" s="584">
        <f t="shared" si="0"/>
        <v>17002211.119759999</v>
      </c>
    </row>
    <row r="17" spans="1:12">
      <c r="A17" s="29">
        <v>105104</v>
      </c>
      <c r="B17" s="29">
        <v>103958</v>
      </c>
      <c r="C17" s="29">
        <v>139905</v>
      </c>
      <c r="D17" s="29">
        <v>105102</v>
      </c>
      <c r="E17" s="29">
        <v>139907</v>
      </c>
      <c r="G17" s="582">
        <v>6</v>
      </c>
      <c r="H17" s="970" t="s">
        <v>20</v>
      </c>
      <c r="I17" s="969">
        <v>5652211.1197600001</v>
      </c>
      <c r="J17" s="969">
        <v>4213482.1428571427</v>
      </c>
      <c r="K17" s="969">
        <v>7296517.8571428573</v>
      </c>
      <c r="L17" s="584">
        <f t="shared" si="0"/>
        <v>17162211.119759999</v>
      </c>
    </row>
    <row r="18" spans="1:12">
      <c r="A18" s="29">
        <v>105104</v>
      </c>
      <c r="B18" s="29">
        <v>103958</v>
      </c>
      <c r="C18" s="29">
        <v>139905</v>
      </c>
      <c r="D18" s="29">
        <v>105102</v>
      </c>
      <c r="E18" s="29">
        <v>139907</v>
      </c>
      <c r="G18" s="582">
        <v>7</v>
      </c>
      <c r="H18" s="970" t="s">
        <v>21</v>
      </c>
      <c r="I18" s="969">
        <v>5552211.1197600001</v>
      </c>
      <c r="J18" s="969">
        <v>4215312.5</v>
      </c>
      <c r="K18" s="969">
        <v>7299687.5</v>
      </c>
      <c r="L18" s="584">
        <f t="shared" si="0"/>
        <v>17067211.119759999</v>
      </c>
    </row>
    <row r="19" spans="1:12">
      <c r="A19" s="29">
        <v>105104</v>
      </c>
      <c r="B19" s="29">
        <v>103958</v>
      </c>
      <c r="C19" s="29">
        <v>139905</v>
      </c>
      <c r="D19" s="29">
        <v>105102</v>
      </c>
      <c r="E19" s="29">
        <v>139907</v>
      </c>
      <c r="G19" s="582">
        <v>8</v>
      </c>
      <c r="H19" s="970" t="s">
        <v>22</v>
      </c>
      <c r="I19" s="969">
        <v>5512211.1197600001</v>
      </c>
      <c r="J19" s="969">
        <v>4213482.1428571427</v>
      </c>
      <c r="K19" s="969">
        <v>7296517.8571428573</v>
      </c>
      <c r="L19" s="584">
        <f t="shared" si="0"/>
        <v>17022211.119759999</v>
      </c>
    </row>
    <row r="20" spans="1:12">
      <c r="A20" s="29">
        <v>105104</v>
      </c>
      <c r="B20" s="29">
        <v>103958</v>
      </c>
      <c r="C20" s="29">
        <v>139905</v>
      </c>
      <c r="D20" s="29">
        <v>105102</v>
      </c>
      <c r="E20" s="29">
        <v>139907</v>
      </c>
      <c r="G20" s="582">
        <v>9</v>
      </c>
      <c r="H20" s="970" t="s">
        <v>23</v>
      </c>
      <c r="I20" s="969">
        <v>5662211.1197600001</v>
      </c>
      <c r="J20" s="969">
        <v>4213482.1428571427</v>
      </c>
      <c r="K20" s="969">
        <v>7296517.8571428573</v>
      </c>
      <c r="L20" s="584">
        <f t="shared" si="0"/>
        <v>17172211.119759999</v>
      </c>
    </row>
    <row r="21" spans="1:12">
      <c r="A21" s="29">
        <v>105104</v>
      </c>
      <c r="B21" s="29">
        <v>103958</v>
      </c>
      <c r="C21" s="29">
        <v>139905</v>
      </c>
      <c r="D21" s="29">
        <v>105102</v>
      </c>
      <c r="E21" s="29">
        <v>139907</v>
      </c>
      <c r="G21" s="582">
        <v>10</v>
      </c>
      <c r="H21" s="970" t="s">
        <v>24</v>
      </c>
      <c r="I21" s="969">
        <v>5562211.1197600001</v>
      </c>
      <c r="J21" s="969">
        <v>4213482.1428571427</v>
      </c>
      <c r="K21" s="969">
        <v>7296517.8571428573</v>
      </c>
      <c r="L21" s="584">
        <f t="shared" si="0"/>
        <v>17072211.119759999</v>
      </c>
    </row>
    <row r="22" spans="1:12">
      <c r="A22" s="29">
        <v>105104</v>
      </c>
      <c r="B22" s="29">
        <v>103958</v>
      </c>
      <c r="C22" s="29">
        <v>139905</v>
      </c>
      <c r="D22" s="29">
        <v>105102</v>
      </c>
      <c r="E22" s="29">
        <v>139907</v>
      </c>
      <c r="G22" s="582">
        <v>11</v>
      </c>
      <c r="H22" s="970" t="s">
        <v>25</v>
      </c>
      <c r="I22" s="969">
        <v>5938021</v>
      </c>
      <c r="J22" s="969">
        <v>4209821.4285714282</v>
      </c>
      <c r="K22" s="969">
        <v>7290178.5714285718</v>
      </c>
      <c r="L22" s="584">
        <f t="shared" si="0"/>
        <v>17438021</v>
      </c>
    </row>
    <row r="23" spans="1:12">
      <c r="A23" s="29">
        <v>105104</v>
      </c>
      <c r="B23" s="29">
        <v>103958</v>
      </c>
      <c r="C23" s="29">
        <v>139905</v>
      </c>
      <c r="D23" s="29">
        <v>105102</v>
      </c>
      <c r="E23" s="29">
        <v>139907</v>
      </c>
      <c r="G23" s="582">
        <v>12</v>
      </c>
      <c r="H23" s="970" t="s">
        <v>26</v>
      </c>
      <c r="I23" s="969">
        <v>6088021</v>
      </c>
      <c r="J23" s="969">
        <v>4209821.4285714282</v>
      </c>
      <c r="K23" s="969">
        <v>7290178.5714285718</v>
      </c>
      <c r="L23" s="584">
        <f>SUM(I23:K23)</f>
        <v>17588021</v>
      </c>
    </row>
    <row r="24" spans="1:12">
      <c r="A24" s="29">
        <v>105104</v>
      </c>
      <c r="B24" s="29">
        <v>103958</v>
      </c>
      <c r="C24" s="29">
        <v>139905</v>
      </c>
      <c r="D24" s="29">
        <v>105102</v>
      </c>
      <c r="E24" s="29">
        <v>139907</v>
      </c>
      <c r="G24" s="582">
        <v>13</v>
      </c>
      <c r="H24" s="970" t="s">
        <v>27</v>
      </c>
      <c r="I24" s="969">
        <v>5988021</v>
      </c>
      <c r="J24" s="969">
        <v>4211651.7857142854</v>
      </c>
      <c r="K24" s="969">
        <v>7293348.2142857146</v>
      </c>
      <c r="L24" s="587">
        <f>SUM(I24:K24)</f>
        <v>17493021</v>
      </c>
    </row>
    <row r="25" spans="1:12">
      <c r="G25" s="582">
        <v>14</v>
      </c>
      <c r="H25" s="585"/>
      <c r="I25" s="648"/>
      <c r="J25" s="648"/>
      <c r="K25" s="648"/>
      <c r="L25" s="649"/>
    </row>
    <row r="26" spans="1:12">
      <c r="G26" s="582">
        <v>15</v>
      </c>
      <c r="H26" s="588" t="s">
        <v>16</v>
      </c>
      <c r="I26" s="586">
        <v>72247932</v>
      </c>
      <c r="J26" s="586">
        <v>49200083</v>
      </c>
      <c r="K26" s="586">
        <v>92366890</v>
      </c>
      <c r="L26" s="587">
        <v>213814905</v>
      </c>
    </row>
    <row r="27" spans="1:12">
      <c r="G27" s="582">
        <v>16</v>
      </c>
      <c r="H27" s="588"/>
      <c r="I27" s="583"/>
      <c r="J27" s="583"/>
      <c r="K27" s="583"/>
      <c r="L27" s="584"/>
    </row>
    <row r="28" spans="1:12" ht="13.5" thickBot="1">
      <c r="G28" s="582">
        <v>17</v>
      </c>
      <c r="H28" s="588" t="s">
        <v>28</v>
      </c>
      <c r="I28" s="589">
        <f>AVERAGE(I12:I24)</f>
        <v>5670474.9382769233</v>
      </c>
      <c r="J28" s="622">
        <f>AVERAGE(J12:J24)</f>
        <v>4211510.9890109878</v>
      </c>
      <c r="K28" s="589">
        <f>AVERAGE(K12:K24)</f>
        <v>7293104.3956043953</v>
      </c>
      <c r="L28" s="590">
        <f>AVERAGE(L12:L24)</f>
        <v>17175090.322892312</v>
      </c>
    </row>
    <row r="29" spans="1:12" ht="13.5" thickTop="1">
      <c r="G29" s="582"/>
      <c r="H29" s="588"/>
      <c r="I29" s="583"/>
      <c r="J29" s="583"/>
      <c r="K29" s="583"/>
      <c r="L29" s="584"/>
    </row>
    <row r="30" spans="1:12">
      <c r="G30" s="578"/>
      <c r="H30" s="591"/>
      <c r="I30" s="592"/>
      <c r="J30" s="592"/>
      <c r="K30" s="592"/>
      <c r="L30" s="593"/>
    </row>
    <row r="33" spans="8:9">
      <c r="H33" s="154" t="s">
        <v>519</v>
      </c>
    </row>
    <row r="34" spans="8:9">
      <c r="H34" s="153" t="s">
        <v>571</v>
      </c>
      <c r="I34" s="412"/>
    </row>
    <row r="35" spans="8:9">
      <c r="H35" s="518"/>
    </row>
  </sheetData>
  <mergeCells count="5">
    <mergeCell ref="G6:K6"/>
    <mergeCell ref="I10:L10"/>
    <mergeCell ref="G5:L5"/>
    <mergeCell ref="G3:L3"/>
    <mergeCell ref="G4:L4"/>
  </mergeCells>
  <printOptions horizontalCentered="1"/>
  <pageMargins left="0.75" right="0.75" top="0.75" bottom="0.75" header="0.5" footer="0.5"/>
  <pageSetup scale="80" orientation="portrait" r:id="rId1"/>
  <headerFooter>
    <oddHeader>&amp;R&amp;"Arial,Regular"&amp;10Attachment O Work Paper
Page 7 of 20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">
    <pageSetUpPr autoPageBreaks="0"/>
  </sheetPr>
  <dimension ref="A1:F31"/>
  <sheetViews>
    <sheetView showGridLines="0" defaultGridColor="0" colorId="22" zoomScaleNormal="100" workbookViewId="0">
      <selection activeCell="O2" sqref="O2"/>
    </sheetView>
  </sheetViews>
  <sheetFormatPr defaultColWidth="5.6640625" defaultRowHeight="12.75"/>
  <cols>
    <col min="1" max="1" width="3.88671875" style="46" bestFit="1" customWidth="1"/>
    <col min="2" max="2" width="15.44140625" style="47" bestFit="1" customWidth="1"/>
    <col min="3" max="4" width="13.77734375" style="47" customWidth="1"/>
    <col min="5" max="5" width="13.44140625" style="47" bestFit="1" customWidth="1"/>
    <col min="6" max="253" width="9.77734375" style="47" customWidth="1"/>
    <col min="254" max="254" width="3.88671875" style="47" bestFit="1" customWidth="1"/>
    <col min="255" max="255" width="13" style="47" customWidth="1"/>
    <col min="256" max="16384" width="5.6640625" style="47"/>
  </cols>
  <sheetData>
    <row r="1" spans="1:6">
      <c r="D1" s="48"/>
      <c r="E1" s="49"/>
    </row>
    <row r="2" spans="1:6">
      <c r="B2" s="50"/>
      <c r="D2" s="48"/>
      <c r="E2" s="638"/>
    </row>
    <row r="3" spans="1:6" ht="12.75" customHeight="1">
      <c r="A3" s="1091" t="s">
        <v>0</v>
      </c>
      <c r="B3" s="1092"/>
      <c r="C3" s="1092"/>
      <c r="D3" s="1092"/>
    </row>
    <row r="4" spans="1:6" ht="12.75" customHeight="1">
      <c r="A4" s="1091" t="s">
        <v>49</v>
      </c>
      <c r="B4" s="1092"/>
      <c r="C4" s="1092"/>
      <c r="D4" s="1092"/>
    </row>
    <row r="5" spans="1:6" ht="12.75" customHeight="1">
      <c r="A5" s="1093" t="s">
        <v>686</v>
      </c>
      <c r="B5" s="1093"/>
      <c r="C5" s="1093"/>
      <c r="D5" s="1093"/>
      <c r="E5" s="1080"/>
    </row>
    <row r="6" spans="1:6">
      <c r="C6" s="52"/>
      <c r="D6" s="52"/>
    </row>
    <row r="7" spans="1:6">
      <c r="B7" s="46" t="s">
        <v>1</v>
      </c>
      <c r="C7" s="51" t="s">
        <v>2</v>
      </c>
      <c r="D7" s="51" t="s">
        <v>3</v>
      </c>
      <c r="E7" s="53"/>
    </row>
    <row r="8" spans="1:6">
      <c r="B8" s="54"/>
      <c r="C8" s="55"/>
      <c r="D8" s="55"/>
    </row>
    <row r="9" spans="1:6" ht="38.25">
      <c r="A9" s="56" t="s">
        <v>38</v>
      </c>
      <c r="B9" s="216" t="s">
        <v>47</v>
      </c>
      <c r="C9" s="211" t="s">
        <v>50</v>
      </c>
      <c r="D9" s="208" t="s">
        <v>51</v>
      </c>
    </row>
    <row r="10" spans="1:6">
      <c r="A10" s="57">
        <f>1</f>
        <v>1</v>
      </c>
      <c r="B10" s="971" t="s">
        <v>684</v>
      </c>
      <c r="C10" s="972">
        <v>0</v>
      </c>
      <c r="D10" s="973">
        <v>417544.88942172384</v>
      </c>
    </row>
    <row r="11" spans="1:6">
      <c r="A11" s="58">
        <f>A10+1</f>
        <v>2</v>
      </c>
      <c r="B11" s="971" t="s">
        <v>685</v>
      </c>
      <c r="C11" s="974">
        <f>D11-D10</f>
        <v>1259387.1424179741</v>
      </c>
      <c r="D11" s="973">
        <v>1676932.0318396979</v>
      </c>
    </row>
    <row r="12" spans="1:6">
      <c r="A12" s="58">
        <f t="shared" ref="A12:A25" si="0">A11+1</f>
        <v>3</v>
      </c>
      <c r="B12" s="975" t="s">
        <v>17</v>
      </c>
      <c r="C12" s="974">
        <f>D12-D11</f>
        <v>-256546.76598974969</v>
      </c>
      <c r="D12" s="973">
        <v>1420385.2658499482</v>
      </c>
    </row>
    <row r="13" spans="1:6">
      <c r="A13" s="58">
        <f t="shared" si="0"/>
        <v>4</v>
      </c>
      <c r="B13" s="975" t="s">
        <v>18</v>
      </c>
      <c r="C13" s="974">
        <f t="shared" ref="C13:C22" si="1">D13-D12</f>
        <v>-266071.88266559108</v>
      </c>
      <c r="D13" s="973">
        <v>1154313.3831843571</v>
      </c>
      <c r="E13" s="59"/>
      <c r="F13" s="52"/>
    </row>
    <row r="14" spans="1:6">
      <c r="A14" s="58">
        <f t="shared" si="0"/>
        <v>5</v>
      </c>
      <c r="B14" s="975" t="s">
        <v>19</v>
      </c>
      <c r="C14" s="974">
        <f t="shared" si="1"/>
        <v>1549099.3813798903</v>
      </c>
      <c r="D14" s="973">
        <v>2703412.7645642473</v>
      </c>
      <c r="E14" s="59"/>
      <c r="F14" s="52"/>
    </row>
    <row r="15" spans="1:6">
      <c r="A15" s="58">
        <f t="shared" si="0"/>
        <v>6</v>
      </c>
      <c r="B15" s="975" t="s">
        <v>20</v>
      </c>
      <c r="C15" s="974">
        <f t="shared" si="1"/>
        <v>-289951.04197377292</v>
      </c>
      <c r="D15" s="973">
        <v>2413461.7225904744</v>
      </c>
    </row>
    <row r="16" spans="1:6">
      <c r="A16" s="58">
        <f t="shared" si="0"/>
        <v>7</v>
      </c>
      <c r="B16" s="975" t="s">
        <v>21</v>
      </c>
      <c r="C16" s="974">
        <f t="shared" si="1"/>
        <v>-289013.53594577964</v>
      </c>
      <c r="D16" s="973">
        <v>2124448.1866446948</v>
      </c>
    </row>
    <row r="17" spans="1:5">
      <c r="A17" s="58">
        <f t="shared" si="0"/>
        <v>8</v>
      </c>
      <c r="B17" s="975" t="s">
        <v>22</v>
      </c>
      <c r="C17" s="974">
        <f t="shared" si="1"/>
        <v>-258025.64489132352</v>
      </c>
      <c r="D17" s="973">
        <v>1866422.5417533712</v>
      </c>
    </row>
    <row r="18" spans="1:5">
      <c r="A18" s="58">
        <f t="shared" si="0"/>
        <v>9</v>
      </c>
      <c r="B18" s="975" t="s">
        <v>23</v>
      </c>
      <c r="C18" s="974">
        <f t="shared" si="1"/>
        <v>-288147.98125560186</v>
      </c>
      <c r="D18" s="973">
        <v>1578274.5604977694</v>
      </c>
    </row>
    <row r="19" spans="1:5">
      <c r="A19" s="58">
        <f t="shared" si="0"/>
        <v>10</v>
      </c>
      <c r="B19" s="975" t="s">
        <v>24</v>
      </c>
      <c r="C19" s="974">
        <f t="shared" si="1"/>
        <v>-287866.71952617285</v>
      </c>
      <c r="D19" s="973">
        <v>1290407.8409715965</v>
      </c>
    </row>
    <row r="20" spans="1:5">
      <c r="A20" s="58">
        <f t="shared" si="0"/>
        <v>11</v>
      </c>
      <c r="B20" s="975" t="s">
        <v>25</v>
      </c>
      <c r="C20" s="974">
        <f t="shared" si="1"/>
        <v>-257178.56535808009</v>
      </c>
      <c r="D20" s="973">
        <v>1033229.2756135165</v>
      </c>
    </row>
    <row r="21" spans="1:5">
      <c r="A21" s="58">
        <f t="shared" si="0"/>
        <v>12</v>
      </c>
      <c r="B21" s="975" t="s">
        <v>26</v>
      </c>
      <c r="C21" s="974">
        <f t="shared" si="1"/>
        <v>-288237.97736379481</v>
      </c>
      <c r="D21" s="973">
        <v>744991.29824972164</v>
      </c>
    </row>
    <row r="22" spans="1:5">
      <c r="A22" s="58">
        <f t="shared" si="0"/>
        <v>13</v>
      </c>
      <c r="B22" s="975" t="s">
        <v>27</v>
      </c>
      <c r="C22" s="974">
        <f t="shared" si="1"/>
        <v>-288237.97736379469</v>
      </c>
      <c r="D22" s="973">
        <v>456753.32088592695</v>
      </c>
      <c r="E22" s="60"/>
    </row>
    <row r="23" spans="1:5">
      <c r="A23" s="58">
        <f t="shared" si="0"/>
        <v>14</v>
      </c>
      <c r="B23" s="206"/>
      <c r="C23" s="212"/>
      <c r="D23" s="205"/>
      <c r="E23" s="60"/>
    </row>
    <row r="24" spans="1:5">
      <c r="A24" s="58">
        <f t="shared" si="0"/>
        <v>15</v>
      </c>
      <c r="B24" s="207" t="s">
        <v>16</v>
      </c>
      <c r="C24" s="213"/>
      <c r="D24" s="209">
        <f>SUM(D10:D22)</f>
        <v>18880577.082067043</v>
      </c>
    </row>
    <row r="25" spans="1:5">
      <c r="A25" s="58">
        <f t="shared" si="0"/>
        <v>16</v>
      </c>
      <c r="B25" s="207" t="s">
        <v>28</v>
      </c>
      <c r="C25" s="214"/>
      <c r="D25" s="210">
        <f>D24/13</f>
        <v>1452352.0832359265</v>
      </c>
    </row>
    <row r="26" spans="1:5">
      <c r="A26" s="62"/>
      <c r="B26" s="203"/>
      <c r="C26" s="54"/>
      <c r="D26" s="204"/>
    </row>
    <row r="27" spans="1:5">
      <c r="A27" s="63"/>
      <c r="B27" s="61"/>
      <c r="C27" s="61"/>
      <c r="D27" s="61"/>
    </row>
    <row r="29" spans="1:5">
      <c r="B29" s="154" t="s">
        <v>519</v>
      </c>
    </row>
    <row r="30" spans="1:5">
      <c r="B30" s="153" t="s">
        <v>571</v>
      </c>
      <c r="C30" s="153"/>
    </row>
    <row r="31" spans="1:5">
      <c r="B31" s="518"/>
      <c r="C31" s="418"/>
    </row>
  </sheetData>
  <mergeCells count="3">
    <mergeCell ref="A3:D3"/>
    <mergeCell ref="A4:D4"/>
    <mergeCell ref="A5:D5"/>
  </mergeCells>
  <printOptions horizontalCentered="1"/>
  <pageMargins left="0.75" right="0.75" top="0.5" bottom="0.5" header="0.5" footer="0.5"/>
  <pageSetup scale="80" orientation="portrait" r:id="rId1"/>
  <headerFooter alignWithMargins="0">
    <oddHeader>&amp;R&amp;"Arial,Regular"&amp;10Attachment O Work Paper
Page 8 of 20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203"/>
  <sheetViews>
    <sheetView showGridLines="0" zoomScaleNormal="100" workbookViewId="0">
      <pane ySplit="9" topLeftCell="A181" activePane="bottomLeft" state="frozen"/>
      <selection activeCell="O2" sqref="O2"/>
      <selection pane="bottomLeft" activeCell="O2" sqref="O2"/>
    </sheetView>
  </sheetViews>
  <sheetFormatPr defaultColWidth="16.77734375" defaultRowHeight="12.75"/>
  <cols>
    <col min="1" max="1" width="4.33203125" style="218" bestFit="1" customWidth="1"/>
    <col min="2" max="2" width="55.88671875" style="218" customWidth="1"/>
    <col min="3" max="3" width="14.109375" style="292" customWidth="1"/>
    <col min="4" max="4" width="20.88671875" style="293" bestFit="1" customWidth="1"/>
    <col min="5" max="5" width="15.109375" style="218" customWidth="1"/>
    <col min="6" max="6" width="16" style="218" bestFit="1" customWidth="1"/>
    <col min="7" max="248" width="8.88671875" style="218" customWidth="1"/>
    <col min="249" max="249" width="9.44140625" style="218" customWidth="1"/>
    <col min="250" max="250" width="55.88671875" style="218" customWidth="1"/>
    <col min="251" max="251" width="14.109375" style="218" customWidth="1"/>
    <col min="252" max="252" width="18.33203125" style="218" customWidth="1"/>
    <col min="253" max="253" width="16.77734375" style="218" customWidth="1"/>
    <col min="254" max="254" width="13.88671875" style="218" customWidth="1"/>
    <col min="255" max="16384" width="16.77734375" style="218"/>
  </cols>
  <sheetData>
    <row r="1" spans="1:6">
      <c r="A1" s="1100"/>
      <c r="B1" s="1100"/>
      <c r="C1" s="217"/>
      <c r="D1" s="905"/>
    </row>
    <row r="2" spans="1:6" ht="12.75" customHeight="1">
      <c r="A2" s="1101" t="s">
        <v>0</v>
      </c>
      <c r="B2" s="1102"/>
      <c r="C2" s="1102"/>
      <c r="D2" s="1102"/>
      <c r="E2" s="410"/>
      <c r="F2" s="410"/>
    </row>
    <row r="3" spans="1:6" ht="12.75" customHeight="1">
      <c r="A3" s="1101" t="s">
        <v>358</v>
      </c>
      <c r="B3" s="1102"/>
      <c r="C3" s="1102"/>
      <c r="D3" s="1102"/>
      <c r="E3" s="1080"/>
      <c r="F3" s="412"/>
    </row>
    <row r="4" spans="1:6" ht="12.75" customHeight="1">
      <c r="A4" s="1101" t="str">
        <f>"Budget Year "&amp;Info!B3</f>
        <v>Budget Year 2015</v>
      </c>
      <c r="B4" s="1102"/>
      <c r="C4" s="1102"/>
      <c r="D4" s="1102"/>
      <c r="E4" s="638"/>
    </row>
    <row r="5" spans="1:6">
      <c r="A5" s="219"/>
      <c r="B5" s="220"/>
      <c r="C5" s="221"/>
      <c r="D5" s="222"/>
    </row>
    <row r="6" spans="1:6">
      <c r="A6" s="219"/>
      <c r="B6" s="294" t="s">
        <v>1</v>
      </c>
      <c r="C6" s="27" t="s">
        <v>2</v>
      </c>
      <c r="D6" s="138" t="s">
        <v>3</v>
      </c>
    </row>
    <row r="7" spans="1:6">
      <c r="A7" s="219"/>
      <c r="B7" s="223"/>
      <c r="C7" s="217"/>
      <c r="D7" s="224"/>
    </row>
    <row r="8" spans="1:6">
      <c r="A8" s="225" t="s">
        <v>8</v>
      </c>
      <c r="B8" s="1094" t="s">
        <v>35</v>
      </c>
      <c r="C8" s="1098" t="s">
        <v>99</v>
      </c>
      <c r="D8" s="226" t="s">
        <v>327</v>
      </c>
    </row>
    <row r="9" spans="1:6">
      <c r="A9" s="227" t="s">
        <v>10</v>
      </c>
      <c r="B9" s="1095"/>
      <c r="C9" s="1099"/>
      <c r="D9" s="228" t="str">
        <f>A4</f>
        <v>Budget Year 2015</v>
      </c>
    </row>
    <row r="10" spans="1:6">
      <c r="A10" s="229">
        <v>1</v>
      </c>
      <c r="B10" s="230" t="s">
        <v>102</v>
      </c>
      <c r="C10" s="231"/>
      <c r="D10" s="232"/>
    </row>
    <row r="11" spans="1:6">
      <c r="A11" s="229">
        <f>+A10+1</f>
        <v>2</v>
      </c>
      <c r="B11" s="233" t="s">
        <v>103</v>
      </c>
      <c r="C11" s="234" t="s">
        <v>104</v>
      </c>
      <c r="D11" s="1054">
        <v>1633536.1724164241</v>
      </c>
    </row>
    <row r="12" spans="1:6">
      <c r="A12" s="229">
        <f>+A11+1</f>
        <v>3</v>
      </c>
      <c r="B12" s="233" t="s">
        <v>105</v>
      </c>
      <c r="C12" s="234" t="s">
        <v>106</v>
      </c>
      <c r="D12" s="1054">
        <v>70408238.526960671</v>
      </c>
    </row>
    <row r="13" spans="1:6">
      <c r="A13" s="229">
        <f t="shared" ref="A13:A74" si="0">+A12+1</f>
        <v>4</v>
      </c>
      <c r="B13" s="233" t="s">
        <v>107</v>
      </c>
      <c r="C13" s="234" t="s">
        <v>108</v>
      </c>
      <c r="D13" s="1054">
        <v>-371053.9593112861</v>
      </c>
    </row>
    <row r="14" spans="1:6">
      <c r="A14" s="229">
        <f t="shared" si="0"/>
        <v>5</v>
      </c>
      <c r="B14" s="233" t="s">
        <v>109</v>
      </c>
      <c r="C14" s="234" t="s">
        <v>110</v>
      </c>
      <c r="D14" s="1054">
        <v>2775913.3548600012</v>
      </c>
    </row>
    <row r="15" spans="1:6">
      <c r="A15" s="229">
        <f t="shared" si="0"/>
        <v>6</v>
      </c>
      <c r="B15" s="233" t="s">
        <v>111</v>
      </c>
      <c r="C15" s="234" t="s">
        <v>112</v>
      </c>
      <c r="D15" s="1054">
        <v>5652956.0397755494</v>
      </c>
    </row>
    <row r="16" spans="1:6" ht="15" customHeight="1">
      <c r="A16" s="229">
        <f t="shared" si="0"/>
        <v>7</v>
      </c>
      <c r="B16" s="233" t="s">
        <v>113</v>
      </c>
      <c r="C16" s="234" t="s">
        <v>114</v>
      </c>
      <c r="D16" s="1054">
        <v>0</v>
      </c>
    </row>
    <row r="17" spans="1:4">
      <c r="A17" s="229">
        <f t="shared" si="0"/>
        <v>8</v>
      </c>
      <c r="B17" s="235" t="s">
        <v>340</v>
      </c>
      <c r="C17" s="236"/>
      <c r="D17" s="1055">
        <f>+SUM(D11:D16)</f>
        <v>80099590.134701356</v>
      </c>
    </row>
    <row r="18" spans="1:4" ht="7.5" customHeight="1">
      <c r="A18" s="229"/>
      <c r="B18" s="237"/>
      <c r="C18" s="238"/>
      <c r="D18" s="1056"/>
    </row>
    <row r="19" spans="1:4">
      <c r="A19" s="229">
        <f>+A17+1</f>
        <v>9</v>
      </c>
      <c r="B19" s="230" t="s">
        <v>115</v>
      </c>
      <c r="C19" s="231"/>
      <c r="D19" s="1057"/>
    </row>
    <row r="20" spans="1:4">
      <c r="A20" s="229">
        <f t="shared" si="0"/>
        <v>10</v>
      </c>
      <c r="B20" s="233" t="s">
        <v>103</v>
      </c>
      <c r="C20" s="239" t="s">
        <v>116</v>
      </c>
      <c r="D20" s="1058">
        <v>945055.23805385304</v>
      </c>
    </row>
    <row r="21" spans="1:4">
      <c r="A21" s="229">
        <f t="shared" si="0"/>
        <v>11</v>
      </c>
      <c r="B21" s="233" t="s">
        <v>117</v>
      </c>
      <c r="C21" s="234" t="s">
        <v>118</v>
      </c>
      <c r="D21" s="1058">
        <v>891056.01911677769</v>
      </c>
    </row>
    <row r="22" spans="1:4">
      <c r="A22" s="229">
        <f t="shared" si="0"/>
        <v>12</v>
      </c>
      <c r="B22" s="233" t="s">
        <v>119</v>
      </c>
      <c r="C22" s="234" t="s">
        <v>120</v>
      </c>
      <c r="D22" s="1058">
        <v>12516408.064245734</v>
      </c>
    </row>
    <row r="23" spans="1:4">
      <c r="A23" s="229">
        <f t="shared" si="0"/>
        <v>13</v>
      </c>
      <c r="B23" s="233" t="s">
        <v>121</v>
      </c>
      <c r="C23" s="234" t="s">
        <v>122</v>
      </c>
      <c r="D23" s="1058">
        <v>3329496.2133168615</v>
      </c>
    </row>
    <row r="24" spans="1:4">
      <c r="A24" s="229">
        <f t="shared" si="0"/>
        <v>14</v>
      </c>
      <c r="B24" s="233" t="s">
        <v>123</v>
      </c>
      <c r="C24" s="234" t="s">
        <v>124</v>
      </c>
      <c r="D24" s="1058">
        <v>1928248.3364725965</v>
      </c>
    </row>
    <row r="25" spans="1:4">
      <c r="A25" s="229">
        <f t="shared" si="0"/>
        <v>15</v>
      </c>
      <c r="B25" s="235" t="s">
        <v>341</v>
      </c>
      <c r="C25" s="236"/>
      <c r="D25" s="1055">
        <f>+SUM(D20:D24)</f>
        <v>19610263.871205825</v>
      </c>
    </row>
    <row r="26" spans="1:4" ht="7.5" customHeight="1">
      <c r="A26" s="229"/>
      <c r="B26" s="237"/>
      <c r="C26" s="238"/>
      <c r="D26" s="1056"/>
    </row>
    <row r="27" spans="1:4">
      <c r="A27" s="229">
        <f>+A25+1</f>
        <v>16</v>
      </c>
      <c r="B27" s="230" t="s">
        <v>125</v>
      </c>
      <c r="C27" s="231"/>
      <c r="D27" s="1057"/>
    </row>
    <row r="28" spans="1:4">
      <c r="A28" s="229">
        <f t="shared" si="0"/>
        <v>17</v>
      </c>
      <c r="B28" s="233" t="s">
        <v>103</v>
      </c>
      <c r="C28" s="234" t="s">
        <v>126</v>
      </c>
      <c r="D28" s="1059">
        <v>10929.517214014128</v>
      </c>
    </row>
    <row r="29" spans="1:4">
      <c r="A29" s="229">
        <f t="shared" si="0"/>
        <v>18</v>
      </c>
      <c r="B29" s="233" t="s">
        <v>127</v>
      </c>
      <c r="C29" s="234" t="s">
        <v>484</v>
      </c>
      <c r="D29" s="1059">
        <v>129912.9374453831</v>
      </c>
    </row>
    <row r="30" spans="1:4">
      <c r="A30" s="229">
        <f t="shared" si="0"/>
        <v>19</v>
      </c>
      <c r="B30" s="233" t="s">
        <v>111</v>
      </c>
      <c r="C30" s="234" t="s">
        <v>128</v>
      </c>
      <c r="D30" s="1059">
        <v>32338.007703011233</v>
      </c>
    </row>
    <row r="31" spans="1:4">
      <c r="A31" s="229"/>
      <c r="B31" s="437" t="s">
        <v>485</v>
      </c>
      <c r="C31" s="234" t="s">
        <v>486</v>
      </c>
      <c r="D31" s="1059">
        <v>0</v>
      </c>
    </row>
    <row r="32" spans="1:4">
      <c r="A32" s="229">
        <f>+A30+1</f>
        <v>20</v>
      </c>
      <c r="B32" s="233" t="s">
        <v>129</v>
      </c>
      <c r="C32" s="239" t="s">
        <v>130</v>
      </c>
      <c r="D32" s="1059">
        <v>3867.950249999994</v>
      </c>
    </row>
    <row r="33" spans="1:4">
      <c r="A33" s="229">
        <f t="shared" si="0"/>
        <v>21</v>
      </c>
      <c r="B33" s="233" t="s">
        <v>117</v>
      </c>
      <c r="C33" s="234" t="s">
        <v>131</v>
      </c>
      <c r="D33" s="1059">
        <v>12238.357499999995</v>
      </c>
    </row>
    <row r="34" spans="1:4">
      <c r="A34" s="229">
        <f t="shared" si="0"/>
        <v>22</v>
      </c>
      <c r="B34" s="233" t="s">
        <v>132</v>
      </c>
      <c r="C34" s="234" t="s">
        <v>133</v>
      </c>
      <c r="D34" s="1059">
        <v>307558.67464849947</v>
      </c>
    </row>
    <row r="35" spans="1:4">
      <c r="A35" s="229">
        <f t="shared" si="0"/>
        <v>23</v>
      </c>
      <c r="B35" s="233" t="s">
        <v>121</v>
      </c>
      <c r="C35" s="234" t="s">
        <v>134</v>
      </c>
      <c r="D35" s="1059">
        <v>33029.183631613734</v>
      </c>
    </row>
    <row r="36" spans="1:4">
      <c r="A36" s="229">
        <f t="shared" si="0"/>
        <v>24</v>
      </c>
      <c r="B36" s="233" t="s">
        <v>111</v>
      </c>
      <c r="C36" s="234" t="s">
        <v>135</v>
      </c>
      <c r="D36" s="1059">
        <v>2541.856499999999</v>
      </c>
    </row>
    <row r="37" spans="1:4">
      <c r="A37" s="229">
        <f t="shared" si="0"/>
        <v>25</v>
      </c>
      <c r="B37" s="235" t="s">
        <v>342</v>
      </c>
      <c r="C37" s="236"/>
      <c r="D37" s="1055">
        <f>+SUM(D28:D36)</f>
        <v>532416.48489252164</v>
      </c>
    </row>
    <row r="38" spans="1:4" ht="7.5" customHeight="1">
      <c r="A38" s="229"/>
      <c r="B38" s="237"/>
      <c r="C38" s="238"/>
      <c r="D38" s="1056"/>
    </row>
    <row r="39" spans="1:4">
      <c r="A39" s="229">
        <f>+A37+1</f>
        <v>26</v>
      </c>
      <c r="B39" s="230" t="s">
        <v>136</v>
      </c>
      <c r="C39" s="231"/>
      <c r="D39" s="1057"/>
    </row>
    <row r="40" spans="1:4">
      <c r="A40" s="229">
        <f t="shared" si="0"/>
        <v>27</v>
      </c>
      <c r="B40" s="233" t="s">
        <v>103</v>
      </c>
      <c r="C40" s="234" t="s">
        <v>137</v>
      </c>
      <c r="D40" s="447">
        <v>118951.61305823839</v>
      </c>
    </row>
    <row r="41" spans="1:4">
      <c r="A41" s="229">
        <f t="shared" si="0"/>
        <v>28</v>
      </c>
      <c r="B41" s="233" t="s">
        <v>105</v>
      </c>
      <c r="C41" s="234" t="s">
        <v>138</v>
      </c>
      <c r="D41" s="447">
        <v>2623655.7531000003</v>
      </c>
    </row>
    <row r="42" spans="1:4">
      <c r="A42" s="229">
        <f t="shared" si="0"/>
        <v>29</v>
      </c>
      <c r="B42" s="233" t="s">
        <v>139</v>
      </c>
      <c r="C42" s="234" t="s">
        <v>140</v>
      </c>
      <c r="D42" s="447">
        <v>2898077.6306871613</v>
      </c>
    </row>
    <row r="43" spans="1:4">
      <c r="A43" s="229">
        <f t="shared" si="0"/>
        <v>30</v>
      </c>
      <c r="B43" s="233" t="s">
        <v>111</v>
      </c>
      <c r="C43" s="234" t="s">
        <v>141</v>
      </c>
      <c r="D43" s="447">
        <v>655820.5454087049</v>
      </c>
    </row>
    <row r="44" spans="1:4">
      <c r="A44" s="229">
        <f t="shared" si="0"/>
        <v>31</v>
      </c>
      <c r="B44" s="233" t="s">
        <v>142</v>
      </c>
      <c r="C44" s="234" t="s">
        <v>143</v>
      </c>
      <c r="D44" s="447">
        <v>586579.69249874959</v>
      </c>
    </row>
    <row r="45" spans="1:4">
      <c r="A45" s="229">
        <f t="shared" si="0"/>
        <v>32</v>
      </c>
      <c r="B45" s="233" t="s">
        <v>103</v>
      </c>
      <c r="C45" s="239" t="s">
        <v>144</v>
      </c>
      <c r="D45" s="447">
        <v>44593.437058517404</v>
      </c>
    </row>
    <row r="46" spans="1:4">
      <c r="A46" s="229">
        <f t="shared" si="0"/>
        <v>33</v>
      </c>
      <c r="B46" s="233" t="s">
        <v>117</v>
      </c>
      <c r="C46" s="234" t="s">
        <v>145</v>
      </c>
      <c r="D46" s="447">
        <v>63539.138980647935</v>
      </c>
    </row>
    <row r="47" spans="1:4">
      <c r="A47" s="229">
        <f t="shared" si="0"/>
        <v>34</v>
      </c>
      <c r="B47" s="233" t="s">
        <v>146</v>
      </c>
      <c r="C47" s="234" t="s">
        <v>147</v>
      </c>
      <c r="D47" s="447">
        <v>910254.73261512513</v>
      </c>
    </row>
    <row r="48" spans="1:4">
      <c r="A48" s="229">
        <f t="shared" si="0"/>
        <v>35</v>
      </c>
      <c r="B48" s="233" t="s">
        <v>111</v>
      </c>
      <c r="C48" s="234" t="s">
        <v>148</v>
      </c>
      <c r="D48" s="447">
        <v>41982.289711516802</v>
      </c>
    </row>
    <row r="49" spans="1:4">
      <c r="A49" s="229">
        <f t="shared" si="0"/>
        <v>36</v>
      </c>
      <c r="B49" s="235" t="s">
        <v>343</v>
      </c>
      <c r="C49" s="236"/>
      <c r="D49" s="1055">
        <f>+SUM(D40:D48)</f>
        <v>7943454.8331186613</v>
      </c>
    </row>
    <row r="50" spans="1:4" ht="7.5" customHeight="1">
      <c r="A50" s="229"/>
      <c r="B50" s="237"/>
      <c r="C50" s="238"/>
      <c r="D50" s="1056"/>
    </row>
    <row r="51" spans="1:4">
      <c r="A51" s="229">
        <f>+A49+1</f>
        <v>37</v>
      </c>
      <c r="B51" s="230" t="s">
        <v>149</v>
      </c>
      <c r="C51" s="240"/>
      <c r="D51" s="1060"/>
    </row>
    <row r="52" spans="1:4">
      <c r="A52" s="229">
        <f t="shared" si="0"/>
        <v>38</v>
      </c>
      <c r="B52" s="241" t="s">
        <v>150</v>
      </c>
      <c r="C52" s="242" t="s">
        <v>151</v>
      </c>
      <c r="D52" s="447">
        <v>545840.29588450189</v>
      </c>
    </row>
    <row r="53" spans="1:4">
      <c r="A53" s="229">
        <f t="shared" si="0"/>
        <v>39</v>
      </c>
      <c r="B53" s="241" t="s">
        <v>152</v>
      </c>
      <c r="C53" s="242" t="s">
        <v>153</v>
      </c>
      <c r="D53" s="447">
        <v>506824.43505728641</v>
      </c>
    </row>
    <row r="54" spans="1:4">
      <c r="A54" s="229">
        <f t="shared" si="0"/>
        <v>40</v>
      </c>
      <c r="B54" s="235" t="s">
        <v>344</v>
      </c>
      <c r="C54" s="236"/>
      <c r="D54" s="1055">
        <f>+SUM(D52:D53)</f>
        <v>1052664.7309417883</v>
      </c>
    </row>
    <row r="55" spans="1:4" ht="7.5" customHeight="1">
      <c r="A55" s="229"/>
      <c r="B55" s="237"/>
      <c r="C55" s="238"/>
      <c r="D55" s="1056"/>
    </row>
    <row r="56" spans="1:4">
      <c r="A56" s="229">
        <f>+A54+1</f>
        <v>41</v>
      </c>
      <c r="B56" s="243" t="s">
        <v>345</v>
      </c>
      <c r="C56" s="240"/>
      <c r="D56" s="1060"/>
    </row>
    <row r="57" spans="1:4">
      <c r="A57" s="229">
        <f t="shared" si="0"/>
        <v>42</v>
      </c>
      <c r="B57" s="233" t="s">
        <v>103</v>
      </c>
      <c r="C57" s="242" t="s">
        <v>154</v>
      </c>
      <c r="D57" s="447">
        <v>499236.89072233305</v>
      </c>
    </row>
    <row r="58" spans="1:4">
      <c r="A58" s="229">
        <f t="shared" si="0"/>
        <v>43</v>
      </c>
      <c r="B58" s="233" t="s">
        <v>155</v>
      </c>
      <c r="C58" s="242" t="s">
        <v>156</v>
      </c>
      <c r="D58" s="447">
        <v>3162806.9386376995</v>
      </c>
    </row>
    <row r="59" spans="1:4">
      <c r="A59" s="229">
        <f t="shared" si="0"/>
        <v>44</v>
      </c>
      <c r="B59" s="233" t="s">
        <v>157</v>
      </c>
      <c r="C59" s="242" t="s">
        <v>158</v>
      </c>
      <c r="D59" s="447">
        <v>388951.80452701228</v>
      </c>
    </row>
    <row r="60" spans="1:4">
      <c r="A60" s="229">
        <f t="shared" si="0"/>
        <v>45</v>
      </c>
      <c r="B60" s="233" t="s">
        <v>159</v>
      </c>
      <c r="C60" s="242" t="s">
        <v>160</v>
      </c>
      <c r="D60" s="447">
        <v>237084.01878051588</v>
      </c>
    </row>
    <row r="61" spans="1:4">
      <c r="A61" s="229">
        <f t="shared" si="0"/>
        <v>46</v>
      </c>
      <c r="B61" s="233" t="s">
        <v>161</v>
      </c>
      <c r="C61" s="242" t="s">
        <v>162</v>
      </c>
      <c r="D61" s="1061">
        <v>15511065.797944389</v>
      </c>
    </row>
    <row r="62" spans="1:4">
      <c r="A62" s="229">
        <f t="shared" si="0"/>
        <v>47</v>
      </c>
      <c r="B62" s="233" t="s">
        <v>111</v>
      </c>
      <c r="C62" s="242" t="s">
        <v>163</v>
      </c>
      <c r="D62" s="447">
        <v>1185427.295766216</v>
      </c>
    </row>
    <row r="63" spans="1:4">
      <c r="A63" s="229">
        <f t="shared" si="0"/>
        <v>48</v>
      </c>
      <c r="B63" s="233" t="s">
        <v>142</v>
      </c>
      <c r="C63" s="242" t="s">
        <v>164</v>
      </c>
      <c r="D63" s="447">
        <v>37422.068840115782</v>
      </c>
    </row>
    <row r="64" spans="1:4">
      <c r="A64" s="229">
        <f t="shared" si="0"/>
        <v>49</v>
      </c>
      <c r="B64" s="233" t="s">
        <v>103</v>
      </c>
      <c r="C64" s="244" t="s">
        <v>165</v>
      </c>
      <c r="D64" s="447">
        <v>274803.50890382251</v>
      </c>
    </row>
    <row r="65" spans="1:4">
      <c r="A65" s="229">
        <f t="shared" si="0"/>
        <v>50</v>
      </c>
      <c r="B65" s="233" t="s">
        <v>166</v>
      </c>
      <c r="C65" s="242" t="s">
        <v>167</v>
      </c>
      <c r="D65" s="447">
        <v>990704.07225987338</v>
      </c>
    </row>
    <row r="66" spans="1:4">
      <c r="A66" s="229">
        <f t="shared" si="0"/>
        <v>51</v>
      </c>
      <c r="B66" s="233" t="s">
        <v>100</v>
      </c>
      <c r="C66" s="242" t="s">
        <v>168</v>
      </c>
      <c r="D66" s="447">
        <v>1306428.4729039581</v>
      </c>
    </row>
    <row r="67" spans="1:4">
      <c r="A67" s="229">
        <f t="shared" si="0"/>
        <v>52</v>
      </c>
      <c r="B67" s="233" t="s">
        <v>169</v>
      </c>
      <c r="C67" s="242" t="s">
        <v>170</v>
      </c>
      <c r="D67" s="447">
        <v>2372715.9542934163</v>
      </c>
    </row>
    <row r="68" spans="1:4">
      <c r="A68" s="229">
        <f t="shared" si="0"/>
        <v>53</v>
      </c>
      <c r="B68" s="233" t="s">
        <v>171</v>
      </c>
      <c r="C68" s="242" t="s">
        <v>172</v>
      </c>
      <c r="D68" s="447">
        <v>0</v>
      </c>
    </row>
    <row r="69" spans="1:4">
      <c r="A69" s="229">
        <f t="shared" si="0"/>
        <v>54</v>
      </c>
      <c r="B69" s="233" t="s">
        <v>173</v>
      </c>
      <c r="C69" s="242" t="s">
        <v>174</v>
      </c>
      <c r="D69" s="1062">
        <v>0</v>
      </c>
    </row>
    <row r="70" spans="1:4">
      <c r="A70" s="229">
        <f t="shared" si="0"/>
        <v>55</v>
      </c>
      <c r="B70" s="233" t="s">
        <v>175</v>
      </c>
      <c r="C70" s="242" t="s">
        <v>176</v>
      </c>
      <c r="D70" s="1062">
        <v>1067857.2779796084</v>
      </c>
    </row>
    <row r="71" spans="1:4">
      <c r="A71" s="229">
        <f t="shared" si="0"/>
        <v>56</v>
      </c>
      <c r="B71" s="233" t="s">
        <v>177</v>
      </c>
      <c r="C71" s="242" t="s">
        <v>178</v>
      </c>
      <c r="D71" s="1063">
        <v>356981.82400249917</v>
      </c>
    </row>
    <row r="72" spans="1:4">
      <c r="A72" s="229">
        <f t="shared" si="0"/>
        <v>57</v>
      </c>
      <c r="B72" s="301" t="s">
        <v>362</v>
      </c>
      <c r="C72" s="242"/>
      <c r="D72" s="426">
        <f>SUM(D57:D71)</f>
        <v>27391485.925561462</v>
      </c>
    </row>
    <row r="73" spans="1:4">
      <c r="A73" s="229">
        <f t="shared" si="0"/>
        <v>58</v>
      </c>
      <c r="B73" s="302" t="s">
        <v>363</v>
      </c>
      <c r="C73" s="303"/>
      <c r="D73" s="425">
        <f>D70+D71</f>
        <v>1424839.1019821076</v>
      </c>
    </row>
    <row r="74" spans="1:4">
      <c r="A74" s="229">
        <f t="shared" si="0"/>
        <v>59</v>
      </c>
      <c r="B74" s="235" t="s">
        <v>361</v>
      </c>
      <c r="C74" s="246"/>
      <c r="D74" s="1064">
        <f>D72-D73</f>
        <v>25966646.823579352</v>
      </c>
    </row>
    <row r="75" spans="1:4">
      <c r="A75" s="298"/>
      <c r="B75" s="299"/>
      <c r="C75" s="300"/>
      <c r="D75" s="1065"/>
    </row>
    <row r="76" spans="1:4">
      <c r="A76" s="295"/>
      <c r="B76" s="296"/>
      <c r="C76" s="297"/>
      <c r="D76" s="1066"/>
    </row>
    <row r="77" spans="1:4">
      <c r="A77" s="247" t="s">
        <v>8</v>
      </c>
      <c r="B77" s="1094" t="s">
        <v>35</v>
      </c>
      <c r="C77" s="1096" t="s">
        <v>99</v>
      </c>
      <c r="D77" s="226" t="s">
        <v>327</v>
      </c>
    </row>
    <row r="78" spans="1:4">
      <c r="A78" s="248" t="s">
        <v>10</v>
      </c>
      <c r="B78" s="1095"/>
      <c r="C78" s="1097"/>
      <c r="D78" s="228" t="str">
        <f>C11</f>
        <v>401 - 500</v>
      </c>
    </row>
    <row r="79" spans="1:4">
      <c r="A79" s="245">
        <v>1</v>
      </c>
      <c r="B79" s="249" t="s">
        <v>179</v>
      </c>
      <c r="C79" s="250"/>
      <c r="D79" s="1067"/>
    </row>
    <row r="80" spans="1:4">
      <c r="A80" s="245">
        <f>+A79+1</f>
        <v>2</v>
      </c>
      <c r="B80" s="251" t="s">
        <v>180</v>
      </c>
      <c r="C80" s="252" t="s">
        <v>181</v>
      </c>
      <c r="D80" s="447">
        <v>313866.43457559362</v>
      </c>
    </row>
    <row r="81" spans="1:4">
      <c r="A81" s="245">
        <f t="shared" ref="A81:A108" si="1">+A80+1</f>
        <v>3</v>
      </c>
      <c r="B81" s="251" t="s">
        <v>155</v>
      </c>
      <c r="C81" s="252" t="s">
        <v>182</v>
      </c>
      <c r="D81" s="447">
        <v>247313.9869703466</v>
      </c>
    </row>
    <row r="82" spans="1:4">
      <c r="A82" s="245">
        <f t="shared" si="1"/>
        <v>4</v>
      </c>
      <c r="B82" s="251" t="s">
        <v>183</v>
      </c>
      <c r="C82" s="252" t="s">
        <v>184</v>
      </c>
      <c r="D82" s="447">
        <v>262119.37039540603</v>
      </c>
    </row>
    <row r="83" spans="1:4">
      <c r="A83" s="245">
        <f t="shared" si="1"/>
        <v>5</v>
      </c>
      <c r="B83" s="251" t="s">
        <v>185</v>
      </c>
      <c r="C83" s="252" t="s">
        <v>186</v>
      </c>
      <c r="D83" s="447">
        <v>334608.68475804001</v>
      </c>
    </row>
    <row r="84" spans="1:4">
      <c r="A84" s="245">
        <f t="shared" si="1"/>
        <v>6</v>
      </c>
      <c r="B84" s="251" t="s">
        <v>187</v>
      </c>
      <c r="C84" s="252" t="s">
        <v>188</v>
      </c>
      <c r="D84" s="447">
        <v>1710046.4275278535</v>
      </c>
    </row>
    <row r="85" spans="1:4">
      <c r="A85" s="245">
        <f t="shared" si="1"/>
        <v>7</v>
      </c>
      <c r="B85" s="251" t="s">
        <v>189</v>
      </c>
      <c r="C85" s="252" t="s">
        <v>190</v>
      </c>
      <c r="D85" s="447">
        <v>0</v>
      </c>
    </row>
    <row r="86" spans="1:4">
      <c r="A86" s="245">
        <f t="shared" si="1"/>
        <v>8</v>
      </c>
      <c r="B86" s="253" t="s">
        <v>191</v>
      </c>
      <c r="C86" s="252" t="s">
        <v>192</v>
      </c>
      <c r="D86" s="254">
        <v>0</v>
      </c>
    </row>
    <row r="87" spans="1:4">
      <c r="A87" s="245">
        <f t="shared" si="1"/>
        <v>9</v>
      </c>
      <c r="B87" s="253" t="s">
        <v>191</v>
      </c>
      <c r="C87" s="252" t="s">
        <v>193</v>
      </c>
      <c r="D87" s="254">
        <v>0</v>
      </c>
    </row>
    <row r="88" spans="1:4">
      <c r="A88" s="245">
        <f t="shared" si="1"/>
        <v>10</v>
      </c>
      <c r="B88" s="253" t="s">
        <v>191</v>
      </c>
      <c r="C88" s="252" t="s">
        <v>194</v>
      </c>
      <c r="D88" s="254">
        <v>0</v>
      </c>
    </row>
    <row r="89" spans="1:4">
      <c r="A89" s="245">
        <f t="shared" si="1"/>
        <v>11</v>
      </c>
      <c r="B89" s="253" t="s">
        <v>191</v>
      </c>
      <c r="C89" s="252" t="s">
        <v>195</v>
      </c>
      <c r="D89" s="254">
        <v>0</v>
      </c>
    </row>
    <row r="90" spans="1:4">
      <c r="A90" s="245">
        <f t="shared" si="1"/>
        <v>12</v>
      </c>
      <c r="B90" s="253" t="s">
        <v>191</v>
      </c>
      <c r="C90" s="252" t="s">
        <v>196</v>
      </c>
      <c r="D90" s="254">
        <v>0</v>
      </c>
    </row>
    <row r="91" spans="1:4">
      <c r="A91" s="245">
        <f t="shared" si="1"/>
        <v>13</v>
      </c>
      <c r="B91" s="253" t="s">
        <v>191</v>
      </c>
      <c r="C91" s="252" t="s">
        <v>197</v>
      </c>
      <c r="D91" s="254">
        <v>0</v>
      </c>
    </row>
    <row r="92" spans="1:4">
      <c r="A92" s="245">
        <f t="shared" si="1"/>
        <v>14</v>
      </c>
      <c r="B92" s="253" t="s">
        <v>191</v>
      </c>
      <c r="C92" s="252" t="s">
        <v>198</v>
      </c>
      <c r="D92" s="254">
        <v>0</v>
      </c>
    </row>
    <row r="93" spans="1:4">
      <c r="A93" s="245">
        <f t="shared" si="1"/>
        <v>15</v>
      </c>
      <c r="B93" s="251" t="s">
        <v>199</v>
      </c>
      <c r="C93" s="252" t="s">
        <v>200</v>
      </c>
      <c r="D93" s="447">
        <v>1117917.202789953</v>
      </c>
    </row>
    <row r="94" spans="1:4">
      <c r="A94" s="245">
        <f t="shared" si="1"/>
        <v>16</v>
      </c>
      <c r="B94" s="251" t="s">
        <v>201</v>
      </c>
      <c r="C94" s="252" t="s">
        <v>202</v>
      </c>
      <c r="D94" s="447">
        <v>279620.82369732863</v>
      </c>
    </row>
    <row r="95" spans="1:4">
      <c r="A95" s="245">
        <f t="shared" si="1"/>
        <v>17</v>
      </c>
      <c r="B95" s="251" t="s">
        <v>203</v>
      </c>
      <c r="C95" s="252" t="s">
        <v>204</v>
      </c>
      <c r="D95" s="447">
        <v>3013659.7322086827</v>
      </c>
    </row>
    <row r="96" spans="1:4">
      <c r="A96" s="245">
        <f t="shared" si="1"/>
        <v>18</v>
      </c>
      <c r="B96" s="251" t="s">
        <v>142</v>
      </c>
      <c r="C96" s="252" t="s">
        <v>205</v>
      </c>
      <c r="D96" s="447">
        <v>233760.48194143051</v>
      </c>
    </row>
    <row r="97" spans="1:4">
      <c r="A97" s="245">
        <f t="shared" si="1"/>
        <v>19</v>
      </c>
      <c r="B97" s="251" t="s">
        <v>206</v>
      </c>
      <c r="C97" s="255" t="s">
        <v>207</v>
      </c>
      <c r="D97" s="447">
        <v>774805.29894565255</v>
      </c>
    </row>
    <row r="98" spans="1:4">
      <c r="A98" s="245">
        <f t="shared" si="1"/>
        <v>20</v>
      </c>
      <c r="B98" s="251" t="s">
        <v>208</v>
      </c>
      <c r="C98" s="252" t="s">
        <v>209</v>
      </c>
      <c r="D98" s="447">
        <v>1001186.3632140667</v>
      </c>
    </row>
    <row r="99" spans="1:4">
      <c r="A99" s="245">
        <f t="shared" si="1"/>
        <v>21</v>
      </c>
      <c r="B99" s="251" t="s">
        <v>210</v>
      </c>
      <c r="C99" s="252" t="s">
        <v>211</v>
      </c>
      <c r="D99" s="447">
        <v>5112647.0529236943</v>
      </c>
    </row>
    <row r="100" spans="1:4">
      <c r="A100" s="245">
        <f t="shared" si="1"/>
        <v>22</v>
      </c>
      <c r="B100" s="251" t="s">
        <v>212</v>
      </c>
      <c r="C100" s="252" t="s">
        <v>213</v>
      </c>
      <c r="D100" s="447">
        <v>1222269.078223746</v>
      </c>
    </row>
    <row r="101" spans="1:4">
      <c r="A101" s="245">
        <f t="shared" si="1"/>
        <v>23</v>
      </c>
      <c r="B101" s="251" t="s">
        <v>214</v>
      </c>
      <c r="C101" s="252" t="s">
        <v>215</v>
      </c>
      <c r="D101" s="447">
        <v>52604.176981198434</v>
      </c>
    </row>
    <row r="102" spans="1:4">
      <c r="A102" s="245">
        <f t="shared" si="1"/>
        <v>24</v>
      </c>
      <c r="B102" s="251" t="s">
        <v>216</v>
      </c>
      <c r="C102" s="252" t="s">
        <v>217</v>
      </c>
      <c r="D102" s="447">
        <v>1200033.2663321409</v>
      </c>
    </row>
    <row r="103" spans="1:4">
      <c r="A103" s="245">
        <f t="shared" si="1"/>
        <v>25</v>
      </c>
      <c r="B103" s="251" t="s">
        <v>218</v>
      </c>
      <c r="C103" s="256"/>
      <c r="D103" s="1068"/>
    </row>
    <row r="104" spans="1:4">
      <c r="A104" s="245">
        <f t="shared" si="1"/>
        <v>26</v>
      </c>
      <c r="B104" s="257" t="s">
        <v>329</v>
      </c>
      <c r="C104" s="252" t="s">
        <v>219</v>
      </c>
      <c r="D104" s="447">
        <v>801986.12122826301</v>
      </c>
    </row>
    <row r="105" spans="1:4">
      <c r="A105" s="245">
        <f t="shared" si="1"/>
        <v>27</v>
      </c>
      <c r="B105" s="257" t="s">
        <v>330</v>
      </c>
      <c r="C105" s="252" t="s">
        <v>220</v>
      </c>
      <c r="D105" s="254">
        <v>0</v>
      </c>
    </row>
    <row r="106" spans="1:4">
      <c r="A106" s="245">
        <f t="shared" si="1"/>
        <v>28</v>
      </c>
      <c r="B106" s="257" t="s">
        <v>331</v>
      </c>
      <c r="C106" s="252" t="s">
        <v>221</v>
      </c>
      <c r="D106" s="254">
        <v>0</v>
      </c>
    </row>
    <row r="107" spans="1:4">
      <c r="A107" s="245">
        <f t="shared" si="1"/>
        <v>29</v>
      </c>
      <c r="B107" s="251" t="s">
        <v>222</v>
      </c>
      <c r="C107" s="258" t="s">
        <v>223</v>
      </c>
      <c r="D107" s="447">
        <v>111537.43966816868</v>
      </c>
    </row>
    <row r="108" spans="1:4">
      <c r="A108" s="245">
        <f t="shared" si="1"/>
        <v>30</v>
      </c>
      <c r="B108" s="259" t="s">
        <v>346</v>
      </c>
      <c r="C108" s="260"/>
      <c r="D108" s="1069">
        <f>+SUM(D80:D107)</f>
        <v>17789981.942381565</v>
      </c>
    </row>
    <row r="109" spans="1:4" ht="7.5" customHeight="1">
      <c r="A109" s="245"/>
      <c r="B109" s="261"/>
      <c r="C109" s="262"/>
      <c r="D109" s="1070"/>
    </row>
    <row r="110" spans="1:4">
      <c r="A110" s="245">
        <f>+A108+1</f>
        <v>31</v>
      </c>
      <c r="B110" s="263" t="s">
        <v>224</v>
      </c>
      <c r="C110" s="256"/>
      <c r="D110" s="264"/>
    </row>
    <row r="111" spans="1:4">
      <c r="A111" s="245">
        <f t="shared" ref="A111:A116" si="2">+A110+1</f>
        <v>32</v>
      </c>
      <c r="B111" s="251" t="s">
        <v>225</v>
      </c>
      <c r="C111" s="252" t="s">
        <v>226</v>
      </c>
      <c r="D111" s="447">
        <v>148566.84187601774</v>
      </c>
    </row>
    <row r="112" spans="1:4">
      <c r="A112" s="245">
        <f t="shared" si="2"/>
        <v>33</v>
      </c>
      <c r="B112" s="251" t="s">
        <v>227</v>
      </c>
      <c r="C112" s="252" t="s">
        <v>228</v>
      </c>
      <c r="D112" s="447">
        <v>5779198.4396495065</v>
      </c>
    </row>
    <row r="113" spans="1:4">
      <c r="A113" s="245">
        <f t="shared" si="2"/>
        <v>34</v>
      </c>
      <c r="B113" s="251" t="s">
        <v>229</v>
      </c>
      <c r="C113" s="252" t="s">
        <v>230</v>
      </c>
      <c r="D113" s="447">
        <v>5985440.7623594087</v>
      </c>
    </row>
    <row r="114" spans="1:4">
      <c r="A114" s="245">
        <f t="shared" si="2"/>
        <v>35</v>
      </c>
      <c r="B114" s="251" t="s">
        <v>231</v>
      </c>
      <c r="C114" s="252" t="s">
        <v>232</v>
      </c>
      <c r="D114" s="447">
        <v>683100</v>
      </c>
    </row>
    <row r="115" spans="1:4">
      <c r="A115" s="245">
        <f t="shared" si="2"/>
        <v>36</v>
      </c>
      <c r="B115" s="265" t="s">
        <v>233</v>
      </c>
      <c r="C115" s="266" t="s">
        <v>234</v>
      </c>
      <c r="D115" s="447">
        <v>363167.6964211961</v>
      </c>
    </row>
    <row r="116" spans="1:4">
      <c r="A116" s="245">
        <f t="shared" si="2"/>
        <v>37</v>
      </c>
      <c r="B116" s="267" t="s">
        <v>347</v>
      </c>
      <c r="C116" s="268"/>
      <c r="D116" s="1071">
        <f>+SUM(D111:D115)</f>
        <v>12959473.74030613</v>
      </c>
    </row>
    <row r="117" spans="1:4" ht="8.25" customHeight="1">
      <c r="A117" s="245"/>
      <c r="B117" s="269"/>
      <c r="C117" s="270"/>
      <c r="D117" s="1072"/>
    </row>
    <row r="118" spans="1:4">
      <c r="A118" s="245">
        <f>+A116+1</f>
        <v>38</v>
      </c>
      <c r="B118" s="263" t="s">
        <v>235</v>
      </c>
      <c r="C118" s="256"/>
      <c r="D118" s="1060"/>
    </row>
    <row r="119" spans="1:4">
      <c r="A119" s="245">
        <f>+A118+1</f>
        <v>39</v>
      </c>
      <c r="B119" s="251" t="s">
        <v>225</v>
      </c>
      <c r="C119" s="252" t="s">
        <v>236</v>
      </c>
      <c r="D119" s="447">
        <v>718004.53549329622</v>
      </c>
    </row>
    <row r="120" spans="1:4">
      <c r="A120" s="245">
        <f t="shared" ref="A120:A135" si="3">+A119+1</f>
        <v>40</v>
      </c>
      <c r="B120" s="253" t="s">
        <v>237</v>
      </c>
      <c r="C120" s="256"/>
      <c r="D120" s="419"/>
    </row>
    <row r="121" spans="1:4">
      <c r="A121" s="245">
        <f t="shared" si="3"/>
        <v>41</v>
      </c>
      <c r="B121" s="251" t="s">
        <v>238</v>
      </c>
      <c r="C121" s="252" t="s">
        <v>239</v>
      </c>
      <c r="D121" s="447">
        <v>1680461.7681779359</v>
      </c>
    </row>
    <row r="122" spans="1:4">
      <c r="A122" s="245">
        <f t="shared" si="3"/>
        <v>42</v>
      </c>
      <c r="B122" s="251" t="s">
        <v>191</v>
      </c>
      <c r="C122" s="271" t="s">
        <v>240</v>
      </c>
      <c r="D122" s="254">
        <v>0</v>
      </c>
    </row>
    <row r="123" spans="1:4">
      <c r="A123" s="245">
        <f t="shared" si="3"/>
        <v>43</v>
      </c>
      <c r="B123" s="251" t="s">
        <v>191</v>
      </c>
      <c r="C123" s="271" t="s">
        <v>241</v>
      </c>
      <c r="D123" s="254">
        <v>0</v>
      </c>
    </row>
    <row r="124" spans="1:4">
      <c r="A124" s="245">
        <f t="shared" si="3"/>
        <v>44</v>
      </c>
      <c r="B124" s="251" t="s">
        <v>191</v>
      </c>
      <c r="C124" s="271" t="s">
        <v>242</v>
      </c>
      <c r="D124" s="254">
        <v>0</v>
      </c>
    </row>
    <row r="125" spans="1:4">
      <c r="A125" s="245">
        <f t="shared" si="3"/>
        <v>45</v>
      </c>
      <c r="B125" s="251" t="s">
        <v>191</v>
      </c>
      <c r="C125" s="271" t="s">
        <v>243</v>
      </c>
      <c r="D125" s="254">
        <v>0</v>
      </c>
    </row>
    <row r="126" spans="1:4">
      <c r="A126" s="245">
        <f t="shared" si="3"/>
        <v>46</v>
      </c>
      <c r="B126" s="251" t="s">
        <v>191</v>
      </c>
      <c r="C126" s="271" t="s">
        <v>244</v>
      </c>
      <c r="D126" s="254">
        <v>0</v>
      </c>
    </row>
    <row r="127" spans="1:4">
      <c r="A127" s="245">
        <f t="shared" si="3"/>
        <v>47</v>
      </c>
      <c r="B127" s="251" t="s">
        <v>191</v>
      </c>
      <c r="C127" s="271" t="s">
        <v>245</v>
      </c>
      <c r="D127" s="254">
        <v>0</v>
      </c>
    </row>
    <row r="128" spans="1:4">
      <c r="A128" s="245">
        <f t="shared" si="3"/>
        <v>48</v>
      </c>
      <c r="B128" s="251" t="s">
        <v>246</v>
      </c>
      <c r="C128" s="252" t="s">
        <v>247</v>
      </c>
      <c r="D128" s="447">
        <v>352999.99999999994</v>
      </c>
    </row>
    <row r="129" spans="1:4">
      <c r="A129" s="245">
        <f t="shared" si="3"/>
        <v>49</v>
      </c>
      <c r="B129" s="251" t="s">
        <v>248</v>
      </c>
      <c r="C129" s="252" t="s">
        <v>249</v>
      </c>
      <c r="D129" s="254">
        <v>0</v>
      </c>
    </row>
    <row r="130" spans="1:4">
      <c r="A130" s="245">
        <f t="shared" si="3"/>
        <v>50</v>
      </c>
      <c r="B130" s="251" t="s">
        <v>250</v>
      </c>
      <c r="C130" s="252" t="s">
        <v>251</v>
      </c>
      <c r="D130" s="447">
        <v>5778409</v>
      </c>
    </row>
    <row r="131" spans="1:4">
      <c r="A131" s="245">
        <f t="shared" si="3"/>
        <v>51</v>
      </c>
      <c r="B131" s="251" t="s">
        <v>191</v>
      </c>
      <c r="C131" s="252" t="s">
        <v>252</v>
      </c>
      <c r="D131" s="254">
        <v>0</v>
      </c>
    </row>
    <row r="132" spans="1:4">
      <c r="A132" s="245">
        <f t="shared" si="3"/>
        <v>52</v>
      </c>
      <c r="B132" s="251" t="s">
        <v>191</v>
      </c>
      <c r="C132" s="252" t="s">
        <v>253</v>
      </c>
      <c r="D132" s="254">
        <v>0</v>
      </c>
    </row>
    <row r="133" spans="1:4">
      <c r="A133" s="245">
        <f t="shared" si="3"/>
        <v>53</v>
      </c>
      <c r="B133" s="251" t="s">
        <v>254</v>
      </c>
      <c r="C133" s="252" t="s">
        <v>255</v>
      </c>
      <c r="D133" s="447">
        <v>411621.92462442012</v>
      </c>
    </row>
    <row r="134" spans="1:4">
      <c r="A134" s="245">
        <f t="shared" si="3"/>
        <v>54</v>
      </c>
      <c r="B134" s="265" t="s">
        <v>256</v>
      </c>
      <c r="C134" s="266" t="s">
        <v>257</v>
      </c>
      <c r="D134" s="447">
        <v>73817.727103342506</v>
      </c>
    </row>
    <row r="135" spans="1:4">
      <c r="A135" s="245">
        <f t="shared" si="3"/>
        <v>55</v>
      </c>
      <c r="B135" s="269" t="s">
        <v>348</v>
      </c>
      <c r="C135" s="268"/>
      <c r="D135" s="977">
        <f>+SUM(D119:D134)</f>
        <v>9015314.9553989954</v>
      </c>
    </row>
    <row r="136" spans="1:4">
      <c r="A136" s="272"/>
      <c r="B136" s="273"/>
      <c r="C136" s="274"/>
      <c r="D136" s="1073"/>
    </row>
    <row r="137" spans="1:4">
      <c r="A137" s="275"/>
      <c r="B137" s="220"/>
      <c r="C137" s="276"/>
      <c r="D137" s="1074"/>
    </row>
    <row r="138" spans="1:4">
      <c r="A138" s="247" t="s">
        <v>8</v>
      </c>
      <c r="B138" s="1094" t="s">
        <v>35</v>
      </c>
      <c r="C138" s="1098" t="s">
        <v>99</v>
      </c>
      <c r="D138" s="226" t="s">
        <v>327</v>
      </c>
    </row>
    <row r="139" spans="1:4">
      <c r="A139" s="248" t="s">
        <v>10</v>
      </c>
      <c r="B139" s="1095"/>
      <c r="C139" s="1099"/>
      <c r="D139" s="228" t="str">
        <f>C77</f>
        <v>Accounts</v>
      </c>
    </row>
    <row r="140" spans="1:4">
      <c r="A140" s="245">
        <v>1</v>
      </c>
      <c r="B140" s="249" t="s">
        <v>258</v>
      </c>
      <c r="C140" s="238"/>
      <c r="D140" s="1075"/>
    </row>
    <row r="141" spans="1:4">
      <c r="A141" s="245">
        <f>+A140+1</f>
        <v>2</v>
      </c>
      <c r="B141" s="251" t="s">
        <v>259</v>
      </c>
      <c r="C141" s="234" t="s">
        <v>260</v>
      </c>
      <c r="D141" s="452">
        <v>0</v>
      </c>
    </row>
    <row r="142" spans="1:4">
      <c r="A142" s="245">
        <f>+A141+1</f>
        <v>3</v>
      </c>
      <c r="B142" s="251" t="s">
        <v>261</v>
      </c>
      <c r="C142" s="234" t="s">
        <v>262</v>
      </c>
      <c r="D142" s="447">
        <v>18394.917690663282</v>
      </c>
    </row>
    <row r="143" spans="1:4">
      <c r="A143" s="245">
        <f t="shared" ref="A143:A176" si="4">+A142+1</f>
        <v>4</v>
      </c>
      <c r="B143" s="251" t="s">
        <v>263</v>
      </c>
      <c r="C143" s="234" t="s">
        <v>262</v>
      </c>
      <c r="D143" s="447">
        <v>4865.4816938318154</v>
      </c>
    </row>
    <row r="144" spans="1:4">
      <c r="A144" s="245">
        <f t="shared" si="4"/>
        <v>5</v>
      </c>
      <c r="B144" s="251" t="s">
        <v>264</v>
      </c>
      <c r="C144" s="234" t="s">
        <v>262</v>
      </c>
      <c r="D144" s="447">
        <v>3200.9008915509057</v>
      </c>
    </row>
    <row r="145" spans="1:4">
      <c r="A145" s="245">
        <f t="shared" si="4"/>
        <v>6</v>
      </c>
      <c r="B145" s="251" t="s">
        <v>265</v>
      </c>
      <c r="C145" s="234" t="s">
        <v>266</v>
      </c>
      <c r="D145" s="447">
        <v>0</v>
      </c>
    </row>
    <row r="146" spans="1:4">
      <c r="A146" s="245">
        <f t="shared" si="4"/>
        <v>7</v>
      </c>
      <c r="B146" s="251" t="s">
        <v>267</v>
      </c>
      <c r="C146" s="234" t="s">
        <v>262</v>
      </c>
      <c r="D146" s="447">
        <v>257963.81076068225</v>
      </c>
    </row>
    <row r="147" spans="1:4">
      <c r="A147" s="245">
        <f t="shared" si="4"/>
        <v>8</v>
      </c>
      <c r="B147" s="251" t="s">
        <v>268</v>
      </c>
      <c r="C147" s="234" t="s">
        <v>269</v>
      </c>
      <c r="D147" s="277">
        <v>0</v>
      </c>
    </row>
    <row r="148" spans="1:4">
      <c r="A148" s="245">
        <f t="shared" si="4"/>
        <v>9</v>
      </c>
      <c r="B148" s="251" t="s">
        <v>268</v>
      </c>
      <c r="C148" s="234" t="s">
        <v>270</v>
      </c>
      <c r="D148" s="277">
        <v>0</v>
      </c>
    </row>
    <row r="149" spans="1:4">
      <c r="A149" s="245">
        <f t="shared" si="4"/>
        <v>10</v>
      </c>
      <c r="B149" s="251" t="s">
        <v>268</v>
      </c>
      <c r="C149" s="234" t="s">
        <v>271</v>
      </c>
      <c r="D149" s="277">
        <v>0</v>
      </c>
    </row>
    <row r="150" spans="1:4">
      <c r="A150" s="245">
        <f t="shared" si="4"/>
        <v>11</v>
      </c>
      <c r="B150" s="251" t="s">
        <v>268</v>
      </c>
      <c r="C150" s="234" t="s">
        <v>272</v>
      </c>
      <c r="D150" s="277">
        <v>0</v>
      </c>
    </row>
    <row r="151" spans="1:4">
      <c r="A151" s="245">
        <f t="shared" si="4"/>
        <v>12</v>
      </c>
      <c r="B151" s="251" t="s">
        <v>268</v>
      </c>
      <c r="C151" s="234" t="s">
        <v>273</v>
      </c>
      <c r="D151" s="277">
        <v>0</v>
      </c>
    </row>
    <row r="152" spans="1:4">
      <c r="A152" s="245">
        <f t="shared" si="4"/>
        <v>13</v>
      </c>
      <c r="B152" s="251" t="s">
        <v>268</v>
      </c>
      <c r="C152" s="234" t="s">
        <v>274</v>
      </c>
      <c r="D152" s="277">
        <v>0</v>
      </c>
    </row>
    <row r="153" spans="1:4">
      <c r="A153" s="245">
        <f t="shared" si="4"/>
        <v>14</v>
      </c>
      <c r="B153" s="251" t="s">
        <v>268</v>
      </c>
      <c r="C153" s="234" t="s">
        <v>275</v>
      </c>
      <c r="D153" s="277">
        <v>0</v>
      </c>
    </row>
    <row r="154" spans="1:4">
      <c r="A154" s="245">
        <f t="shared" si="4"/>
        <v>15</v>
      </c>
      <c r="B154" s="251" t="s">
        <v>268</v>
      </c>
      <c r="C154" s="234" t="s">
        <v>276</v>
      </c>
      <c r="D154" s="277">
        <v>0</v>
      </c>
    </row>
    <row r="155" spans="1:4">
      <c r="A155" s="245">
        <f t="shared" si="4"/>
        <v>16</v>
      </c>
      <c r="B155" s="251" t="s">
        <v>268</v>
      </c>
      <c r="C155" s="234" t="s">
        <v>277</v>
      </c>
      <c r="D155" s="277">
        <v>0</v>
      </c>
    </row>
    <row r="156" spans="1:4">
      <c r="A156" s="245">
        <f t="shared" si="4"/>
        <v>17</v>
      </c>
      <c r="B156" s="251" t="s">
        <v>268</v>
      </c>
      <c r="C156" s="234" t="s">
        <v>278</v>
      </c>
      <c r="D156" s="277">
        <v>0</v>
      </c>
    </row>
    <row r="157" spans="1:4">
      <c r="A157" s="245">
        <f t="shared" si="4"/>
        <v>18</v>
      </c>
      <c r="B157" s="251" t="s">
        <v>268</v>
      </c>
      <c r="C157" s="234" t="s">
        <v>279</v>
      </c>
      <c r="D157" s="277">
        <v>0</v>
      </c>
    </row>
    <row r="158" spans="1:4">
      <c r="A158" s="245">
        <f t="shared" si="4"/>
        <v>19</v>
      </c>
      <c r="B158" s="251" t="s">
        <v>268</v>
      </c>
      <c r="C158" s="234" t="s">
        <v>280</v>
      </c>
      <c r="D158" s="278">
        <v>0</v>
      </c>
    </row>
    <row r="159" spans="1:4">
      <c r="A159" s="245">
        <f t="shared" si="4"/>
        <v>20</v>
      </c>
      <c r="B159" s="251" t="s">
        <v>281</v>
      </c>
      <c r="C159" s="234" t="s">
        <v>282</v>
      </c>
      <c r="D159" s="447">
        <v>967.07973997062459</v>
      </c>
    </row>
    <row r="160" spans="1:4">
      <c r="A160" s="245">
        <f t="shared" si="4"/>
        <v>21</v>
      </c>
      <c r="B160" s="251" t="s">
        <v>283</v>
      </c>
      <c r="C160" s="234" t="s">
        <v>284</v>
      </c>
      <c r="D160" s="447">
        <v>241193.76881938084</v>
      </c>
    </row>
    <row r="161" spans="1:4">
      <c r="A161" s="245">
        <f t="shared" si="4"/>
        <v>22</v>
      </c>
      <c r="B161" s="251" t="s">
        <v>268</v>
      </c>
      <c r="C161" s="234" t="s">
        <v>285</v>
      </c>
      <c r="D161" s="277">
        <v>0</v>
      </c>
    </row>
    <row r="162" spans="1:4">
      <c r="A162" s="245">
        <f t="shared" si="4"/>
        <v>23</v>
      </c>
      <c r="B162" s="251" t="s">
        <v>268</v>
      </c>
      <c r="C162" s="234" t="s">
        <v>286</v>
      </c>
      <c r="D162" s="277">
        <v>0</v>
      </c>
    </row>
    <row r="163" spans="1:4">
      <c r="A163" s="245">
        <f t="shared" si="4"/>
        <v>24</v>
      </c>
      <c r="B163" s="251" t="s">
        <v>268</v>
      </c>
      <c r="C163" s="234" t="s">
        <v>287</v>
      </c>
      <c r="D163" s="277">
        <v>0</v>
      </c>
    </row>
    <row r="164" spans="1:4">
      <c r="A164" s="245">
        <f t="shared" si="4"/>
        <v>25</v>
      </c>
      <c r="B164" s="251" t="s">
        <v>268</v>
      </c>
      <c r="C164" s="234" t="s">
        <v>288</v>
      </c>
      <c r="D164" s="277">
        <v>0</v>
      </c>
    </row>
    <row r="165" spans="1:4">
      <c r="A165" s="245">
        <f t="shared" si="4"/>
        <v>26</v>
      </c>
      <c r="B165" s="251" t="s">
        <v>268</v>
      </c>
      <c r="C165" s="234" t="s">
        <v>289</v>
      </c>
      <c r="D165" s="277">
        <v>0</v>
      </c>
    </row>
    <row r="166" spans="1:4">
      <c r="A166" s="245">
        <f t="shared" si="4"/>
        <v>27</v>
      </c>
      <c r="B166" s="251" t="s">
        <v>268</v>
      </c>
      <c r="C166" s="234" t="s">
        <v>290</v>
      </c>
      <c r="D166" s="277">
        <v>0</v>
      </c>
    </row>
    <row r="167" spans="1:4">
      <c r="A167" s="245">
        <f t="shared" si="4"/>
        <v>28</v>
      </c>
      <c r="B167" s="251" t="s">
        <v>268</v>
      </c>
      <c r="C167" s="234" t="s">
        <v>291</v>
      </c>
      <c r="D167" s="277">
        <v>0</v>
      </c>
    </row>
    <row r="168" spans="1:4">
      <c r="A168" s="245">
        <f t="shared" si="4"/>
        <v>29</v>
      </c>
      <c r="B168" s="251" t="s">
        <v>268</v>
      </c>
      <c r="C168" s="234" t="s">
        <v>292</v>
      </c>
      <c r="D168" s="277">
        <v>0</v>
      </c>
    </row>
    <row r="169" spans="1:4">
      <c r="A169" s="245">
        <f t="shared" si="4"/>
        <v>30</v>
      </c>
      <c r="B169" s="251" t="s">
        <v>268</v>
      </c>
      <c r="C169" s="234" t="s">
        <v>293</v>
      </c>
      <c r="D169" s="277">
        <v>0</v>
      </c>
    </row>
    <row r="170" spans="1:4">
      <c r="A170" s="245">
        <f t="shared" si="4"/>
        <v>31</v>
      </c>
      <c r="B170" s="251" t="s">
        <v>268</v>
      </c>
      <c r="C170" s="234" t="s">
        <v>294</v>
      </c>
      <c r="D170" s="277">
        <v>0</v>
      </c>
    </row>
    <row r="171" spans="1:4">
      <c r="A171" s="245">
        <f t="shared" si="4"/>
        <v>32</v>
      </c>
      <c r="B171" s="251" t="s">
        <v>268</v>
      </c>
      <c r="C171" s="234" t="s">
        <v>295</v>
      </c>
      <c r="D171" s="277">
        <v>0</v>
      </c>
    </row>
    <row r="172" spans="1:4">
      <c r="A172" s="245">
        <f t="shared" si="4"/>
        <v>33</v>
      </c>
      <c r="B172" s="251" t="s">
        <v>268</v>
      </c>
      <c r="C172" s="234" t="s">
        <v>296</v>
      </c>
      <c r="D172" s="277">
        <v>0</v>
      </c>
    </row>
    <row r="173" spans="1:4">
      <c r="A173" s="245">
        <f t="shared" si="4"/>
        <v>34</v>
      </c>
      <c r="B173" s="251" t="s">
        <v>268</v>
      </c>
      <c r="C173" s="234" t="s">
        <v>297</v>
      </c>
      <c r="D173" s="277">
        <v>0</v>
      </c>
    </row>
    <row r="174" spans="1:4">
      <c r="A174" s="245">
        <f t="shared" si="4"/>
        <v>35</v>
      </c>
      <c r="B174" s="251" t="s">
        <v>268</v>
      </c>
      <c r="C174" s="234" t="s">
        <v>298</v>
      </c>
      <c r="D174" s="277">
        <v>0</v>
      </c>
    </row>
    <row r="175" spans="1:4">
      <c r="A175" s="245">
        <f t="shared" si="4"/>
        <v>36</v>
      </c>
      <c r="B175" s="251" t="s">
        <v>268</v>
      </c>
      <c r="C175" s="234" t="s">
        <v>299</v>
      </c>
      <c r="D175" s="277">
        <v>0</v>
      </c>
    </row>
    <row r="176" spans="1:4">
      <c r="A176" s="245">
        <f t="shared" si="4"/>
        <v>37</v>
      </c>
      <c r="B176" s="251" t="s">
        <v>268</v>
      </c>
      <c r="C176" s="234" t="s">
        <v>300</v>
      </c>
      <c r="D176" s="277">
        <v>0</v>
      </c>
    </row>
    <row r="177" spans="1:4">
      <c r="A177" s="245">
        <f>+A176+1</f>
        <v>38</v>
      </c>
      <c r="B177" s="279" t="s">
        <v>349</v>
      </c>
      <c r="C177" s="280"/>
      <c r="D177" s="976">
        <f>+SUM(D141:D176)</f>
        <v>526585.95959607977</v>
      </c>
    </row>
    <row r="178" spans="1:4" ht="8.25" customHeight="1">
      <c r="A178" s="245"/>
      <c r="B178" s="281"/>
      <c r="C178" s="282"/>
      <c r="D178" s="977"/>
    </row>
    <row r="179" spans="1:4">
      <c r="A179" s="245">
        <f>+A177+1</f>
        <v>39</v>
      </c>
      <c r="B179" s="263" t="s">
        <v>301</v>
      </c>
      <c r="C179" s="231"/>
      <c r="D179" s="978"/>
    </row>
    <row r="180" spans="1:4">
      <c r="A180" s="245">
        <f>+A179+1</f>
        <v>40</v>
      </c>
      <c r="B180" s="251" t="s">
        <v>302</v>
      </c>
      <c r="C180" s="234" t="s">
        <v>303</v>
      </c>
      <c r="D180" s="447">
        <v>19130358.060589552</v>
      </c>
    </row>
    <row r="181" spans="1:4">
      <c r="A181" s="245">
        <f t="shared" ref="A181:A194" si="5">+A180+1</f>
        <v>41</v>
      </c>
      <c r="B181" s="251" t="s">
        <v>304</v>
      </c>
      <c r="C181" s="234" t="s">
        <v>305</v>
      </c>
      <c r="D181" s="447">
        <v>7681956.9319032766</v>
      </c>
    </row>
    <row r="182" spans="1:4">
      <c r="A182" s="245">
        <f t="shared" si="5"/>
        <v>42</v>
      </c>
      <c r="B182" s="251" t="s">
        <v>306</v>
      </c>
      <c r="C182" s="234" t="s">
        <v>307</v>
      </c>
      <c r="D182" s="447">
        <v>-2119363.7381426399</v>
      </c>
    </row>
    <row r="183" spans="1:4">
      <c r="A183" s="245">
        <f t="shared" si="5"/>
        <v>43</v>
      </c>
      <c r="B183" s="251" t="s">
        <v>308</v>
      </c>
      <c r="C183" s="234" t="s">
        <v>309</v>
      </c>
      <c r="D183" s="447">
        <v>1040506.0611804808</v>
      </c>
    </row>
    <row r="184" spans="1:4">
      <c r="A184" s="245">
        <f t="shared" si="5"/>
        <v>44</v>
      </c>
      <c r="B184" s="251" t="s">
        <v>310</v>
      </c>
      <c r="C184" s="234" t="s">
        <v>311</v>
      </c>
      <c r="D184" s="447">
        <v>2075292.1250000005</v>
      </c>
    </row>
    <row r="185" spans="1:4">
      <c r="A185" s="245">
        <f t="shared" si="5"/>
        <v>45</v>
      </c>
      <c r="B185" s="251" t="s">
        <v>312</v>
      </c>
      <c r="C185" s="234" t="s">
        <v>313</v>
      </c>
      <c r="D185" s="447">
        <v>1900035.6628337672</v>
      </c>
    </row>
    <row r="186" spans="1:4">
      <c r="A186" s="245">
        <f t="shared" si="5"/>
        <v>46</v>
      </c>
      <c r="B186" s="251" t="s">
        <v>314</v>
      </c>
      <c r="C186" s="234" t="s">
        <v>315</v>
      </c>
      <c r="D186" s="447">
        <v>2990060.1145279356</v>
      </c>
    </row>
    <row r="187" spans="1:4">
      <c r="A187" s="245">
        <f t="shared" si="5"/>
        <v>47</v>
      </c>
      <c r="B187" s="251" t="s">
        <v>316</v>
      </c>
      <c r="C187" s="234" t="s">
        <v>317</v>
      </c>
      <c r="D187" s="447">
        <v>1181971.4455114617</v>
      </c>
    </row>
    <row r="188" spans="1:4">
      <c r="A188" s="245">
        <f t="shared" si="5"/>
        <v>48</v>
      </c>
      <c r="B188" s="251" t="s">
        <v>318</v>
      </c>
      <c r="C188" s="234" t="s">
        <v>319</v>
      </c>
      <c r="D188" s="447">
        <v>454051.54857853183</v>
      </c>
    </row>
    <row r="189" spans="1:4">
      <c r="A189" s="245">
        <f t="shared" si="5"/>
        <v>49</v>
      </c>
      <c r="B189" s="251" t="s">
        <v>320</v>
      </c>
      <c r="C189" s="234" t="s">
        <v>321</v>
      </c>
      <c r="D189" s="447">
        <v>501575.39848424646</v>
      </c>
    </row>
    <row r="190" spans="1:4">
      <c r="A190" s="245">
        <f t="shared" si="5"/>
        <v>50</v>
      </c>
      <c r="B190" s="251" t="s">
        <v>142</v>
      </c>
      <c r="C190" s="234" t="s">
        <v>322</v>
      </c>
      <c r="D190" s="447">
        <v>357107.8654052472</v>
      </c>
    </row>
    <row r="191" spans="1:4">
      <c r="A191" s="245">
        <f t="shared" si="5"/>
        <v>51</v>
      </c>
      <c r="B191" s="251" t="s">
        <v>323</v>
      </c>
      <c r="C191" s="239" t="s">
        <v>324</v>
      </c>
      <c r="D191" s="447">
        <v>3042921.6466304003</v>
      </c>
    </row>
    <row r="192" spans="1:4">
      <c r="A192" s="245">
        <f t="shared" si="5"/>
        <v>52</v>
      </c>
      <c r="B192" s="251" t="s">
        <v>101</v>
      </c>
      <c r="C192" s="234" t="s">
        <v>325</v>
      </c>
      <c r="D192" s="442">
        <v>0</v>
      </c>
    </row>
    <row r="193" spans="1:5">
      <c r="A193" s="245">
        <f t="shared" si="5"/>
        <v>53</v>
      </c>
      <c r="B193" s="283" t="s">
        <v>326</v>
      </c>
      <c r="C193" s="284"/>
      <c r="D193" s="572">
        <f>SUM(D180:D192)-D189</f>
        <v>37734897.724018015</v>
      </c>
    </row>
    <row r="194" spans="1:5">
      <c r="A194" s="245">
        <f t="shared" si="5"/>
        <v>54</v>
      </c>
      <c r="B194" s="285" t="s">
        <v>328</v>
      </c>
      <c r="C194" s="286"/>
      <c r="D194" s="287">
        <f>D189</f>
        <v>501575.39848424646</v>
      </c>
    </row>
    <row r="195" spans="1:5">
      <c r="A195" s="245"/>
      <c r="B195" s="549"/>
      <c r="C195" s="550"/>
      <c r="D195" s="551"/>
    </row>
    <row r="196" spans="1:5">
      <c r="A196" s="245">
        <f>+A194+1</f>
        <v>55</v>
      </c>
      <c r="B196" s="552" t="s">
        <v>332</v>
      </c>
      <c r="C196" s="553"/>
      <c r="D196" s="631">
        <f>+D193-D194</f>
        <v>37233322.32553377</v>
      </c>
    </row>
    <row r="197" spans="1:5">
      <c r="A197" s="288"/>
      <c r="B197" s="289"/>
      <c r="C197" s="290"/>
      <c r="D197" s="291"/>
    </row>
    <row r="200" spans="1:5">
      <c r="B200" s="153" t="s">
        <v>577</v>
      </c>
      <c r="D200" s="293">
        <f>D17+D25+D37+D49+D54+D72+D108+D116+D135+D177+D193</f>
        <v>214656130.30212238</v>
      </c>
      <c r="E200" s="218" t="s">
        <v>578</v>
      </c>
    </row>
    <row r="201" spans="1:5">
      <c r="B201" s="651"/>
      <c r="D201" s="293">
        <v>214656130.30212238</v>
      </c>
      <c r="E201" s="218" t="s">
        <v>579</v>
      </c>
    </row>
    <row r="202" spans="1:5">
      <c r="B202" s="441"/>
      <c r="D202" s="293">
        <f>D200-D201</f>
        <v>0</v>
      </c>
      <c r="E202" s="218" t="s">
        <v>581</v>
      </c>
    </row>
    <row r="203" spans="1:5">
      <c r="B203" s="450"/>
    </row>
  </sheetData>
  <mergeCells count="10">
    <mergeCell ref="B77:B78"/>
    <mergeCell ref="C77:C78"/>
    <mergeCell ref="B138:B139"/>
    <mergeCell ref="C138:C139"/>
    <mergeCell ref="A1:B1"/>
    <mergeCell ref="B8:B9"/>
    <mergeCell ref="C8:C9"/>
    <mergeCell ref="A2:D2"/>
    <mergeCell ref="A3:D3"/>
    <mergeCell ref="A4:D4"/>
  </mergeCells>
  <printOptions horizontalCentered="1"/>
  <pageMargins left="0.75" right="0.75" top="0.75" bottom="0.25" header="0.5" footer="0.5"/>
  <pageSetup scale="64" firstPageNumber="9" fitToHeight="3" orientation="portrait" useFirstPageNumber="1" r:id="rId1"/>
  <headerFooter alignWithMargins="0">
    <oddHeader>&amp;R&amp;"Arial,Regular"&amp;10Attachment O Work Paper
Page &amp;P of 20</oddHeader>
  </headerFooter>
  <rowBreaks count="2" manualBreakCount="2">
    <brk id="75" max="3" man="1"/>
    <brk id="13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26</vt:i4>
      </vt:variant>
    </vt:vector>
  </HeadingPairs>
  <TitlesOfParts>
    <vt:vector size="52" baseType="lpstr">
      <vt:lpstr>Page 1 - PIS</vt:lpstr>
      <vt:lpstr>Page 2 - Accum Depr</vt:lpstr>
      <vt:lpstr>Page 3 - CWIP</vt:lpstr>
      <vt:lpstr>Page 4 - ADIT</vt:lpstr>
      <vt:lpstr>Page 5 - Net Prefunded AFUDC</vt:lpstr>
      <vt:lpstr>Page 6 - PHFU</vt:lpstr>
      <vt:lpstr>Page 7 - M&amp;S</vt:lpstr>
      <vt:lpstr>Page 8 - Prepayments</vt:lpstr>
      <vt:lpstr>Page 9-11 - Funct</vt:lpstr>
      <vt:lpstr>Page 12a - Sch 10 Exp</vt:lpstr>
      <vt:lpstr>Page 12b - A&amp;G Exp</vt:lpstr>
      <vt:lpstr>Page 13 - Depr Exp</vt:lpstr>
      <vt:lpstr>Page 14 - Prop Tax</vt:lpstr>
      <vt:lpstr>Page 15 - Invest Tax</vt:lpstr>
      <vt:lpstr>Page 16 - FERC Acct 561</vt:lpstr>
      <vt:lpstr>Page 17 - Labor Ratios</vt:lpstr>
      <vt:lpstr>Page 18 - Equity</vt:lpstr>
      <vt:lpstr>Page 19 - Elec Debt</vt:lpstr>
      <vt:lpstr>Page 20 - Revenues</vt:lpstr>
      <vt:lpstr>Page 20a - FERC 454 Recon</vt:lpstr>
      <vt:lpstr>Page 20b - MISO Tariff Revenue</vt:lpstr>
      <vt:lpstr>Page 21 - Income Tax Rate Calc</vt:lpstr>
      <vt:lpstr>Page 21a - Income Tax Rate Calc</vt:lpstr>
      <vt:lpstr>Attachment GG Projects</vt:lpstr>
      <vt:lpstr>Attachment MM Projects</vt:lpstr>
      <vt:lpstr>Info</vt:lpstr>
      <vt:lpstr>'Attachment GG Projects'!Print_Area</vt:lpstr>
      <vt:lpstr>'Attachment MM Projects'!Print_Area</vt:lpstr>
      <vt:lpstr>'Page 1 - PIS'!Print_Area</vt:lpstr>
      <vt:lpstr>'Page 12a - Sch 10 Exp'!Print_Area</vt:lpstr>
      <vt:lpstr>'Page 12b - A&amp;G Exp'!Print_Area</vt:lpstr>
      <vt:lpstr>'Page 13 - Depr Exp'!Print_Area</vt:lpstr>
      <vt:lpstr>'Page 14 - Prop Tax'!Print_Area</vt:lpstr>
      <vt:lpstr>'Page 15 - Invest Tax'!Print_Area</vt:lpstr>
      <vt:lpstr>'Page 16 - FERC Acct 561'!Print_Area</vt:lpstr>
      <vt:lpstr>'Page 17 - Labor Ratios'!Print_Area</vt:lpstr>
      <vt:lpstr>'Page 18 - Equity'!Print_Area</vt:lpstr>
      <vt:lpstr>'Page 19 - Elec Debt'!Print_Area</vt:lpstr>
      <vt:lpstr>'Page 2 - Accum Depr'!Print_Area</vt:lpstr>
      <vt:lpstr>'Page 20 - Revenues'!Print_Area</vt:lpstr>
      <vt:lpstr>'Page 20a - FERC 454 Recon'!Print_Area</vt:lpstr>
      <vt:lpstr>'Page 20b - MISO Tariff Revenue'!Print_Area</vt:lpstr>
      <vt:lpstr>'Page 21 - Income Tax Rate Calc'!Print_Area</vt:lpstr>
      <vt:lpstr>'Page 21a - Income Tax Rate Calc'!Print_Area</vt:lpstr>
      <vt:lpstr>'Page 3 - CWIP'!Print_Area</vt:lpstr>
      <vt:lpstr>'Page 4 - ADIT'!Print_Area</vt:lpstr>
      <vt:lpstr>'Page 5 - Net Prefunded AFUDC'!Print_Area</vt:lpstr>
      <vt:lpstr>'Page 6 - PHFU'!Print_Area</vt:lpstr>
      <vt:lpstr>'Page 7 - M&amp;S'!Print_Area</vt:lpstr>
      <vt:lpstr>'Page 8 - Prepayments'!Print_Area</vt:lpstr>
      <vt:lpstr>'Page 9-11 - Funct'!Print_Area</vt:lpstr>
      <vt:lpstr>'Page 9-11 - Funct'!Print_Titles</vt:lpstr>
    </vt:vector>
  </TitlesOfParts>
  <Company>Otter Tail Power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ama2</dc:creator>
  <cp:lastModifiedBy>Sem, Kyle</cp:lastModifiedBy>
  <cp:lastPrinted>2014-08-29T13:21:01Z</cp:lastPrinted>
  <dcterms:created xsi:type="dcterms:W3CDTF">2009-10-01T13:58:58Z</dcterms:created>
  <dcterms:modified xsi:type="dcterms:W3CDTF">2014-11-04T21:26:55Z</dcterms:modified>
</cp:coreProperties>
</file>