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9215" yWindow="-15" windowWidth="19260" windowHeight="11370" tabRatio="896"/>
  </bookViews>
  <sheets>
    <sheet name="Page 1 - PIS" sheetId="17" r:id="rId1"/>
    <sheet name="Page 2 - Accum Depr" sheetId="1" r:id="rId2"/>
    <sheet name="Page 3 - CWIP" sheetId="18" r:id="rId3"/>
    <sheet name="Page 4 - ADIT" sheetId="6" r:id="rId4"/>
    <sheet name="Page 5 - Net Prefunded AFUDC" sheetId="19" r:id="rId5"/>
    <sheet name="Page 6 - PHFU" sheetId="15" r:id="rId6"/>
    <sheet name="Page 7 - M&amp;S" sheetId="7" r:id="rId7"/>
    <sheet name="Page 8 - Prepayments" sheetId="8" r:id="rId8"/>
    <sheet name="Page 9-11 - Funct" sheetId="13" r:id="rId9"/>
    <sheet name="Page 12 - A&amp;G Exp" sheetId="20" r:id="rId10"/>
    <sheet name="Page 13 - Depr Exp" sheetId="9" r:id="rId11"/>
    <sheet name="Page 14 - Prop Tax" sheetId="21" r:id="rId12"/>
    <sheet name="Page 15 - Invest Tax" sheetId="14" r:id="rId13"/>
    <sheet name="Page 16 - FERC Acct 561" sheetId="22" r:id="rId14"/>
    <sheet name="Page 17 - Labor Ratios" sheetId="10" r:id="rId15"/>
    <sheet name="Page 18 - Equity" sheetId="12" r:id="rId16"/>
    <sheet name="Page 19 - Elec Debt" sheetId="11" r:id="rId17"/>
    <sheet name="Page 20 - Revenues" sheetId="23" r:id="rId18"/>
    <sheet name="Page 20a - MISO Tariff Revenue" sheetId="25" r:id="rId19"/>
    <sheet name="Attachment GG Projects" sheetId="24" r:id="rId20"/>
    <sheet name="Attachment MM Projects" sheetId="26" r:id="rId21"/>
  </sheets>
  <externalReferences>
    <externalReference r:id="rId22"/>
  </externalReferences>
  <definedNames>
    <definedName name="\P" localSheetId="20">#REF!</definedName>
    <definedName name="\P" localSheetId="2">#REF!</definedName>
    <definedName name="\P" localSheetId="4">#REF!</definedName>
    <definedName name="\P">#REF!</definedName>
    <definedName name="__HH_F">[1]factors:memo!$G$36:$N$82</definedName>
    <definedName name="_Order1" hidden="1">255</definedName>
    <definedName name="_PG1" localSheetId="20">#REF!</definedName>
    <definedName name="_PG1" localSheetId="2">#REF!</definedName>
    <definedName name="_PG1" localSheetId="4">#REF!</definedName>
    <definedName name="_PG1">#REF!</definedName>
    <definedName name="_PG2" localSheetId="20">#REF!</definedName>
    <definedName name="_PG2" localSheetId="2">#REF!</definedName>
    <definedName name="_PG2" localSheetId="4">#REF!</definedName>
    <definedName name="_PG2">#REF!</definedName>
    <definedName name="_PR1" localSheetId="20">#REF!</definedName>
    <definedName name="_PR1" localSheetId="12">#REF!</definedName>
    <definedName name="_PR1" localSheetId="2">#REF!</definedName>
    <definedName name="_PR1" localSheetId="4">#REF!</definedName>
    <definedName name="_PR1">#REF!</definedName>
    <definedName name="_PR2" localSheetId="20">#REF!</definedName>
    <definedName name="_PR2" localSheetId="12">#REF!</definedName>
    <definedName name="_PR2" localSheetId="2">#REF!</definedName>
    <definedName name="_PR2" localSheetId="4">#REF!</definedName>
    <definedName name="_PR2">#REF!</definedName>
    <definedName name="_PR3" localSheetId="20">#REF!</definedName>
    <definedName name="_PR3" localSheetId="12">#REF!</definedName>
    <definedName name="_PR3" localSheetId="2">#REF!</definedName>
    <definedName name="_PR3" localSheetId="4">#REF!</definedName>
    <definedName name="_PR3">#REF!</definedName>
    <definedName name="Amount" localSheetId="20">#REF!</definedName>
    <definedName name="Amount" localSheetId="2">#REF!</definedName>
    <definedName name="Amount" localSheetId="4">#REF!</definedName>
    <definedName name="Amount">#REF!</definedName>
    <definedName name="CCOSS_Data" localSheetId="20">#REF!</definedName>
    <definedName name="CCOSS_Data" localSheetId="12">#REF!</definedName>
    <definedName name="CCOSS_Data" localSheetId="2">#REF!</definedName>
    <definedName name="CCOSS_Data" localSheetId="4">#REF!</definedName>
    <definedName name="CCOSS_Data">#REF!</definedName>
    <definedName name="D__M" localSheetId="20">#REF!</definedName>
    <definedName name="D__M" localSheetId="12">#REF!</definedName>
    <definedName name="D__M" localSheetId="2">#REF!</definedName>
    <definedName name="D__M" localSheetId="4">#REF!</definedName>
    <definedName name="D__M">#REF!</definedName>
    <definedName name="DB" localSheetId="20">#REF!</definedName>
    <definedName name="DB" localSheetId="2">#REF!</definedName>
    <definedName name="DB" localSheetId="4">#REF!</definedName>
    <definedName name="DB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Federal" localSheetId="20">#REF!</definedName>
    <definedName name="Federal" localSheetId="2">#REF!</definedName>
    <definedName name="Federal" localSheetId="4">#REF!</definedName>
    <definedName name="Federal">#REF!</definedName>
    <definedName name="FERC" localSheetId="20">#REF!</definedName>
    <definedName name="FERC" localSheetId="2">#REF!</definedName>
    <definedName name="FERC" localSheetId="4">#REF!</definedName>
    <definedName name="FERC">#REF!</definedName>
    <definedName name="K2_WBEVMODE" hidden="1">0</definedName>
    <definedName name="PNT" localSheetId="20">#REF!</definedName>
    <definedName name="PNT" localSheetId="2">#REF!</definedName>
    <definedName name="PNT" localSheetId="4">#REF!</definedName>
    <definedName name="PNT">#REF!</definedName>
    <definedName name="PRINT" localSheetId="20">#REF!</definedName>
    <definedName name="PRINT" localSheetId="2">#REF!</definedName>
    <definedName name="PRINT" localSheetId="4">#REF!</definedName>
    <definedName name="PRINT">#REF!</definedName>
    <definedName name="_xlnm.Print_Area" localSheetId="14">'Page 17 - Labor Ratios'!$A$1:$F$28</definedName>
    <definedName name="_xlnm.Print_Area" localSheetId="15">'Page 18 - Equity'!$A$1:$P$31</definedName>
    <definedName name="_xlnm.Print_Area" localSheetId="16">'Page 19 - Elec Debt'!$A$1:$U$43</definedName>
    <definedName name="_xlnm.Print_Area" localSheetId="1">'Page 2 - Accum Depr'!$A$1:$J$27</definedName>
    <definedName name="_xlnm.Print_Area" localSheetId="3">'Page 4 - ADIT'!$A$1:$F$20</definedName>
    <definedName name="_xlnm.Print_Area" localSheetId="7">'Page 8 - Prepayments'!$A$1:$D$27</definedName>
    <definedName name="_xlnm.Print_Area" localSheetId="8">'Page 9-11 - Funct'!$A$1:$D$197</definedName>
    <definedName name="_xlnm.Print_Titles" localSheetId="8">'Page 9-11 - Funct'!$1:$6</definedName>
    <definedName name="Print_Titles_MI" localSheetId="20">#REF!</definedName>
    <definedName name="Print_Titles_MI" localSheetId="2">#REF!</definedName>
    <definedName name="Print_Titles_MI" localSheetId="4">#REF!</definedName>
    <definedName name="Print_Titles_MI">#REF!</definedName>
    <definedName name="PRNT" localSheetId="20">#REF!</definedName>
    <definedName name="PRNT" localSheetId="2">#REF!</definedName>
    <definedName name="PRNT" localSheetId="4">#REF!</definedName>
    <definedName name="PRNT">#REF!</definedName>
    <definedName name="TOTAL" localSheetId="20">#REF!</definedName>
    <definedName name="TOTAL" localSheetId="12">#REF!</definedName>
    <definedName name="TOTAL" localSheetId="2">#REF!</definedName>
    <definedName name="TOTAL" localSheetId="4">#REF!</definedName>
    <definedName name="TOTAL">#REF!</definedName>
    <definedName name="TOTAL2" localSheetId="20">#REF!</definedName>
    <definedName name="TOTAL2" localSheetId="12">#REF!</definedName>
    <definedName name="TOTAL2" localSheetId="2">#REF!</definedName>
    <definedName name="TOTAL2" localSheetId="4">#REF!</definedName>
    <definedName name="TOTAL2">#REF!</definedName>
  </definedNames>
  <calcPr calcId="125725" iterate="1" iterateCount="1000"/>
</workbook>
</file>

<file path=xl/calcChain.xml><?xml version="1.0" encoding="utf-8"?>
<calcChain xmlns="http://schemas.openxmlformats.org/spreadsheetml/2006/main">
  <c r="C14" i="24"/>
  <c r="C15"/>
  <c r="C16"/>
  <c r="C17"/>
  <c r="C18"/>
  <c r="C19"/>
  <c r="C20"/>
  <c r="C21"/>
  <c r="C22"/>
  <c r="C23"/>
  <c r="C24"/>
  <c r="C25"/>
  <c r="C13"/>
  <c r="D40"/>
  <c r="D41"/>
  <c r="D42"/>
  <c r="D57"/>
  <c r="D61"/>
  <c r="D27" i="18"/>
  <c r="K18" i="23"/>
  <c r="D27" i="24" l="1"/>
  <c r="D59" s="1"/>
  <c r="F14"/>
  <c r="F15" s="1"/>
  <c r="F16" s="1"/>
  <c r="F17" s="1"/>
  <c r="F18" s="1"/>
  <c r="F19" s="1"/>
  <c r="F20" s="1"/>
  <c r="F21" s="1"/>
  <c r="F22" s="1"/>
  <c r="F23" s="1"/>
  <c r="F24" s="1"/>
  <c r="F25" s="1"/>
  <c r="C25" i="26" l="1"/>
  <c r="E10" i="6" l="1"/>
  <c r="D61" i="26" l="1"/>
  <c r="C61"/>
  <c r="C57"/>
  <c r="G61" i="24"/>
  <c r="F61"/>
  <c r="C61"/>
  <c r="E61"/>
  <c r="E25"/>
  <c r="E24"/>
  <c r="E23"/>
  <c r="E22"/>
  <c r="E21"/>
  <c r="E20"/>
  <c r="E19"/>
  <c r="E18"/>
  <c r="E17"/>
  <c r="E16"/>
  <c r="E15"/>
  <c r="E14"/>
  <c r="E13"/>
  <c r="G25"/>
  <c r="K19" i="23" l="1"/>
  <c r="T33" i="11"/>
  <c r="T31"/>
  <c r="T32"/>
  <c r="T30"/>
  <c r="T38"/>
  <c r="T25"/>
  <c r="T24"/>
  <c r="C10" i="6"/>
  <c r="F43" i="26" l="1"/>
  <c r="C24"/>
  <c r="C23"/>
  <c r="C22"/>
  <c r="C21"/>
  <c r="G22" i="9"/>
  <c r="I23" i="1"/>
  <c r="I22"/>
  <c r="I21"/>
  <c r="I20"/>
  <c r="I19"/>
  <c r="I18"/>
  <c r="I17"/>
  <c r="I16"/>
  <c r="I15"/>
  <c r="I14"/>
  <c r="I13"/>
  <c r="I12"/>
  <c r="I11"/>
  <c r="G21" i="20" l="1"/>
  <c r="G11" l="1"/>
  <c r="F24" i="7"/>
  <c r="F13"/>
  <c r="F14"/>
  <c r="F15"/>
  <c r="F16"/>
  <c r="F17"/>
  <c r="F18"/>
  <c r="F19"/>
  <c r="F20"/>
  <c r="F21"/>
  <c r="F22"/>
  <c r="F23"/>
  <c r="F12"/>
  <c r="I25" i="18" l="1"/>
  <c r="I24"/>
  <c r="I23"/>
  <c r="I22"/>
  <c r="I21"/>
  <c r="I20"/>
  <c r="I19"/>
  <c r="I18"/>
  <c r="I17"/>
  <c r="I16"/>
  <c r="I15"/>
  <c r="I14"/>
  <c r="I13"/>
  <c r="G47" i="20" l="1"/>
  <c r="B46"/>
  <c r="B44"/>
  <c r="B64"/>
  <c r="B63"/>
  <c r="B62"/>
  <c r="B59"/>
  <c r="B58"/>
  <c r="B57"/>
  <c r="B56"/>
  <c r="B55"/>
  <c r="B52"/>
  <c r="B51"/>
  <c r="B50"/>
  <c r="B49"/>
  <c r="B45"/>
  <c r="B43"/>
  <c r="B36"/>
  <c r="B37"/>
  <c r="B38"/>
  <c r="B39"/>
  <c r="B40"/>
  <c r="B35"/>
  <c r="C38" i="26" l="1"/>
  <c r="D38"/>
  <c r="E38"/>
  <c r="F38"/>
  <c r="B38"/>
  <c r="D57" l="1"/>
  <c r="F57" s="1"/>
  <c r="E57"/>
  <c r="E14"/>
  <c r="E15"/>
  <c r="E16"/>
  <c r="E17"/>
  <c r="E18"/>
  <c r="E19"/>
  <c r="E20"/>
  <c r="E21"/>
  <c r="E22"/>
  <c r="E23"/>
  <c r="E24"/>
  <c r="E25"/>
  <c r="E13"/>
  <c r="D14"/>
  <c r="D15"/>
  <c r="D16"/>
  <c r="D17"/>
  <c r="D18"/>
  <c r="D19"/>
  <c r="D20"/>
  <c r="D21"/>
  <c r="D22"/>
  <c r="D23"/>
  <c r="D24"/>
  <c r="D25"/>
  <c r="D13"/>
  <c r="C14"/>
  <c r="C15"/>
  <c r="C16"/>
  <c r="C17"/>
  <c r="C18"/>
  <c r="C19"/>
  <c r="C20"/>
  <c r="C13"/>
  <c r="E61"/>
  <c r="F52"/>
  <c r="F51"/>
  <c r="F50"/>
  <c r="F49"/>
  <c r="F48"/>
  <c r="F47"/>
  <c r="F46"/>
  <c r="F45"/>
  <c r="F44"/>
  <c r="B44"/>
  <c r="A44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B43"/>
  <c r="E42"/>
  <c r="D42"/>
  <c r="C42"/>
  <c r="E41"/>
  <c r="D41"/>
  <c r="C41"/>
  <c r="E40"/>
  <c r="D40"/>
  <c r="C40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6"/>
  <c r="A36" s="1"/>
  <c r="F19" l="1"/>
  <c r="F17"/>
  <c r="F15"/>
  <c r="F24"/>
  <c r="F22"/>
  <c r="F13"/>
  <c r="C27"/>
  <c r="C59" s="1"/>
  <c r="F20"/>
  <c r="F18"/>
  <c r="F16"/>
  <c r="F14"/>
  <c r="F25"/>
  <c r="F23"/>
  <c r="F21"/>
  <c r="F55"/>
  <c r="F61" s="1"/>
  <c r="F54"/>
  <c r="F53"/>
  <c r="E27"/>
  <c r="E59" s="1"/>
  <c r="D27"/>
  <c r="D59" s="1"/>
  <c r="F27" l="1"/>
  <c r="F59" l="1"/>
  <c r="F14" i="6" l="1"/>
  <c r="F12"/>
  <c r="F10"/>
  <c r="C27" i="18"/>
  <c r="E27"/>
  <c r="F27"/>
  <c r="G27"/>
  <c r="H27"/>
  <c r="G57" i="24"/>
  <c r="I27" i="18" l="1"/>
  <c r="H44" i="24"/>
  <c r="H45"/>
  <c r="H46"/>
  <c r="H47"/>
  <c r="H48"/>
  <c r="H49"/>
  <c r="H50"/>
  <c r="H51"/>
  <c r="H52"/>
  <c r="H53"/>
  <c r="H54"/>
  <c r="H55"/>
  <c r="H43"/>
  <c r="H25"/>
  <c r="H24"/>
  <c r="H22"/>
  <c r="H20"/>
  <c r="H18"/>
  <c r="H16"/>
  <c r="H14"/>
  <c r="G42"/>
  <c r="H61" l="1"/>
  <c r="H23"/>
  <c r="H21"/>
  <c r="H19"/>
  <c r="H17"/>
  <c r="H15"/>
  <c r="H13"/>
  <c r="Q16" i="25"/>
  <c r="T26" i="11" l="1"/>
  <c r="B44" i="24" l="1"/>
  <c r="B43"/>
  <c r="G40"/>
  <c r="G41"/>
  <c r="G27"/>
  <c r="G59" s="1"/>
  <c r="K20" i="23" l="1"/>
  <c r="U33" i="11"/>
  <c r="U32"/>
  <c r="U31"/>
  <c r="U30"/>
  <c r="U24"/>
  <c r="U25"/>
  <c r="T17"/>
  <c r="U17" s="1"/>
  <c r="T18"/>
  <c r="U18" s="1"/>
  <c r="T19"/>
  <c r="U19" s="1"/>
  <c r="T20"/>
  <c r="U20" s="1"/>
  <c r="T16"/>
  <c r="H21"/>
  <c r="I21"/>
  <c r="J21"/>
  <c r="K21"/>
  <c r="L21"/>
  <c r="M21"/>
  <c r="N21"/>
  <c r="O21"/>
  <c r="P21"/>
  <c r="Q21"/>
  <c r="R21"/>
  <c r="S21"/>
  <c r="G21"/>
  <c r="H26"/>
  <c r="I26"/>
  <c r="J26"/>
  <c r="K26"/>
  <c r="L26"/>
  <c r="M26"/>
  <c r="N26"/>
  <c r="O26"/>
  <c r="P26"/>
  <c r="Q26"/>
  <c r="R26"/>
  <c r="S26"/>
  <c r="G26"/>
  <c r="C25" i="12"/>
  <c r="G36" i="11" l="1"/>
  <c r="R36"/>
  <c r="S36"/>
  <c r="Q36"/>
  <c r="O36"/>
  <c r="M36"/>
  <c r="K36"/>
  <c r="I36"/>
  <c r="U34"/>
  <c r="P36"/>
  <c r="N36"/>
  <c r="L36"/>
  <c r="J36"/>
  <c r="H36"/>
  <c r="T21"/>
  <c r="T36" s="1"/>
  <c r="U26"/>
  <c r="U16"/>
  <c r="U21" s="1"/>
  <c r="D25" i="12"/>
  <c r="E25" s="1"/>
  <c r="U36" i="11" l="1"/>
  <c r="U43" s="1"/>
  <c r="F25" i="12"/>
  <c r="G25" s="1"/>
  <c r="H25" s="1"/>
  <c r="I25" s="1"/>
  <c r="J25" l="1"/>
  <c r="K25" s="1"/>
  <c r="L25" l="1"/>
  <c r="M25" s="1"/>
  <c r="N25" s="1"/>
  <c r="O25" l="1"/>
  <c r="P25" s="1"/>
  <c r="D58" i="13"/>
  <c r="B52" i="22"/>
  <c r="G50"/>
  <c r="G56" s="1"/>
  <c r="B44"/>
  <c r="B45"/>
  <c r="B46"/>
  <c r="B42"/>
  <c r="B43"/>
  <c r="B40"/>
  <c r="B41"/>
  <c r="B36"/>
  <c r="B37"/>
  <c r="B38"/>
  <c r="G33"/>
  <c r="B19"/>
  <c r="B20"/>
  <c r="B16"/>
  <c r="B17"/>
  <c r="C10" i="14" l="1"/>
  <c r="G38" i="21"/>
  <c r="H26"/>
  <c r="I26" s="1"/>
  <c r="J26" s="1"/>
  <c r="K26" s="1"/>
  <c r="L26" s="1"/>
  <c r="M26" s="1"/>
  <c r="N26" s="1"/>
  <c r="O26" s="1"/>
  <c r="P26" s="1"/>
  <c r="Q26" s="1"/>
  <c r="R26" s="1"/>
  <c r="G41" i="20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G53"/>
  <c r="G65"/>
  <c r="G60"/>
  <c r="G10" i="17"/>
  <c r="S26" i="21" l="1"/>
  <c r="A56" i="20" l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F28" i="7" l="1"/>
  <c r="E28"/>
  <c r="D28"/>
  <c r="C28"/>
  <c r="D188" i="13" l="1"/>
  <c r="D25"/>
  <c r="D49"/>
  <c r="D54"/>
  <c r="D72"/>
  <c r="D108"/>
  <c r="D116"/>
  <c r="D177"/>
  <c r="D189"/>
  <c r="D193" s="1"/>
  <c r="D121"/>
  <c r="D135" s="1"/>
  <c r="D29"/>
  <c r="D37" s="1"/>
  <c r="D12" l="1"/>
  <c r="D17" s="1"/>
  <c r="Q15" i="25" l="1"/>
  <c r="Q14"/>
  <c r="Q13"/>
  <c r="Q12"/>
  <c r="Q11"/>
  <c r="Q10"/>
  <c r="Q9"/>
  <c r="A10"/>
  <c r="A11" s="1"/>
  <c r="A12" s="1"/>
  <c r="A13" s="1"/>
  <c r="A14" s="1"/>
  <c r="A15" s="1"/>
  <c r="Q7"/>
  <c r="P7"/>
  <c r="O7"/>
  <c r="N7"/>
  <c r="M7"/>
  <c r="L7"/>
  <c r="K7"/>
  <c r="J7"/>
  <c r="I7"/>
  <c r="H7"/>
  <c r="G7"/>
  <c r="F7"/>
  <c r="H40" i="11"/>
  <c r="H43" s="1"/>
  <c r="I40"/>
  <c r="I43" s="1"/>
  <c r="J40"/>
  <c r="J43" s="1"/>
  <c r="K40"/>
  <c r="K43" s="1"/>
  <c r="L40"/>
  <c r="L43" s="1"/>
  <c r="M40"/>
  <c r="M43" s="1"/>
  <c r="N40"/>
  <c r="N43" s="1"/>
  <c r="O40"/>
  <c r="O43" s="1"/>
  <c r="P40"/>
  <c r="P43" s="1"/>
  <c r="Q40"/>
  <c r="Q43" s="1"/>
  <c r="R40"/>
  <c r="R43" s="1"/>
  <c r="S40"/>
  <c r="S43" s="1"/>
  <c r="T40"/>
  <c r="T43" s="1"/>
  <c r="G40"/>
  <c r="G43" s="1"/>
  <c r="A38"/>
  <c r="A39" s="1"/>
  <c r="A40" s="1"/>
  <c r="A41" s="1"/>
  <c r="A42" s="1"/>
  <c r="A43" s="1"/>
  <c r="D14" i="6"/>
  <c r="D16" s="1"/>
  <c r="D12"/>
  <c r="G13" i="20"/>
  <c r="G17" s="1"/>
  <c r="G22" i="17"/>
  <c r="G20"/>
  <c r="G19"/>
  <c r="G14"/>
  <c r="G12"/>
  <c r="D194" i="13"/>
  <c r="D196" s="1"/>
  <c r="P16" i="12"/>
  <c r="G18" i="20"/>
  <c r="D73" i="13"/>
  <c r="C11" i="8"/>
  <c r="C13"/>
  <c r="C14"/>
  <c r="C15"/>
  <c r="C16"/>
  <c r="C17"/>
  <c r="C18"/>
  <c r="C19"/>
  <c r="C20"/>
  <c r="C21"/>
  <c r="C22"/>
  <c r="C12"/>
  <c r="G13" i="17"/>
  <c r="G17"/>
  <c r="E40" i="24"/>
  <c r="C40"/>
  <c r="F40"/>
  <c r="E41"/>
  <c r="C41"/>
  <c r="F41"/>
  <c r="E42"/>
  <c r="C42"/>
  <c r="F42"/>
  <c r="G16" i="20"/>
  <c r="B49" i="22"/>
  <c r="B48"/>
  <c r="B47"/>
  <c r="B39"/>
  <c r="B35"/>
  <c r="B32"/>
  <c r="B31"/>
  <c r="B30"/>
  <c r="B29"/>
  <c r="B28"/>
  <c r="B27"/>
  <c r="B26"/>
  <c r="B25"/>
  <c r="B24"/>
  <c r="B23"/>
  <c r="B22"/>
  <c r="B21"/>
  <c r="B18"/>
  <c r="B12"/>
  <c r="B13"/>
  <c r="B11"/>
  <c r="A6" i="24"/>
  <c r="A36" s="1"/>
  <c r="A5" i="23"/>
  <c r="A7" i="12"/>
  <c r="A5" i="10"/>
  <c r="A4" i="22"/>
  <c r="A5" i="14"/>
  <c r="A5" i="21"/>
  <c r="A4" i="20"/>
  <c r="A5" i="8"/>
  <c r="A5" i="7"/>
  <c r="A5" i="15"/>
  <c r="A6" i="19"/>
  <c r="A6" i="18"/>
  <c r="A5" i="1"/>
  <c r="E57" i="24"/>
  <c r="C57"/>
  <c r="A44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F27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P22" i="12"/>
  <c r="P23"/>
  <c r="P21"/>
  <c r="K23" i="23"/>
  <c r="A12"/>
  <c r="A13" s="1"/>
  <c r="A14" s="1"/>
  <c r="A15" s="1"/>
  <c r="A16" s="1"/>
  <c r="A17" s="1"/>
  <c r="A18" s="1"/>
  <c r="A19" s="1"/>
  <c r="G14" i="22"/>
  <c r="G54" s="1"/>
  <c r="A11"/>
  <c r="A12" s="1"/>
  <c r="A13" s="1"/>
  <c r="A14" s="1"/>
  <c r="A15" s="1"/>
  <c r="A12" i="21"/>
  <c r="S11"/>
  <c r="R9"/>
  <c r="Q9"/>
  <c r="P9"/>
  <c r="O9"/>
  <c r="N9"/>
  <c r="M9"/>
  <c r="L9"/>
  <c r="K9"/>
  <c r="J9"/>
  <c r="I9"/>
  <c r="H9"/>
  <c r="A11" i="20"/>
  <c r="A12" s="1"/>
  <c r="A13" s="1"/>
  <c r="A14" s="1"/>
  <c r="A15" s="1"/>
  <c r="A16" s="1"/>
  <c r="A17" s="1"/>
  <c r="A18" s="1"/>
  <c r="A19" s="1"/>
  <c r="A20" s="1"/>
  <c r="A21" s="1"/>
  <c r="A22" s="1"/>
  <c r="A23" s="1"/>
  <c r="S19" i="21"/>
  <c r="S20"/>
  <c r="S21"/>
  <c r="S22"/>
  <c r="S23"/>
  <c r="S13"/>
  <c r="S28"/>
  <c r="S24"/>
  <c r="S15"/>
  <c r="S39" s="1"/>
  <c r="S37"/>
  <c r="S35"/>
  <c r="S31"/>
  <c r="S27"/>
  <c r="S25"/>
  <c r="S16"/>
  <c r="S32"/>
  <c r="S17"/>
  <c r="S36"/>
  <c r="S33"/>
  <c r="S29"/>
  <c r="S18"/>
  <c r="S12"/>
  <c r="S14"/>
  <c r="S30"/>
  <c r="D74" i="13"/>
  <c r="E27" i="19"/>
  <c r="D27"/>
  <c r="C27"/>
  <c r="F27" s="1"/>
  <c r="F25"/>
  <c r="F24"/>
  <c r="F23"/>
  <c r="F22"/>
  <c r="F21"/>
  <c r="F20"/>
  <c r="F19"/>
  <c r="F18"/>
  <c r="F17"/>
  <c r="F16"/>
  <c r="F15"/>
  <c r="F14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F13"/>
  <c r="A14" i="18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F24" i="17"/>
  <c r="C24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E25" i="1"/>
  <c r="E11" i="15"/>
  <c r="E12"/>
  <c r="E13"/>
  <c r="E14"/>
  <c r="E15"/>
  <c r="E16"/>
  <c r="E17"/>
  <c r="E18"/>
  <c r="E19"/>
  <c r="E20"/>
  <c r="E21"/>
  <c r="E22"/>
  <c r="E23"/>
  <c r="D25"/>
  <c r="C25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E23" i="10"/>
  <c r="C16" i="6"/>
  <c r="C18" s="1"/>
  <c r="C14" i="14"/>
  <c r="A11"/>
  <c r="A12" s="1"/>
  <c r="A13" s="1"/>
  <c r="A14" s="1"/>
  <c r="D139" i="13"/>
  <c r="D78"/>
  <c r="A11"/>
  <c r="A12" s="1"/>
  <c r="A13" s="1"/>
  <c r="A14" s="1"/>
  <c r="A15" s="1"/>
  <c r="A16" s="1"/>
  <c r="A17" s="1"/>
  <c r="A19" s="1"/>
  <c r="A20" s="1"/>
  <c r="A21" s="1"/>
  <c r="A22" s="1"/>
  <c r="A23" s="1"/>
  <c r="A24" s="1"/>
  <c r="A25" s="1"/>
  <c r="A27" s="1"/>
  <c r="A28" s="1"/>
  <c r="A29" s="1"/>
  <c r="A30" s="1"/>
  <c r="A32" s="1"/>
  <c r="A33" s="1"/>
  <c r="A34" s="1"/>
  <c r="A35" s="1"/>
  <c r="A36" s="1"/>
  <c r="A37" s="1"/>
  <c r="A39" s="1"/>
  <c r="A40" s="1"/>
  <c r="A41" s="1"/>
  <c r="A42" s="1"/>
  <c r="A43" s="1"/>
  <c r="A44" s="1"/>
  <c r="A45" s="1"/>
  <c r="A46" s="1"/>
  <c r="A47" s="1"/>
  <c r="A48" s="1"/>
  <c r="A49" s="1"/>
  <c r="A51" s="1"/>
  <c r="A52" s="1"/>
  <c r="A53" s="1"/>
  <c r="A54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C24" i="12"/>
  <c r="D20" s="1"/>
  <c r="D24" s="1"/>
  <c r="E20" s="1"/>
  <c r="C18"/>
  <c r="D14" s="1"/>
  <c r="D18" s="1"/>
  <c r="A13" i="10"/>
  <c r="A14" s="1"/>
  <c r="A15" s="1"/>
  <c r="A16" s="1"/>
  <c r="A17" s="1"/>
  <c r="A18" s="1"/>
  <c r="A19" s="1"/>
  <c r="A20" s="1"/>
  <c r="A21" s="1"/>
  <c r="A22" s="1"/>
  <c r="A23" s="1"/>
  <c r="A24" s="1"/>
  <c r="A25" s="1"/>
  <c r="E14"/>
  <c r="E25" s="1"/>
  <c r="C14"/>
  <c r="C25" s="1"/>
  <c r="D16" s="1"/>
  <c r="F25" i="9"/>
  <c r="E25"/>
  <c r="D25"/>
  <c r="C25"/>
  <c r="G25"/>
  <c r="F15"/>
  <c r="E15"/>
  <c r="D15"/>
  <c r="C15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10" i="8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G15" i="9"/>
  <c r="D24" i="8"/>
  <c r="D25" s="1"/>
  <c r="E15" i="6"/>
  <c r="F15" s="1"/>
  <c r="F16" s="1"/>
  <c r="F18" s="1"/>
  <c r="A11"/>
  <c r="A12" s="1"/>
  <c r="A13" s="1"/>
  <c r="A14" s="1"/>
  <c r="A15" s="1"/>
  <c r="A16" s="1"/>
  <c r="A17" s="1"/>
  <c r="A18" s="1"/>
  <c r="H25" i="1"/>
  <c r="G25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80" i="13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4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6" s="1"/>
  <c r="D9"/>
  <c r="G21" i="17"/>
  <c r="E24"/>
  <c r="D25" i="1"/>
  <c r="F57" i="24"/>
  <c r="F27" i="9" l="1"/>
  <c r="D27"/>
  <c r="E27"/>
  <c r="Q17" i="25"/>
  <c r="K26" i="23"/>
  <c r="K28" s="1"/>
  <c r="F59" i="24"/>
  <c r="A20" i="23"/>
  <c r="A21" s="1"/>
  <c r="A22" s="1"/>
  <c r="A24" s="1"/>
  <c r="A25" s="1"/>
  <c r="A23" s="1"/>
  <c r="A26" s="1"/>
  <c r="A27" s="1"/>
  <c r="A28" s="1"/>
  <c r="H57" i="24"/>
  <c r="D21" i="10"/>
  <c r="G27" i="9"/>
  <c r="C27" i="24"/>
  <c r="C59" s="1"/>
  <c r="E14" i="12"/>
  <c r="C26"/>
  <c r="D26"/>
  <c r="F16" i="10"/>
  <c r="F18"/>
  <c r="F22"/>
  <c r="F23"/>
  <c r="F21"/>
  <c r="A16" i="22"/>
  <c r="A17" s="1"/>
  <c r="A18" s="1"/>
  <c r="G58"/>
  <c r="H38" i="2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G19" i="20"/>
  <c r="G23" s="1"/>
  <c r="F25" i="1"/>
  <c r="D10" i="6"/>
  <c r="D18" s="1"/>
  <c r="E16"/>
  <c r="E18" s="1"/>
  <c r="D18" i="10"/>
  <c r="C27" i="9"/>
  <c r="E25" i="15"/>
  <c r="G11" i="17"/>
  <c r="G15"/>
  <c r="E24" i="12"/>
  <c r="D22" i="10"/>
  <c r="D12" s="1"/>
  <c r="D25" s="1"/>
  <c r="D24" i="17"/>
  <c r="G16"/>
  <c r="G18"/>
  <c r="E27" i="24"/>
  <c r="E59" s="1"/>
  <c r="H27" l="1"/>
  <c r="E18" i="12"/>
  <c r="F14"/>
  <c r="F18" s="1"/>
  <c r="G14" s="1"/>
  <c r="G18" s="1"/>
  <c r="H14" s="1"/>
  <c r="H18" s="1"/>
  <c r="I14" s="1"/>
  <c r="I18" s="1"/>
  <c r="J14" s="1"/>
  <c r="J18" s="1"/>
  <c r="E26"/>
  <c r="F12" i="10"/>
  <c r="F25" s="1"/>
  <c r="A19" i="22"/>
  <c r="A20" s="1"/>
  <c r="A21" s="1"/>
  <c r="A22" s="1"/>
  <c r="A23" s="1"/>
  <c r="A24" s="1"/>
  <c r="A25" s="1"/>
  <c r="A26" s="1"/>
  <c r="A27" s="1"/>
  <c r="A28" s="1"/>
  <c r="A29" s="1"/>
  <c r="A30" s="1"/>
  <c r="I38" i="21"/>
  <c r="A26"/>
  <c r="G24" i="17"/>
  <c r="F20" i="12"/>
  <c r="A27" i="21" l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H59" i="24"/>
  <c r="A31" i="22"/>
  <c r="A32" s="1"/>
  <c r="A33" s="1"/>
  <c r="A34" s="1"/>
  <c r="J38" i="21"/>
  <c r="K14" i="12"/>
  <c r="K18" s="1"/>
  <c r="F24"/>
  <c r="A35" i="22" l="1"/>
  <c r="K38" i="21"/>
  <c r="L14" i="12"/>
  <c r="L18" s="1"/>
  <c r="G20"/>
  <c r="F26"/>
  <c r="A36" i="22" l="1"/>
  <c r="A37" s="1"/>
  <c r="A38" s="1"/>
  <c r="A39" s="1"/>
  <c r="L38" i="21"/>
  <c r="M14" i="12"/>
  <c r="M18" s="1"/>
  <c r="G24"/>
  <c r="A40" i="22" l="1"/>
  <c r="A41" s="1"/>
  <c r="M38" i="21"/>
  <c r="H20" i="12"/>
  <c r="G26"/>
  <c r="N14"/>
  <c r="N18" s="1"/>
  <c r="A42" i="22" l="1"/>
  <c r="A43" s="1"/>
  <c r="N38" i="21"/>
  <c r="I25" i="1"/>
  <c r="C25"/>
  <c r="O14" i="12"/>
  <c r="H24"/>
  <c r="A44" i="22" l="1"/>
  <c r="A45" s="1"/>
  <c r="A46" s="1"/>
  <c r="A47" s="1"/>
  <c r="A48" s="1"/>
  <c r="A49" s="1"/>
  <c r="A50" s="1"/>
  <c r="A51" s="1"/>
  <c r="O38" i="21"/>
  <c r="I20" i="12"/>
  <c r="H26"/>
  <c r="O18"/>
  <c r="P14"/>
  <c r="P18" s="1"/>
  <c r="A52" i="22" l="1"/>
  <c r="P38" i="21"/>
  <c r="I24" i="12"/>
  <c r="I26" s="1"/>
  <c r="A53" i="22" l="1"/>
  <c r="A54" s="1"/>
  <c r="A55" s="1"/>
  <c r="A56" s="1"/>
  <c r="A57" s="1"/>
  <c r="A58" s="1"/>
  <c r="Q38" i="21"/>
  <c r="J20" i="12"/>
  <c r="J24" s="1"/>
  <c r="R38" i="21" l="1"/>
  <c r="S34"/>
  <c r="S38" s="1"/>
  <c r="S40" s="1"/>
  <c r="K20" i="12"/>
  <c r="K24" s="1"/>
  <c r="J26"/>
  <c r="L20" l="1"/>
  <c r="L24" s="1"/>
  <c r="K26"/>
  <c r="M20" l="1"/>
  <c r="M24" s="1"/>
  <c r="L26"/>
  <c r="N20" l="1"/>
  <c r="N24" s="1"/>
  <c r="M26"/>
  <c r="O20" l="1"/>
  <c r="N26"/>
  <c r="O24" l="1"/>
  <c r="P20"/>
  <c r="O26" l="1"/>
  <c r="P24"/>
  <c r="P26" s="1"/>
  <c r="G67" i="20"/>
  <c r="G70" s="1"/>
</calcChain>
</file>

<file path=xl/comments1.xml><?xml version="1.0" encoding="utf-8"?>
<comments xmlns="http://schemas.openxmlformats.org/spreadsheetml/2006/main">
  <authors>
    <author>Kyle Sem</author>
  </authors>
  <commentList>
    <comment ref="B40" authorId="0">
      <text>
        <r>
          <rPr>
            <b/>
            <sz val="8"/>
            <color indexed="81"/>
            <rFont val="Tahoma"/>
            <family val="2"/>
          </rPr>
          <t>Kyle Sem:</t>
        </r>
        <r>
          <rPr>
            <sz val="8"/>
            <color indexed="81"/>
            <rFont val="Tahoma"/>
            <family val="2"/>
          </rPr>
          <t xml:space="preserve">
Per Cathy @ MISO, do not include Loss/Gain on Reacquired Debt in the Attachment O Calculation for overall average Debt. However, the annual amortization can be included with interest expense.</t>
        </r>
      </text>
    </comment>
  </commentList>
</comments>
</file>

<file path=xl/sharedStrings.xml><?xml version="1.0" encoding="utf-8"?>
<sst xmlns="http://schemas.openxmlformats.org/spreadsheetml/2006/main" count="1233" uniqueCount="594">
  <si>
    <t>Otter Tail Power Company</t>
  </si>
  <si>
    <t>(A)</t>
  </si>
  <si>
    <t>(B)</t>
  </si>
  <si>
    <t>(C)</t>
  </si>
  <si>
    <t>(D)</t>
  </si>
  <si>
    <t>(E)</t>
  </si>
  <si>
    <t>(G)</t>
  </si>
  <si>
    <t>(F)</t>
  </si>
  <si>
    <t>Line</t>
  </si>
  <si>
    <t>Unclassified</t>
  </si>
  <si>
    <t>No.</t>
  </si>
  <si>
    <t>Production</t>
  </si>
  <si>
    <t>Transmission</t>
  </si>
  <si>
    <t>Distribution</t>
  </si>
  <si>
    <t>Intangible</t>
  </si>
  <si>
    <t>Reserve</t>
  </si>
  <si>
    <t>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</si>
  <si>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</si>
  <si>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</si>
  <si>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</si>
  <si>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</si>
  <si>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</si>
  <si>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</si>
  <si>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</si>
  <si>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</si>
  <si>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</si>
  <si>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</si>
  <si>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</si>
  <si>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13-Month Average</t>
  </si>
  <si>
    <t>Plant Account Balances</t>
  </si>
  <si>
    <t>(H)</t>
  </si>
  <si>
    <t>(I)</t>
  </si>
  <si>
    <t>(J)</t>
  </si>
  <si>
    <t>FERC</t>
  </si>
  <si>
    <t>January</t>
  </si>
  <si>
    <t>Description</t>
  </si>
  <si>
    <t>Plant Held for Future Use</t>
  </si>
  <si>
    <t>Accumulated Deferred Income Tax</t>
  </si>
  <si>
    <t>Line No.</t>
  </si>
  <si>
    <t>Balance Per Books</t>
  </si>
  <si>
    <t>Change</t>
  </si>
  <si>
    <t>Account 282 ADIT - Utility operations</t>
  </si>
  <si>
    <t>Account 283 ADIT Other utility operations</t>
  </si>
  <si>
    <t>Account 283.10 ADIT Big Stone</t>
  </si>
  <si>
    <t>Account 190 Accumulated Deferred Income Taxes  - Utility</t>
  </si>
  <si>
    <t>Forecast Inventory Balances</t>
  </si>
  <si>
    <t>Materials and Supplies</t>
  </si>
  <si>
    <t>End of Month</t>
  </si>
  <si>
    <t>Total M&amp;S</t>
  </si>
  <si>
    <t>Prepayments</t>
  </si>
  <si>
    <t>Monthly Change</t>
  </si>
  <si>
    <t>Prepaid Insurance and Interest                 FERC 165</t>
  </si>
  <si>
    <t>Depreciation Expense</t>
  </si>
  <si>
    <t>Minnesota</t>
  </si>
  <si>
    <t>North Dakota</t>
  </si>
  <si>
    <t>South Dakota</t>
  </si>
  <si>
    <t xml:space="preserve">  Steam (Excl Un Tr &amp; Ort)</t>
  </si>
  <si>
    <t xml:space="preserve">  Hydro</t>
  </si>
  <si>
    <t xml:space="preserve">  Other - I.C.</t>
  </si>
  <si>
    <t xml:space="preserve">  Other - Wind</t>
  </si>
  <si>
    <t xml:space="preserve">    Total Production</t>
  </si>
  <si>
    <t xml:space="preserve">  Transmission</t>
  </si>
  <si>
    <t xml:space="preserve">  Distribution</t>
  </si>
  <si>
    <t xml:space="preserve">  General (Excl Transp 392,390.2 &amp; WHSE</t>
  </si>
  <si>
    <t xml:space="preserve">  390.3,393,394.1 &amp; CAP A&amp;G)</t>
  </si>
  <si>
    <t xml:space="preserve">     Total General</t>
  </si>
  <si>
    <t xml:space="preserve">     Total</t>
  </si>
  <si>
    <t>Labor Ratios</t>
  </si>
  <si>
    <t>Function Labor</t>
  </si>
  <si>
    <t>Amount</t>
  </si>
  <si>
    <t>Portion of  Total</t>
  </si>
  <si>
    <t xml:space="preserve"> </t>
  </si>
  <si>
    <t>Customer Accounts</t>
  </si>
  <si>
    <t>Customer Service &amp; Information, &amp; Sales</t>
  </si>
  <si>
    <t xml:space="preserve">    Subtotal</t>
  </si>
  <si>
    <t>Budget 2009</t>
  </si>
  <si>
    <t>Less: Regional Market Labor</t>
  </si>
  <si>
    <t>Total Production</t>
  </si>
  <si>
    <t>Embedded Cost of Debt Capital</t>
  </si>
  <si>
    <t>(K)</t>
  </si>
  <si>
    <t>(L)</t>
  </si>
  <si>
    <t>(M)</t>
  </si>
  <si>
    <t>(N)</t>
  </si>
  <si>
    <t>(O)</t>
  </si>
  <si>
    <t>(P)</t>
  </si>
  <si>
    <t>(Q)</t>
  </si>
  <si>
    <t>Rate</t>
  </si>
  <si>
    <t>Interest</t>
  </si>
  <si>
    <t>of</t>
  </si>
  <si>
    <t>Monthly</t>
  </si>
  <si>
    <t>Cost</t>
  </si>
  <si>
    <t>Principal Amounts Outstanding</t>
  </si>
  <si>
    <t>Balances</t>
  </si>
  <si>
    <t>Debentures</t>
  </si>
  <si>
    <t xml:space="preserve">  Total Debentures</t>
  </si>
  <si>
    <t>Pollution Control Revenue Bonds</t>
  </si>
  <si>
    <t>4.65% series 2017 PCR Bonds (BSP)</t>
  </si>
  <si>
    <t>4.85% Series 2022 PCR Bonds (Coyote)</t>
  </si>
  <si>
    <t xml:space="preserve">    Total Poll Control </t>
  </si>
  <si>
    <t>Total Long-Term Debt Capital</t>
  </si>
  <si>
    <t>Common Equity</t>
  </si>
  <si>
    <t>Title</t>
  </si>
  <si>
    <t>Contributed Capital</t>
  </si>
  <si>
    <t xml:space="preserve">    Current Year Capital Contributions </t>
  </si>
  <si>
    <t>Common Stock Balance</t>
  </si>
  <si>
    <t>Retained Earnings -</t>
  </si>
  <si>
    <t xml:space="preserve">   Beginning Balance   </t>
  </si>
  <si>
    <t>End of Month Balance</t>
  </si>
  <si>
    <t>Other Comprehensive Income</t>
  </si>
  <si>
    <t>Total Electric Common Equity</t>
  </si>
  <si>
    <t xml:space="preserve">   Net Income</t>
  </si>
  <si>
    <t xml:space="preserve">   Dividends</t>
  </si>
  <si>
    <t xml:space="preserve">   Other</t>
  </si>
  <si>
    <t>Accounts</t>
  </si>
  <si>
    <t xml:space="preserve">   Station Equipment</t>
  </si>
  <si>
    <t xml:space="preserve">   Radio Load Control Equipment</t>
  </si>
  <si>
    <t>Steam Power Generation:</t>
  </si>
  <si>
    <t xml:space="preserve">   Supervision and Engineering</t>
  </si>
  <si>
    <t>401 - 500</t>
  </si>
  <si>
    <t xml:space="preserve">   Fuel</t>
  </si>
  <si>
    <t>401 - 501</t>
  </si>
  <si>
    <t xml:space="preserve">   Steam Expense</t>
  </si>
  <si>
    <t>401 - 502</t>
  </si>
  <si>
    <t xml:space="preserve">   Electrical Expense</t>
  </si>
  <si>
    <t>401 - 505</t>
  </si>
  <si>
    <t xml:space="preserve">   Miscellaneous Expense</t>
  </si>
  <si>
    <t>401 - 506</t>
  </si>
  <si>
    <t xml:space="preserve">   Rent</t>
  </si>
  <si>
    <t>401 - 507</t>
  </si>
  <si>
    <t>Maintenance:</t>
  </si>
  <si>
    <t>402 - 510</t>
  </si>
  <si>
    <t xml:space="preserve">   Structures</t>
  </si>
  <si>
    <t>402 - 511</t>
  </si>
  <si>
    <t xml:space="preserve">   Boiler</t>
  </si>
  <si>
    <t>402 - 512</t>
  </si>
  <si>
    <t xml:space="preserve">   Electric</t>
  </si>
  <si>
    <t>402 - 513</t>
  </si>
  <si>
    <t xml:space="preserve">   Miscellaneous</t>
  </si>
  <si>
    <t>402 - 514</t>
  </si>
  <si>
    <t>Hydro:</t>
  </si>
  <si>
    <t>401 - 535</t>
  </si>
  <si>
    <t xml:space="preserve">   Electric Expense</t>
  </si>
  <si>
    <t>401 - 539</t>
  </si>
  <si>
    <t xml:space="preserve">   Supervision &amp; Engineering</t>
  </si>
  <si>
    <t>402 - 541</t>
  </si>
  <si>
    <t>402 - 542</t>
  </si>
  <si>
    <t xml:space="preserve">   Reservoirs - Dams</t>
  </si>
  <si>
    <t>402 - 543</t>
  </si>
  <si>
    <t>402 - 544</t>
  </si>
  <si>
    <t>402 - 545</t>
  </si>
  <si>
    <t>IC:</t>
  </si>
  <si>
    <t>401 - 546</t>
  </si>
  <si>
    <t>401 - 547</t>
  </si>
  <si>
    <t xml:space="preserve">   Generation Expense</t>
  </si>
  <si>
    <t>401 - 548</t>
  </si>
  <si>
    <t>401 - 549</t>
  </si>
  <si>
    <t xml:space="preserve">   Rents</t>
  </si>
  <si>
    <t>401 - 550</t>
  </si>
  <si>
    <t>402 - 551</t>
  </si>
  <si>
    <t>402 - 552</t>
  </si>
  <si>
    <t xml:space="preserve">   Generating and Electric</t>
  </si>
  <si>
    <t>402 - 553</t>
  </si>
  <si>
    <t>402 - 554</t>
  </si>
  <si>
    <t>Other Power Supply Expenses:</t>
  </si>
  <si>
    <t xml:space="preserve">   System Control and Dispatch</t>
  </si>
  <si>
    <t>401 - 556</t>
  </si>
  <si>
    <t xml:space="preserve">   Other Expenses</t>
  </si>
  <si>
    <t>401 - 557</t>
  </si>
  <si>
    <t>401 - 560</t>
  </si>
  <si>
    <t xml:space="preserve">   Load Dispatching</t>
  </si>
  <si>
    <t>401 - 561</t>
  </si>
  <si>
    <t xml:space="preserve">   Station Expense</t>
  </si>
  <si>
    <t>401 - 562</t>
  </si>
  <si>
    <t xml:space="preserve">   Overhead Lines</t>
  </si>
  <si>
    <t>401 - 563</t>
  </si>
  <si>
    <t xml:space="preserve">   Transmission of Electricity by Others</t>
  </si>
  <si>
    <t>401 - 565</t>
  </si>
  <si>
    <t>401 - 566</t>
  </si>
  <si>
    <t>401 - 567</t>
  </si>
  <si>
    <t>402 - 568</t>
  </si>
  <si>
    <t xml:space="preserve">   Computer Hardware, Software, etc</t>
  </si>
  <si>
    <t>402 - 569</t>
  </si>
  <si>
    <t>402 - 570</t>
  </si>
  <si>
    <t xml:space="preserve">   Overhead System</t>
  </si>
  <si>
    <t>402 - 571</t>
  </si>
  <si>
    <t xml:space="preserve">   Underground Lines</t>
  </si>
  <si>
    <t>402 - 572</t>
  </si>
  <si>
    <t xml:space="preserve">   Maintenance of Miscellaneous Plant</t>
  </si>
  <si>
    <t>402 - 573</t>
  </si>
  <si>
    <t xml:space="preserve">   Day-Ahead &amp; Real-Time and Transmission Market Expense</t>
  </si>
  <si>
    <t>401 - 575</t>
  </si>
  <si>
    <t xml:space="preserve">   Computer Software</t>
  </si>
  <si>
    <t>402 - 576</t>
  </si>
  <si>
    <t>Distribution Expense:</t>
  </si>
  <si>
    <t xml:space="preserve">   Operation, Supervision &amp; Engineering</t>
  </si>
  <si>
    <t>401 - 580</t>
  </si>
  <si>
    <t>401 - 581</t>
  </si>
  <si>
    <t xml:space="preserve">   Station Expenses</t>
  </si>
  <si>
    <t>401 - 582</t>
  </si>
  <si>
    <t xml:space="preserve">   Line Expenses</t>
  </si>
  <si>
    <t>401 - 583</t>
  </si>
  <si>
    <t xml:space="preserve">   Underground Line Expenses</t>
  </si>
  <si>
    <t>401 - 584</t>
  </si>
  <si>
    <t xml:space="preserve">   Streetlighting &amp; Signal System</t>
  </si>
  <si>
    <t>401 - 585</t>
  </si>
  <si>
    <t xml:space="preserve">     Not Used</t>
  </si>
  <si>
    <t>401 - 586.01</t>
  </si>
  <si>
    <t>401 - 586.02</t>
  </si>
  <si>
    <t>401 - 586.03</t>
  </si>
  <si>
    <t>401 - 586.04</t>
  </si>
  <si>
    <t>401 - 586.05</t>
  </si>
  <si>
    <t>401 - 586.06</t>
  </si>
  <si>
    <t>401 - 586.07</t>
  </si>
  <si>
    <t xml:space="preserve">   Meter Expenses:</t>
  </si>
  <si>
    <t>401 - 586</t>
  </si>
  <si>
    <t xml:space="preserve">   Other Distribution Expenses</t>
  </si>
  <si>
    <t>401 - 587</t>
  </si>
  <si>
    <t xml:space="preserve">   Miscellaneous Distribution Expenses</t>
  </si>
  <si>
    <t>401 - 588</t>
  </si>
  <si>
    <t>401 - 589</t>
  </si>
  <si>
    <t xml:space="preserve">   Maintenance, Supervision &amp; Engineering</t>
  </si>
  <si>
    <t>402 - 590</t>
  </si>
  <si>
    <t xml:space="preserve">   Maintenance of Station Equipment</t>
  </si>
  <si>
    <t>402 - 592</t>
  </si>
  <si>
    <t xml:space="preserve">   Maintenance of Overhead Lines</t>
  </si>
  <si>
    <t>402 - 593</t>
  </si>
  <si>
    <t xml:space="preserve">   Maintenance of Underground Lines</t>
  </si>
  <si>
    <t>402 - 594</t>
  </si>
  <si>
    <t xml:space="preserve">   Maintenance of Line Transformers</t>
  </si>
  <si>
    <t>402 - 595</t>
  </si>
  <si>
    <t xml:space="preserve">   Maintenance of Streetlighting &amp; Signal</t>
  </si>
  <si>
    <t>402 - 596</t>
  </si>
  <si>
    <t xml:space="preserve">   Maintenance of Meters:</t>
  </si>
  <si>
    <t>402 - 597.01</t>
  </si>
  <si>
    <t>402 - 597.02</t>
  </si>
  <si>
    <t>402 - 597.03</t>
  </si>
  <si>
    <t xml:space="preserve">   Maintenance of Property in A/C 371</t>
  </si>
  <si>
    <t>402 - 598</t>
  </si>
  <si>
    <t>Customer Accounting:</t>
  </si>
  <si>
    <t xml:space="preserve">   Supervision</t>
  </si>
  <si>
    <t>401 - 901</t>
  </si>
  <si>
    <t xml:space="preserve">   Meter Reading Expenses</t>
  </si>
  <si>
    <t>401 - 902</t>
  </si>
  <si>
    <t xml:space="preserve">   Customer Records &amp; Collection Expense</t>
  </si>
  <si>
    <t>401 - 903</t>
  </si>
  <si>
    <t xml:space="preserve">   Uncollectible Accounts</t>
  </si>
  <si>
    <t>401 - 904</t>
  </si>
  <si>
    <t xml:space="preserve">   Miscellaneous Expenses</t>
  </si>
  <si>
    <t>401 - 905</t>
  </si>
  <si>
    <t>Customer Service and Information Expense:</t>
  </si>
  <si>
    <t>401 - 907</t>
  </si>
  <si>
    <t xml:space="preserve">   Customer Assistance Expenses</t>
  </si>
  <si>
    <t xml:space="preserve">     Salary</t>
  </si>
  <si>
    <t>401 - 908</t>
  </si>
  <si>
    <t>401 - 908.2</t>
  </si>
  <si>
    <t>401 - 908.3</t>
  </si>
  <si>
    <t>401 - 908.4</t>
  </si>
  <si>
    <t>401 - 908.11</t>
  </si>
  <si>
    <t>401 - 908.12</t>
  </si>
  <si>
    <t>401 - 908.13</t>
  </si>
  <si>
    <t xml:space="preserve">     Conservation Investment Program - SD</t>
  </si>
  <si>
    <t>401 - 908.16</t>
  </si>
  <si>
    <t xml:space="preserve">     Conservation Investment Program - ND</t>
  </si>
  <si>
    <t>401 - 908.17</t>
  </si>
  <si>
    <t xml:space="preserve">     Conservation Investment Program - MN</t>
  </si>
  <si>
    <t>401 - 908.18</t>
  </si>
  <si>
    <t>401 - 908.22</t>
  </si>
  <si>
    <t>401 - 908.23</t>
  </si>
  <si>
    <t xml:space="preserve">     Info &amp; Instr Advertising Expense</t>
  </si>
  <si>
    <t>401 - 909</t>
  </si>
  <si>
    <t xml:space="preserve">     Miscellaneous Expenses</t>
  </si>
  <si>
    <t>401 - 910</t>
  </si>
  <si>
    <t>Sales Expenses:</t>
  </si>
  <si>
    <t xml:space="preserve">   Supervisory Labor and Expenses</t>
  </si>
  <si>
    <t>401 - 911</t>
  </si>
  <si>
    <t xml:space="preserve">   Minnesota Economic Development</t>
  </si>
  <si>
    <t>401 - 912</t>
  </si>
  <si>
    <t xml:space="preserve">   North Dakota Economic Development</t>
  </si>
  <si>
    <t xml:space="preserve">   South Dakota Economic Development</t>
  </si>
  <si>
    <t xml:space="preserve">   Labor - Sales &amp; Demonstrations</t>
  </si>
  <si>
    <t>401 - 912.04</t>
  </si>
  <si>
    <t xml:space="preserve">   Expenses - Sales &amp; Demonstrations</t>
  </si>
  <si>
    <t xml:space="preserve">   Not Used</t>
  </si>
  <si>
    <t>401 - 912.10</t>
  </si>
  <si>
    <t>401 - 912.11 &amp;12</t>
  </si>
  <si>
    <t>401 - 912.13</t>
  </si>
  <si>
    <t>401 - 912.14</t>
  </si>
  <si>
    <t>401 - 912.20</t>
  </si>
  <si>
    <t>401 - 912.21 &amp; .22</t>
  </si>
  <si>
    <t>401 - 912.23</t>
  </si>
  <si>
    <t>401 - 912.24</t>
  </si>
  <si>
    <t>401 - 912.30</t>
  </si>
  <si>
    <t>401 - 912.32</t>
  </si>
  <si>
    <t>401 - 912.33</t>
  </si>
  <si>
    <t>401 - 912.34</t>
  </si>
  <si>
    <t xml:space="preserve">   Advertising</t>
  </si>
  <si>
    <t>401 - 913</t>
  </si>
  <si>
    <t xml:space="preserve">   Communciations Services</t>
  </si>
  <si>
    <t>401 - 916</t>
  </si>
  <si>
    <t>401 - 916.02</t>
  </si>
  <si>
    <t>401 - 916.03</t>
  </si>
  <si>
    <t>401 - 916.04</t>
  </si>
  <si>
    <t>401 - 916.08</t>
  </si>
  <si>
    <t>401 - 916.10</t>
  </si>
  <si>
    <t>401 - 916.11</t>
  </si>
  <si>
    <t>401 - 916.12</t>
  </si>
  <si>
    <t>401 - 916.13</t>
  </si>
  <si>
    <t>401 - 916.20</t>
  </si>
  <si>
    <t>401 - 916.21</t>
  </si>
  <si>
    <t>401 - 916.22</t>
  </si>
  <si>
    <t>401 - 916.23</t>
  </si>
  <si>
    <t>401 - 916.30</t>
  </si>
  <si>
    <t>401 - 916.31</t>
  </si>
  <si>
    <t>401 - 916.32</t>
  </si>
  <si>
    <t>401 - 916.33</t>
  </si>
  <si>
    <t>Operating Expenses - Admin &amp; General:</t>
  </si>
  <si>
    <t xml:space="preserve">   Salaries, Office Supplies &amp; Expenses</t>
  </si>
  <si>
    <t>401 - 920</t>
  </si>
  <si>
    <t xml:space="preserve">   Various Admin &amp; General Expenses</t>
  </si>
  <si>
    <t>401 - 921</t>
  </si>
  <si>
    <t xml:space="preserve">   Capitalized Admin &amp; General Expenses</t>
  </si>
  <si>
    <t>401 - 922</t>
  </si>
  <si>
    <t xml:space="preserve">   Outside Services Employed</t>
  </si>
  <si>
    <t>401 - 923</t>
  </si>
  <si>
    <t xml:space="preserve">   Property Insurance</t>
  </si>
  <si>
    <t>401 - 924</t>
  </si>
  <si>
    <t xml:space="preserve">   Injuries &amp; Damages</t>
  </si>
  <si>
    <t>401 - 925</t>
  </si>
  <si>
    <t xml:space="preserve">   Employee Pensions &amp; Benefits</t>
  </si>
  <si>
    <t>401 - 926</t>
  </si>
  <si>
    <t xml:space="preserve">   Regulatory Commission Expenses</t>
  </si>
  <si>
    <t>401 - 928</t>
  </si>
  <si>
    <t xml:space="preserve">   Miscellaneous General Expenses</t>
  </si>
  <si>
    <t>401 - 930</t>
  </si>
  <si>
    <t xml:space="preserve">   Informational Advertising</t>
  </si>
  <si>
    <t>401 - 930.01</t>
  </si>
  <si>
    <t>401 - 931</t>
  </si>
  <si>
    <t xml:space="preserve">   Maintenance Expenses</t>
  </si>
  <si>
    <t>402 - 935</t>
  </si>
  <si>
    <t>402 - 935.06</t>
  </si>
  <si>
    <t>Subtotal</t>
  </si>
  <si>
    <t>Statement Amounts</t>
  </si>
  <si>
    <t>Less: 930.01 (Included in 930.0)</t>
  </si>
  <si>
    <t>Labor &amp; Travel Expenses</t>
  </si>
  <si>
    <t>Repair Parts&amp; Supplies</t>
  </si>
  <si>
    <t>Maintenance of Load Management Switches</t>
  </si>
  <si>
    <t>Total Operating Expenses - Admin &amp; General</t>
  </si>
  <si>
    <t>Investment Tax Credit</t>
  </si>
  <si>
    <t>Accout 255</t>
  </si>
  <si>
    <t>Current Year ITC Amortization</t>
  </si>
  <si>
    <t xml:space="preserve">North Dakota Wind ITC </t>
  </si>
  <si>
    <t>Account 283 Subtotal</t>
  </si>
  <si>
    <t>Simple Average Calculation</t>
  </si>
  <si>
    <t>Total Utility Accumulated Deferred Income Taxes Per Books</t>
  </si>
  <si>
    <t>Total Steam Power Generation</t>
  </si>
  <si>
    <t>Total Maintenance</t>
  </si>
  <si>
    <t>Total Hydro</t>
  </si>
  <si>
    <t>Total IC</t>
  </si>
  <si>
    <t>Total Other Power Supply Expenses</t>
  </si>
  <si>
    <t>Transmission:</t>
  </si>
  <si>
    <t>Total Distribution Expense</t>
  </si>
  <si>
    <t>Total Customer Accounting</t>
  </si>
  <si>
    <t>Total Customer Service and Information Expense</t>
  </si>
  <si>
    <t>Total Sales Expense</t>
  </si>
  <si>
    <t>Total Other</t>
  </si>
  <si>
    <t>Other:</t>
  </si>
  <si>
    <t>General &amp; Intangible</t>
  </si>
  <si>
    <t>CapX 2020 CWIP 13-Month Average</t>
  </si>
  <si>
    <t>CAPX 2020 Bemidji</t>
  </si>
  <si>
    <t>CAPX 2020 Fargo</t>
  </si>
  <si>
    <t>CAPX 2020 Brookings</t>
  </si>
  <si>
    <t>(103487)</t>
  </si>
  <si>
    <t>(103488)</t>
  </si>
  <si>
    <t>(103489)</t>
  </si>
  <si>
    <t>Operating and Maintenance Expense</t>
  </si>
  <si>
    <t>Net Prefunded AFUDC on CWIP</t>
  </si>
  <si>
    <t>Project</t>
  </si>
  <si>
    <t>Total Transmission O&amp;M for Attachment O</t>
  </si>
  <si>
    <t xml:space="preserve">                  Total Transmission</t>
  </si>
  <si>
    <t xml:space="preserve">                  Less: FERC 575 &amp; 576</t>
  </si>
  <si>
    <t>Administrative &amp; General Expense</t>
  </si>
  <si>
    <t>Administrative &amp; General Expenses</t>
  </si>
  <si>
    <t>FERC Annual Fees:</t>
  </si>
  <si>
    <t>Filing Fees</t>
  </si>
  <si>
    <t>(1)</t>
  </si>
  <si>
    <t>Above the Line Allocation Percentage</t>
  </si>
  <si>
    <t>(2)</t>
  </si>
  <si>
    <t>EPRI &amp; Regulatory Commission Expense &amp; Non-safety Ad:</t>
  </si>
  <si>
    <t>Regulatory Commission Expenses</t>
  </si>
  <si>
    <t>(3)</t>
  </si>
  <si>
    <t>Less: FERC Annual Fees</t>
  </si>
  <si>
    <t>Plus: Informational Advertising</t>
  </si>
  <si>
    <t>External Services - FERC Transmission Legal Fees</t>
  </si>
  <si>
    <t>Total A&amp;G Expenses</t>
  </si>
  <si>
    <t>(2)  Most recent actual year</t>
  </si>
  <si>
    <t>(3)  Exhibit KAS-3 Pages 9-11</t>
  </si>
  <si>
    <t>BU</t>
  </si>
  <si>
    <t>CC</t>
  </si>
  <si>
    <t>Sub</t>
  </si>
  <si>
    <t>Misc</t>
  </si>
  <si>
    <t>100</t>
  </si>
  <si>
    <t>0570</t>
  </si>
  <si>
    <t>5101</t>
  </si>
  <si>
    <t>2500</t>
  </si>
  <si>
    <t>000000</t>
  </si>
  <si>
    <t>030</t>
  </si>
  <si>
    <t>5100</t>
  </si>
  <si>
    <t>1100</t>
  </si>
  <si>
    <t>0690</t>
  </si>
  <si>
    <t>0850</t>
  </si>
  <si>
    <t>Meals</t>
  </si>
  <si>
    <t>2600</t>
  </si>
  <si>
    <t>Travel</t>
  </si>
  <si>
    <t>5103</t>
  </si>
  <si>
    <t>0000</t>
  </si>
  <si>
    <t>External Services</t>
  </si>
  <si>
    <t>0670</t>
  </si>
  <si>
    <t>5110</t>
  </si>
  <si>
    <t>1000</t>
  </si>
  <si>
    <t>Filing Fees and Assessments</t>
  </si>
  <si>
    <t>5106</t>
  </si>
  <si>
    <t>2000</t>
  </si>
  <si>
    <t xml:space="preserve">Total </t>
  </si>
  <si>
    <t>Less: Corporate Amounts</t>
  </si>
  <si>
    <t>Forecast</t>
  </si>
  <si>
    <t>Item</t>
  </si>
  <si>
    <t>Account</t>
  </si>
  <si>
    <t>Sub-Acct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</si>
  <si>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</si>
  <si>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</si>
  <si>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</si>
  <si>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</si>
  <si>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</si>
  <si>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</si>
  <si>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</si>
  <si>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</si>
  <si>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</si>
  <si>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</si>
  <si>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</si>
  <si>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Property Taxes</t>
  </si>
  <si>
    <t>1020 Hoot Lake Plant</t>
  </si>
  <si>
    <t>1100 Big Stone Plant</t>
  </si>
  <si>
    <t>1200 Coyote Plant</t>
  </si>
  <si>
    <t>1200 ND Conversion Tax</t>
  </si>
  <si>
    <t>1310 Hoot Lake Hydro</t>
  </si>
  <si>
    <t>1320 Wright Hydro</t>
  </si>
  <si>
    <t>1330 Pisgah Hydro</t>
  </si>
  <si>
    <t>1340 Dayton Hollow Hydro</t>
  </si>
  <si>
    <t>1350 Taplin Gorge Hydro</t>
  </si>
  <si>
    <t>1380 Bemidji Hydro</t>
  </si>
  <si>
    <t>1400 Jamestown CT</t>
  </si>
  <si>
    <t>1410 Lake Preston CT</t>
  </si>
  <si>
    <t>1430 Fergus Control Center Unit #1</t>
  </si>
  <si>
    <t>1440 Solway Combustion Turbine</t>
  </si>
  <si>
    <t>1600 Langdon</t>
  </si>
  <si>
    <t>1610 Ashtabula</t>
  </si>
  <si>
    <t>1620 Luverne</t>
  </si>
  <si>
    <t>T&amp;D and General Assets</t>
  </si>
  <si>
    <t>CAPX2020</t>
  </si>
  <si>
    <t>Others</t>
  </si>
  <si>
    <t>1980 Central Stores</t>
  </si>
  <si>
    <t>1990 Transportation</t>
  </si>
  <si>
    <t>Non-Utility Property</t>
  </si>
  <si>
    <t>Total Less Non-Utility Property Taxes</t>
  </si>
  <si>
    <t>0360</t>
  </si>
  <si>
    <t>0460</t>
  </si>
  <si>
    <t>Year</t>
  </si>
  <si>
    <t>Acct</t>
  </si>
  <si>
    <t>Acty</t>
  </si>
  <si>
    <t>Proj</t>
  </si>
  <si>
    <t>Co</t>
  </si>
  <si>
    <t>0310</t>
  </si>
  <si>
    <t>5615</t>
  </si>
  <si>
    <t>0320</t>
  </si>
  <si>
    <r>
      <t xml:space="preserve"> Less: </t>
    </r>
    <r>
      <rPr>
        <sz val="10"/>
        <rFont val="Arial"/>
        <family val="2"/>
      </rPr>
      <t>FERC Acct 5615 &amp; 5617</t>
    </r>
  </si>
  <si>
    <t>Total FERC Acct 561</t>
  </si>
  <si>
    <t>Totals</t>
  </si>
  <si>
    <t>(1)  Not included in Attachment O calculation.</t>
  </si>
  <si>
    <t>FERC Account 561</t>
  </si>
  <si>
    <t>Revenues</t>
  </si>
  <si>
    <t>ITA Deficiency Payments</t>
  </si>
  <si>
    <t>Wheeling</t>
  </si>
  <si>
    <t>MISO Tariff Revenue</t>
  </si>
  <si>
    <t>4110</t>
  </si>
  <si>
    <t>4540</t>
  </si>
  <si>
    <t>Rent from Electric Property:</t>
  </si>
  <si>
    <t>Less: Schedule 1 &amp; 2 Revenue</t>
  </si>
  <si>
    <t>Other Electric Revenue:</t>
  </si>
  <si>
    <t>Total Other Electric Revenue</t>
  </si>
  <si>
    <t>Less: Other Plant Related Taxes</t>
  </si>
  <si>
    <t xml:space="preserve">   Total Property Taxes</t>
  </si>
  <si>
    <t>Project (103487)</t>
  </si>
  <si>
    <t>MTEP No. 279</t>
  </si>
  <si>
    <t>Project (103488)</t>
  </si>
  <si>
    <t>MTEP No. 286</t>
  </si>
  <si>
    <t>Project (103489)</t>
  </si>
  <si>
    <t>MTEP No. 1203</t>
  </si>
  <si>
    <t>Project (103897)</t>
  </si>
  <si>
    <t>MTEP No. 1462</t>
  </si>
  <si>
    <t>13-Month Average CWIP and Plant Balances for GG Projects</t>
  </si>
  <si>
    <t>Total Depreciation Expense</t>
  </si>
  <si>
    <t>13-Month Average Accumulated Depreciation and Net Plant for GG Projects</t>
  </si>
  <si>
    <t>13-Month Net Plant Balance</t>
  </si>
  <si>
    <t>13-Month Average A/D</t>
  </si>
  <si>
    <t>Accumulated</t>
  </si>
  <si>
    <t>Depreciation</t>
  </si>
  <si>
    <t>Rugby - G380</t>
  </si>
  <si>
    <t>December 2011</t>
  </si>
  <si>
    <t>January 2012</t>
  </si>
  <si>
    <t>AQCS Big Stone Plant</t>
  </si>
  <si>
    <t>401 - 537 &amp; 538</t>
  </si>
  <si>
    <t>Rents</t>
  </si>
  <si>
    <t>401 - 540</t>
  </si>
  <si>
    <t xml:space="preserve">  Gain on Wahpeton Office</t>
  </si>
  <si>
    <t xml:space="preserve">  Airplane;</t>
  </si>
  <si>
    <t>Average</t>
  </si>
  <si>
    <t>Unsecured Series A 2017 Senior Notes</t>
  </si>
  <si>
    <t>Unsecured Series B 2022 Senior Notes</t>
  </si>
  <si>
    <t>Unsecured Series C 2027 Senior Notes</t>
  </si>
  <si>
    <t>Series D 2037 Unsecured Senior Notes</t>
  </si>
  <si>
    <t>New 2011 December Debt/2021</t>
  </si>
  <si>
    <t>Dividend Series</t>
  </si>
  <si>
    <t>Formerly $3.60 Dividend Series, 60,000 shares</t>
  </si>
  <si>
    <t>Formerly $4.40 Dividend Series, 25,000 shares</t>
  </si>
  <si>
    <t>Formerly $4.65 Dividend Series, 30,000 shares</t>
  </si>
  <si>
    <t>Formerly $6.75 Dividend Series, 40,000 shares</t>
  </si>
  <si>
    <t>Total Dividend Series</t>
  </si>
  <si>
    <t>Loss/Gain on Reacquired Debt</t>
  </si>
  <si>
    <t xml:space="preserve">Less:  </t>
  </si>
  <si>
    <t>Schedule 26</t>
  </si>
  <si>
    <t>Total Other Electric Revenue w/o Wheeling &amp; Sch 26</t>
  </si>
  <si>
    <t>General &amp;</t>
  </si>
  <si>
    <t>(1)  See Detail below</t>
  </si>
  <si>
    <t>0760</t>
  </si>
  <si>
    <t>0100</t>
  </si>
  <si>
    <t>Remove Loss/Gain on Reacquired Debt</t>
  </si>
  <si>
    <t>Other Operating Revenues</t>
  </si>
  <si>
    <t>Otter Tail Power</t>
  </si>
  <si>
    <t>Code</t>
  </si>
  <si>
    <t>4045.0000.4560</t>
  </si>
  <si>
    <t>Other Power Supply Rev / Misc MISO Trans Rev</t>
  </si>
  <si>
    <t>4045.0010.4560</t>
  </si>
  <si>
    <t>Other Power Supply Rev / MISO Trans Rev Sched 1</t>
  </si>
  <si>
    <t>4045.0020.4560</t>
  </si>
  <si>
    <t>Other Power Supply Rev / MISO Trans Rev Sched 2</t>
  </si>
  <si>
    <t>4045.0070.4560</t>
  </si>
  <si>
    <t>Other Power Supply Rev / MISO Trans Rev Sched 7</t>
  </si>
  <si>
    <t>4045.0080.4560</t>
  </si>
  <si>
    <t>Other Power Supply Rev / MISO Trans Rev Sched 8</t>
  </si>
  <si>
    <t>4045.0240.4560</t>
  </si>
  <si>
    <t>Other Power Supply Rev / MISO Trans Rev Sched 24</t>
  </si>
  <si>
    <t>4045.0260.4560</t>
  </si>
  <si>
    <t>Other Power Supply Rev / MISO Trans Rev Sched 26</t>
  </si>
  <si>
    <t>BSS - Brookings</t>
  </si>
  <si>
    <t>BSS - Ellendale</t>
  </si>
  <si>
    <t>MTEP No. 2220</t>
  </si>
  <si>
    <t>MTEP No. 2221</t>
  </si>
  <si>
    <t>For the 13 Months Ended December 31, 2013</t>
  </si>
  <si>
    <t>2013 Simple Average Calculation</t>
  </si>
  <si>
    <t>Budget Year 2013</t>
  </si>
  <si>
    <t>Budget Year Ending December 31, 2013</t>
  </si>
  <si>
    <t>Average Thirteen Monthly Balances Year Ending December 31, 2013</t>
  </si>
  <si>
    <t>2013 Budget for MISO Tariff Revenue</t>
  </si>
  <si>
    <t xml:space="preserve"> 12 Month Ended 12/31/13</t>
  </si>
  <si>
    <t>0880</t>
  </si>
  <si>
    <t>Budget 2013</t>
  </si>
  <si>
    <t>0200</t>
  </si>
  <si>
    <t>4000</t>
  </si>
  <si>
    <t>0620</t>
  </si>
  <si>
    <t>MN Capacitor Bank</t>
  </si>
  <si>
    <t>ND Transmission</t>
  </si>
  <si>
    <t>0260</t>
  </si>
  <si>
    <t>0300</t>
  </si>
  <si>
    <t>0480</t>
  </si>
  <si>
    <t>Casselton-Buffalo 115kv Line</t>
  </si>
  <si>
    <t>Project (104761)</t>
  </si>
  <si>
    <t>December 2012</t>
  </si>
  <si>
    <t>January 2013</t>
  </si>
  <si>
    <t>Schedule 26a</t>
  </si>
  <si>
    <t>4045.0265.4560</t>
  </si>
  <si>
    <t>Other Power Supply Rev / MISO Trans Rev Sched 26a</t>
  </si>
  <si>
    <t>MTEP No. 3481</t>
  </si>
  <si>
    <t>13-Month Average CWIP and Plant Balances for MM Projects</t>
  </si>
  <si>
    <t>Accumulated Depreciation</t>
  </si>
  <si>
    <t>Project (104593)</t>
  </si>
  <si>
    <t>Project (See Below)</t>
  </si>
  <si>
    <t>MTEP 1203 - CAPX Brookings consists of numerous Internal Project #'s.</t>
  </si>
  <si>
    <t>MTEP 2221 - BSS- Brookings consists of Internal Project #'s 104393 &amp; 104829.</t>
  </si>
  <si>
    <t>MTEP 286 - CAPX Fargo consists of numerous Internal Project #'s.</t>
  </si>
  <si>
    <t>Year 2013</t>
  </si>
  <si>
    <t>MTEP No. 3156</t>
  </si>
  <si>
    <t>Project (104395 &amp; 104587)</t>
  </si>
  <si>
    <t>Project 103487</t>
  </si>
  <si>
    <t>Project 104395 &amp; 104587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</si>
</sst>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mm/dd/yy_)"/>
    <numFmt numFmtId="167" formatCode="hh:mm\ AM/PM_)"/>
    <numFmt numFmtId="168" formatCode="dd\-mmm\-yy_)"/>
    <numFmt numFmtId="169" formatCode="#,##0;\-#,##0;&quot;-&quot;"/>
    <numFmt numFmtId="170" formatCode="#,##0.00&quot;£&quot;_);\(#,##0.00&quot;£&quot;\)"/>
    <numFmt numFmtId="171" formatCode="mm/dd/yy"/>
    <numFmt numFmtId="172" formatCode="0.000%"/>
    <numFmt numFmtId="173" formatCode="0.000000_)"/>
    <numFmt numFmtId="174" formatCode="0_)"/>
    <numFmt numFmtId="175" formatCode="_(&quot;$&quot;* #,##0_);_(&quot;$&quot;* \(#,##0\);_(&quot;$&quot;* &quot;-&quot;??_);_(@_)"/>
    <numFmt numFmtId="176" formatCode="#,##0_);[Red]\(#,##0\);&quot; &quot;"/>
  </numFmts>
  <fonts count="76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b/>
      <sz val="10"/>
      <name val="Arial MT"/>
    </font>
    <font>
      <sz val="10"/>
      <name val="Arial MT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color indexed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0"/>
      <color indexed="8"/>
      <name val="Arial"/>
      <family val="2"/>
    </font>
    <font>
      <b/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MT"/>
    </font>
    <font>
      <sz val="12"/>
      <color indexed="8"/>
      <name val="Arial"/>
      <family val="2"/>
    </font>
    <font>
      <sz val="12"/>
      <color indexed="8"/>
      <name val="Arial MT"/>
    </font>
    <font>
      <b/>
      <sz val="12"/>
      <color indexed="8"/>
      <name val="TimesNewRomanPS"/>
    </font>
    <font>
      <sz val="12"/>
      <color indexed="8"/>
      <name val="TimesNewRomanPS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C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3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7">
    <xf numFmtId="0" fontId="0" fillId="0" borderId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4" borderId="0" applyNumberFormat="0" applyBorder="0" applyAlignment="0" applyProtection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36" fillId="6" borderId="0" applyNumberFormat="0" applyBorder="0" applyAlignment="0" applyProtection="0"/>
    <xf numFmtId="0" fontId="14" fillId="0" borderId="1">
      <alignment horizontal="right"/>
    </xf>
    <xf numFmtId="169" fontId="12" fillId="0" borderId="0" applyFill="0" applyBorder="0" applyAlignment="0"/>
    <xf numFmtId="0" fontId="37" fillId="16" borderId="2" applyNumberFormat="0" applyAlignment="0" applyProtection="0"/>
    <xf numFmtId="0" fontId="38" fillId="17" borderId="3" applyNumberFormat="0" applyAlignment="0" applyProtection="0"/>
    <xf numFmtId="43" fontId="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 applyNumberFormat="0" applyAlignment="0">
      <alignment horizontal="left"/>
    </xf>
    <xf numFmtId="0" fontId="14" fillId="0" borderId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3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9" fillId="0" borderId="0" applyNumberFormat="0" applyAlignment="0">
      <alignment horizontal="left"/>
    </xf>
    <xf numFmtId="0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38" fontId="20" fillId="18" borderId="0" applyNumberFormat="0" applyBorder="0" applyAlignment="0" applyProtection="0"/>
    <xf numFmtId="0" fontId="21" fillId="0" borderId="4" applyNumberFormat="0" applyAlignment="0" applyProtection="0">
      <alignment horizontal="left" vertical="center"/>
    </xf>
    <xf numFmtId="0" fontId="21" fillId="0" borderId="5">
      <alignment horizontal="left" vertical="center"/>
    </xf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10" fontId="20" fillId="19" borderId="9" applyNumberFormat="0" applyBorder="0" applyAlignment="0" applyProtection="0"/>
    <xf numFmtId="0" fontId="44" fillId="9" borderId="2" applyNumberFormat="0" applyAlignment="0" applyProtection="0"/>
    <xf numFmtId="0" fontId="45" fillId="0" borderId="10" applyNumberFormat="0" applyFill="0" applyAlignment="0" applyProtection="0"/>
    <xf numFmtId="0" fontId="46" fillId="9" borderId="0" applyNumberFormat="0" applyBorder="0" applyAlignment="0" applyProtection="0"/>
    <xf numFmtId="170" fontId="13" fillId="0" borderId="0"/>
    <xf numFmtId="17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0" fontId="15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2" fillId="0" borderId="0"/>
    <xf numFmtId="0" fontId="10" fillId="0" borderId="0"/>
    <xf numFmtId="0" fontId="15" fillId="0" borderId="0"/>
    <xf numFmtId="0" fontId="5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9" fontId="6" fillId="0" borderId="0"/>
    <xf numFmtId="39" fontId="6" fillId="0" borderId="0"/>
    <xf numFmtId="0" fontId="15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39" fontId="6" fillId="0" borderId="0"/>
    <xf numFmtId="0" fontId="15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10" fillId="0" borderId="0"/>
    <xf numFmtId="0" fontId="15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39" fontId="6" fillId="0" borderId="0"/>
    <xf numFmtId="0" fontId="10" fillId="0" borderId="0"/>
    <xf numFmtId="39" fontId="6" fillId="0" borderId="0"/>
    <xf numFmtId="0" fontId="10" fillId="0" borderId="0"/>
    <xf numFmtId="39" fontId="6" fillId="0" borderId="0"/>
    <xf numFmtId="0" fontId="10" fillId="0" borderId="0"/>
    <xf numFmtId="39" fontId="6" fillId="0" borderId="0"/>
    <xf numFmtId="0" fontId="10" fillId="0" borderId="0"/>
    <xf numFmtId="0" fontId="10" fillId="0" borderId="0"/>
    <xf numFmtId="39" fontId="6" fillId="0" borderId="0"/>
    <xf numFmtId="0" fontId="10" fillId="0" borderId="0"/>
    <xf numFmtId="39" fontId="6" fillId="0" borderId="0"/>
    <xf numFmtId="0" fontId="10" fillId="0" borderId="0"/>
    <xf numFmtId="39" fontId="6" fillId="0" borderId="0"/>
    <xf numFmtId="0" fontId="10" fillId="0" borderId="0"/>
    <xf numFmtId="39" fontId="6" fillId="0" borderId="0"/>
    <xf numFmtId="0" fontId="10" fillId="0" borderId="0"/>
    <xf numFmtId="39" fontId="6" fillId="0" borderId="0"/>
    <xf numFmtId="0" fontId="10" fillId="0" borderId="0"/>
    <xf numFmtId="39" fontId="6" fillId="0" borderId="0"/>
    <xf numFmtId="0" fontId="10" fillId="0" borderId="0"/>
    <xf numFmtId="39" fontId="6" fillId="0" borderId="0"/>
    <xf numFmtId="0" fontId="10" fillId="0" borderId="0"/>
    <xf numFmtId="39" fontId="6" fillId="0" borderId="0"/>
    <xf numFmtId="0" fontId="10" fillId="0" borderId="0"/>
    <xf numFmtId="39" fontId="6" fillId="0" borderId="0"/>
    <xf numFmtId="0" fontId="10" fillId="0" borderId="0"/>
    <xf numFmtId="0" fontId="53" fillId="0" borderId="0"/>
    <xf numFmtId="0" fontId="10" fillId="0" borderId="0"/>
    <xf numFmtId="39" fontId="6" fillId="0" borderId="0"/>
    <xf numFmtId="0" fontId="10" fillId="0" borderId="0"/>
    <xf numFmtId="39" fontId="6" fillId="0" borderId="0"/>
    <xf numFmtId="0" fontId="10" fillId="0" borderId="0"/>
    <xf numFmtId="39" fontId="6" fillId="0" borderId="0"/>
    <xf numFmtId="0" fontId="10" fillId="0" borderId="0"/>
    <xf numFmtId="39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5" borderId="11" applyNumberFormat="0" applyFont="0" applyAlignment="0" applyProtection="0"/>
    <xf numFmtId="0" fontId="15" fillId="5" borderId="11" applyNumberFormat="0" applyFont="0" applyAlignment="0" applyProtection="0"/>
    <xf numFmtId="0" fontId="15" fillId="5" borderId="11" applyNumberFormat="0" applyFont="0" applyAlignment="0" applyProtection="0"/>
    <xf numFmtId="0" fontId="47" fillId="16" borderId="12" applyNumberFormat="0" applyAlignment="0" applyProtection="0"/>
    <xf numFmtId="9" fontId="6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1" fontId="22" fillId="0" borderId="0" applyNumberFormat="0" applyFill="0" applyBorder="0" applyAlignment="0" applyProtection="0">
      <alignment horizontal="left"/>
    </xf>
    <xf numFmtId="40" fontId="23" fillId="0" borderId="0" applyBorder="0">
      <alignment horizontal="right"/>
    </xf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8" applyNumberFormat="0" applyFill="0" applyAlignment="0" applyProtection="0"/>
    <xf numFmtId="0" fontId="60" fillId="0" borderId="69" applyNumberFormat="0" applyFill="0" applyAlignment="0" applyProtection="0"/>
    <xf numFmtId="0" fontId="61" fillId="0" borderId="70" applyNumberFormat="0" applyFill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71" applyNumberFormat="0" applyAlignment="0" applyProtection="0"/>
    <xf numFmtId="0" fontId="66" fillId="26" borderId="72" applyNumberFormat="0" applyAlignment="0" applyProtection="0"/>
    <xf numFmtId="0" fontId="67" fillId="26" borderId="71" applyNumberFormat="0" applyAlignment="0" applyProtection="0"/>
    <xf numFmtId="0" fontId="68" fillId="0" borderId="73" applyNumberFormat="0" applyFill="0" applyAlignment="0" applyProtection="0"/>
    <xf numFmtId="0" fontId="69" fillId="27" borderId="7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6" applyNumberFormat="0" applyFill="0" applyAlignment="0" applyProtection="0"/>
    <xf numFmtId="0" fontId="73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73" fillId="52" borderId="0" applyNumberFormat="0" applyBorder="0" applyAlignment="0" applyProtection="0"/>
    <xf numFmtId="0" fontId="5" fillId="0" borderId="0"/>
    <xf numFmtId="0" fontId="5" fillId="0" borderId="0"/>
    <xf numFmtId="0" fontId="5" fillId="28" borderId="75" applyNumberFormat="0" applyFont="0" applyAlignment="0" applyProtection="0"/>
    <xf numFmtId="0" fontId="5" fillId="0" borderId="0"/>
    <xf numFmtId="0" fontId="4" fillId="0" borderId="0"/>
    <xf numFmtId="0" fontId="4" fillId="0" borderId="0"/>
    <xf numFmtId="0" fontId="4" fillId="28" borderId="75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28" borderId="75" applyNumberFormat="0" applyFon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2" fillId="0" borderId="0"/>
    <xf numFmtId="0" fontId="2" fillId="0" borderId="0"/>
    <xf numFmtId="0" fontId="2" fillId="28" borderId="75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1" fillId="0" borderId="0"/>
    <xf numFmtId="0" fontId="1" fillId="28" borderId="75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</cellStyleXfs>
  <cellXfs count="884">
    <xf numFmtId="0" fontId="0" fillId="0" borderId="0" xfId="0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6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7" fontId="8" fillId="0" borderId="22" xfId="0" quotePrefix="1" applyNumberFormat="1" applyFont="1" applyBorder="1"/>
    <xf numFmtId="164" fontId="8" fillId="0" borderId="0" xfId="30" applyNumberFormat="1" applyFont="1" applyBorder="1"/>
    <xf numFmtId="164" fontId="8" fillId="0" borderId="0" xfId="30" applyNumberFormat="1" applyFont="1"/>
    <xf numFmtId="164" fontId="8" fillId="0" borderId="23" xfId="30" applyNumberFormat="1" applyFont="1" applyBorder="1"/>
    <xf numFmtId="0" fontId="8" fillId="0" borderId="24" xfId="0" applyFont="1" applyBorder="1" applyAlignment="1">
      <alignment horizontal="center"/>
    </xf>
    <xf numFmtId="0" fontId="8" fillId="0" borderId="22" xfId="0" quotePrefix="1" applyFont="1" applyBorder="1"/>
    <xf numFmtId="0" fontId="8" fillId="0" borderId="22" xfId="0" applyFont="1" applyBorder="1"/>
    <xf numFmtId="164" fontId="8" fillId="0" borderId="16" xfId="30" applyNumberFormat="1" applyFont="1" applyBorder="1"/>
    <xf numFmtId="164" fontId="8" fillId="0" borderId="17" xfId="30" applyNumberFormat="1" applyFont="1" applyBorder="1"/>
    <xf numFmtId="0" fontId="8" fillId="0" borderId="19" xfId="0" applyFont="1" applyBorder="1"/>
    <xf numFmtId="164" fontId="8" fillId="0" borderId="20" xfId="30" applyNumberFormat="1" applyFont="1" applyBorder="1"/>
    <xf numFmtId="164" fontId="8" fillId="0" borderId="21" xfId="30" applyNumberFormat="1" applyFont="1" applyBorder="1"/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7" fillId="0" borderId="0" xfId="189" applyFont="1" applyAlignment="1">
      <alignment horizontal="center"/>
    </xf>
    <xf numFmtId="0" fontId="27" fillId="0" borderId="0" xfId="189" applyFont="1" applyProtection="1">
      <protection locked="0"/>
    </xf>
    <xf numFmtId="0" fontId="27" fillId="0" borderId="0" xfId="189" applyFont="1"/>
    <xf numFmtId="0" fontId="13" fillId="0" borderId="0" xfId="189" applyFont="1"/>
    <xf numFmtId="166" fontId="27" fillId="0" borderId="0" xfId="189" applyNumberFormat="1" applyFont="1" applyAlignment="1" applyProtection="1">
      <alignment horizontal="left"/>
      <protection locked="0"/>
    </xf>
    <xf numFmtId="0" fontId="27" fillId="0" borderId="0" xfId="189" applyFont="1" applyBorder="1" applyProtection="1">
      <protection locked="0"/>
    </xf>
    <xf numFmtId="0" fontId="27" fillId="0" borderId="0" xfId="189" applyFont="1" applyBorder="1"/>
    <xf numFmtId="0" fontId="28" fillId="0" borderId="25" xfId="189" applyFont="1" applyBorder="1"/>
    <xf numFmtId="0" fontId="27" fillId="0" borderId="26" xfId="189" applyFont="1" applyBorder="1" applyAlignment="1">
      <alignment horizontal="center"/>
    </xf>
    <xf numFmtId="0" fontId="27" fillId="0" borderId="27" xfId="189" applyFont="1" applyBorder="1"/>
    <xf numFmtId="0" fontId="27" fillId="0" borderId="28" xfId="189" applyFont="1" applyBorder="1" applyAlignment="1">
      <alignment horizontal="center"/>
    </xf>
    <xf numFmtId="37" fontId="27" fillId="0" borderId="27" xfId="189" applyNumberFormat="1" applyFont="1" applyBorder="1" applyProtection="1">
      <protection locked="0"/>
    </xf>
    <xf numFmtId="0" fontId="27" fillId="0" borderId="29" xfId="189" applyFont="1" applyBorder="1"/>
    <xf numFmtId="37" fontId="27" fillId="0" borderId="0" xfId="189" applyNumberFormat="1" applyFont="1" applyProtection="1"/>
    <xf numFmtId="0" fontId="27" fillId="0" borderId="0" xfId="189" applyFont="1" applyFill="1"/>
    <xf numFmtId="164" fontId="27" fillId="0" borderId="0" xfId="35" applyNumberFormat="1" applyFont="1" applyBorder="1"/>
    <xf numFmtId="164" fontId="27" fillId="0" borderId="0" xfId="189" applyNumberFormat="1" applyFont="1" applyBorder="1"/>
    <xf numFmtId="14" fontId="28" fillId="0" borderId="25" xfId="189" applyNumberFormat="1" applyFont="1" applyBorder="1" applyAlignment="1" applyProtection="1">
      <alignment horizontal="center"/>
      <protection locked="0"/>
    </xf>
    <xf numFmtId="0" fontId="27" fillId="0" borderId="0" xfId="189" applyFont="1" applyAlignment="1"/>
    <xf numFmtId="0" fontId="27" fillId="0" borderId="1" xfId="189" applyFont="1" applyBorder="1" applyAlignment="1">
      <alignment horizontal="center"/>
    </xf>
    <xf numFmtId="0" fontId="28" fillId="0" borderId="25" xfId="189" applyFont="1" applyBorder="1" applyAlignment="1" applyProtection="1">
      <alignment horizontal="center"/>
      <protection locked="0"/>
    </xf>
    <xf numFmtId="0" fontId="27" fillId="0" borderId="0" xfId="202" applyFont="1" applyAlignment="1">
      <alignment horizontal="center"/>
    </xf>
    <xf numFmtId="0" fontId="27" fillId="0" borderId="0" xfId="202" applyFont="1"/>
    <xf numFmtId="0" fontId="27" fillId="0" borderId="0" xfId="202" applyFont="1" applyAlignment="1">
      <alignment horizontal="right"/>
    </xf>
    <xf numFmtId="0" fontId="27" fillId="0" borderId="0" xfId="202" applyFont="1" applyAlignment="1" applyProtection="1">
      <alignment horizontal="right"/>
    </xf>
    <xf numFmtId="168" fontId="27" fillId="0" borderId="0" xfId="202" applyNumberFormat="1" applyFont="1" applyAlignment="1" applyProtection="1">
      <alignment horizontal="left"/>
    </xf>
    <xf numFmtId="0" fontId="27" fillId="0" borderId="0" xfId="202" applyFont="1" applyFill="1" applyAlignment="1">
      <alignment horizontal="center"/>
    </xf>
    <xf numFmtId="0" fontId="27" fillId="0" borderId="0" xfId="202" applyFont="1" applyFill="1"/>
    <xf numFmtId="0" fontId="28" fillId="0" borderId="0" xfId="202" applyFont="1"/>
    <xf numFmtId="0" fontId="27" fillId="0" borderId="1" xfId="202" applyFont="1" applyBorder="1"/>
    <xf numFmtId="0" fontId="27" fillId="0" borderId="1" xfId="202" applyFont="1" applyFill="1" applyBorder="1" applyAlignment="1">
      <alignment horizontal="center"/>
    </xf>
    <xf numFmtId="0" fontId="27" fillId="0" borderId="30" xfId="202" applyFont="1" applyBorder="1" applyAlignment="1">
      <alignment horizontal="center" wrapText="1"/>
    </xf>
    <xf numFmtId="0" fontId="27" fillId="0" borderId="26" xfId="202" applyFont="1" applyBorder="1" applyAlignment="1">
      <alignment horizontal="center"/>
    </xf>
    <xf numFmtId="0" fontId="27" fillId="0" borderId="28" xfId="202" applyFont="1" applyBorder="1" applyAlignment="1">
      <alignment horizontal="center"/>
    </xf>
    <xf numFmtId="0" fontId="28" fillId="0" borderId="0" xfId="202" applyFont="1" applyFill="1"/>
    <xf numFmtId="37" fontId="27" fillId="0" borderId="0" xfId="202" applyNumberFormat="1" applyFont="1"/>
    <xf numFmtId="0" fontId="27" fillId="0" borderId="29" xfId="202" applyFont="1" applyBorder="1"/>
    <xf numFmtId="0" fontId="27" fillId="0" borderId="31" xfId="202" applyFont="1" applyBorder="1" applyAlignment="1">
      <alignment horizontal="center"/>
    </xf>
    <xf numFmtId="0" fontId="27" fillId="0" borderId="0" xfId="202" applyFont="1" applyBorder="1" applyAlignment="1">
      <alignment horizontal="center"/>
    </xf>
    <xf numFmtId="0" fontId="11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Protection="1">
      <protection locked="0"/>
    </xf>
    <xf numFmtId="0" fontId="27" fillId="0" borderId="0" xfId="0" applyFont="1"/>
    <xf numFmtId="0" fontId="27" fillId="0" borderId="0" xfId="0" applyFont="1" applyAlignment="1" applyProtection="1">
      <alignment horizontal="right"/>
      <protection locked="0"/>
    </xf>
    <xf numFmtId="168" fontId="27" fillId="0" borderId="0" xfId="0" applyNumberFormat="1" applyFont="1" applyAlignment="1" applyProtection="1">
      <alignment horizontal="left"/>
      <protection locked="0"/>
    </xf>
    <xf numFmtId="0" fontId="27" fillId="0" borderId="0" xfId="0" applyFont="1" applyFill="1"/>
    <xf numFmtId="0" fontId="27" fillId="0" borderId="0" xfId="0" applyFont="1" applyAlignment="1" applyProtection="1">
      <alignment horizontal="centerContinuous"/>
      <protection locked="0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/>
    <xf numFmtId="0" fontId="27" fillId="0" borderId="0" xfId="0" applyFont="1" applyAlignment="1" applyProtection="1">
      <alignment horizontal="center"/>
    </xf>
    <xf numFmtId="0" fontId="27" fillId="0" borderId="9" xfId="0" applyFont="1" applyBorder="1" applyAlignment="1">
      <alignment horizontal="center" wrapText="1"/>
    </xf>
    <xf numFmtId="0" fontId="28" fillId="0" borderId="32" xfId="0" applyFont="1" applyBorder="1" applyProtection="1">
      <protection locked="0"/>
    </xf>
    <xf numFmtId="0" fontId="28" fillId="0" borderId="5" xfId="0" applyFont="1" applyFill="1" applyBorder="1" applyAlignment="1" applyProtection="1">
      <alignment horizontal="center"/>
      <protection locked="0"/>
    </xf>
    <xf numFmtId="0" fontId="28" fillId="0" borderId="33" xfId="0" applyFont="1" applyFill="1" applyBorder="1" applyAlignment="1" applyProtection="1">
      <alignment horizontal="center"/>
      <protection locked="0"/>
    </xf>
    <xf numFmtId="0" fontId="27" fillId="0" borderId="24" xfId="0" applyFont="1" applyBorder="1" applyAlignment="1">
      <alignment horizontal="center"/>
    </xf>
    <xf numFmtId="0" fontId="28" fillId="0" borderId="22" xfId="0" applyFont="1" applyBorder="1" applyProtection="1">
      <protection locked="0"/>
    </xf>
    <xf numFmtId="0" fontId="27" fillId="0" borderId="0" xfId="0" applyFont="1" applyFill="1" applyBorder="1"/>
    <xf numFmtId="0" fontId="27" fillId="0" borderId="23" xfId="0" applyFont="1" applyFill="1" applyBorder="1"/>
    <xf numFmtId="0" fontId="27" fillId="0" borderId="22" xfId="0" applyFont="1" applyBorder="1" applyProtection="1">
      <protection locked="0"/>
    </xf>
    <xf numFmtId="37" fontId="29" fillId="20" borderId="0" xfId="0" applyNumberFormat="1" applyFont="1" applyFill="1" applyProtection="1">
      <protection locked="0"/>
    </xf>
    <xf numFmtId="37" fontId="27" fillId="0" borderId="23" xfId="0" applyNumberFormat="1" applyFont="1" applyFill="1" applyBorder="1" applyProtection="1">
      <protection locked="0"/>
    </xf>
    <xf numFmtId="37" fontId="29" fillId="20" borderId="1" xfId="0" applyNumberFormat="1" applyFont="1" applyFill="1" applyBorder="1" applyProtection="1">
      <protection locked="0"/>
    </xf>
    <xf numFmtId="37" fontId="27" fillId="0" borderId="21" xfId="0" applyNumberFormat="1" applyFont="1" applyFill="1" applyBorder="1" applyProtection="1"/>
    <xf numFmtId="37" fontId="28" fillId="0" borderId="0" xfId="0" applyNumberFormat="1" applyFont="1" applyFill="1" applyBorder="1" applyProtection="1">
      <protection locked="0"/>
    </xf>
    <xf numFmtId="0" fontId="27" fillId="0" borderId="22" xfId="0" applyFont="1" applyBorder="1"/>
    <xf numFmtId="37" fontId="27" fillId="0" borderId="0" xfId="0" applyNumberFormat="1" applyFont="1" applyFill="1" applyBorder="1" applyProtection="1"/>
    <xf numFmtId="37" fontId="27" fillId="0" borderId="23" xfId="0" applyNumberFormat="1" applyFont="1" applyFill="1" applyBorder="1" applyProtection="1"/>
    <xf numFmtId="37" fontId="29" fillId="20" borderId="0" xfId="0" applyNumberFormat="1" applyFont="1" applyFill="1" applyBorder="1" applyProtection="1">
      <protection locked="0"/>
    </xf>
    <xf numFmtId="37" fontId="27" fillId="0" borderId="0" xfId="0" applyNumberFormat="1" applyFont="1" applyFill="1" applyBorder="1" applyProtection="1">
      <protection locked="0"/>
    </xf>
    <xf numFmtId="37" fontId="27" fillId="0" borderId="1" xfId="0" applyNumberFormat="1" applyFont="1" applyFill="1" applyBorder="1" applyProtection="1">
      <protection locked="0"/>
    </xf>
    <xf numFmtId="37" fontId="27" fillId="0" borderId="34" xfId="0" applyNumberFormat="1" applyFont="1" applyFill="1" applyBorder="1" applyProtection="1">
      <protection locked="0"/>
    </xf>
    <xf numFmtId="37" fontId="27" fillId="0" borderId="1" xfId="0" applyNumberFormat="1" applyFont="1" applyFill="1" applyBorder="1" applyProtection="1"/>
    <xf numFmtId="0" fontId="27" fillId="0" borderId="18" xfId="0" applyFont="1" applyBorder="1" applyAlignment="1">
      <alignment horizontal="center"/>
    </xf>
    <xf numFmtId="0" fontId="27" fillId="0" borderId="19" xfId="0" applyFont="1" applyBorder="1" applyProtection="1">
      <protection locked="0"/>
    </xf>
    <xf numFmtId="37" fontId="27" fillId="0" borderId="20" xfId="0" applyNumberFormat="1" applyFont="1" applyFill="1" applyBorder="1" applyProtection="1"/>
    <xf numFmtId="37" fontId="27" fillId="0" borderId="21" xfId="0" applyNumberFormat="1" applyFont="1" applyFill="1" applyBorder="1" applyProtection="1">
      <protection locked="0"/>
    </xf>
    <xf numFmtId="37" fontId="27" fillId="0" borderId="0" xfId="0" applyNumberFormat="1" applyFont="1"/>
    <xf numFmtId="0" fontId="27" fillId="0" borderId="14" xfId="189" applyFont="1" applyBorder="1" applyAlignment="1">
      <alignment horizontal="center"/>
    </xf>
    <xf numFmtId="0" fontId="27" fillId="0" borderId="18" xfId="189" applyFont="1" applyBorder="1" applyAlignment="1">
      <alignment horizontal="center"/>
    </xf>
    <xf numFmtId="0" fontId="27" fillId="0" borderId="24" xfId="189" applyFont="1" applyBorder="1" applyAlignment="1">
      <alignment horizontal="center"/>
    </xf>
    <xf numFmtId="0" fontId="27" fillId="0" borderId="0" xfId="189" applyFont="1" applyAlignment="1" applyProtection="1">
      <alignment horizontal="right"/>
      <protection locked="0"/>
    </xf>
    <xf numFmtId="168" fontId="27" fillId="0" borderId="0" xfId="189" applyNumberFormat="1" applyFont="1" applyAlignment="1" applyProtection="1">
      <alignment horizontal="left"/>
      <protection locked="0"/>
    </xf>
    <xf numFmtId="0" fontId="27" fillId="0" borderId="0" xfId="189" applyFont="1" applyAlignment="1" applyProtection="1">
      <alignment horizontal="center"/>
    </xf>
    <xf numFmtId="0" fontId="27" fillId="0" borderId="0" xfId="189" applyFont="1" applyFill="1" applyAlignment="1">
      <alignment horizontal="center"/>
    </xf>
    <xf numFmtId="0" fontId="27" fillId="0" borderId="35" xfId="189" applyFont="1" applyBorder="1"/>
    <xf numFmtId="0" fontId="27" fillId="0" borderId="26" xfId="189" applyFont="1" applyFill="1" applyBorder="1"/>
    <xf numFmtId="0" fontId="27" fillId="0" borderId="31" xfId="189" applyFont="1" applyBorder="1" applyAlignment="1">
      <alignment horizontal="center" wrapText="1"/>
    </xf>
    <xf numFmtId="0" fontId="28" fillId="0" borderId="36" xfId="189" applyFont="1" applyBorder="1" applyAlignment="1" applyProtection="1">
      <alignment wrapText="1"/>
      <protection locked="0"/>
    </xf>
    <xf numFmtId="0" fontId="28" fillId="0" borderId="31" xfId="189" applyFont="1" applyFill="1" applyBorder="1" applyAlignment="1" applyProtection="1">
      <alignment horizontal="center" wrapText="1"/>
      <protection locked="0"/>
    </xf>
    <xf numFmtId="0" fontId="27" fillId="0" borderId="35" xfId="189" applyFont="1" applyBorder="1" applyProtection="1">
      <protection locked="0"/>
    </xf>
    <xf numFmtId="0" fontId="27" fillId="0" borderId="26" xfId="189" applyFont="1" applyFill="1" applyBorder="1" applyProtection="1">
      <protection locked="0"/>
    </xf>
    <xf numFmtId="37" fontId="27" fillId="0" borderId="28" xfId="189" applyNumberFormat="1" applyFont="1" applyFill="1" applyBorder="1" applyProtection="1">
      <protection locked="0"/>
    </xf>
    <xf numFmtId="10" fontId="27" fillId="0" borderId="28" xfId="189" applyNumberFormat="1" applyFont="1" applyFill="1" applyBorder="1" applyProtection="1">
      <protection locked="0"/>
    </xf>
    <xf numFmtId="37" fontId="27" fillId="0" borderId="28" xfId="189" applyNumberFormat="1" applyFont="1" applyFill="1" applyBorder="1" applyProtection="1"/>
    <xf numFmtId="10" fontId="27" fillId="0" borderId="28" xfId="189" applyNumberFormat="1" applyFont="1" applyFill="1" applyBorder="1" applyProtection="1"/>
    <xf numFmtId="0" fontId="27" fillId="0" borderId="28" xfId="189" applyFont="1" applyFill="1" applyBorder="1"/>
    <xf numFmtId="37" fontId="27" fillId="0" borderId="26" xfId="189" applyNumberFormat="1" applyFont="1" applyFill="1" applyBorder="1" applyProtection="1">
      <protection locked="0"/>
    </xf>
    <xf numFmtId="10" fontId="27" fillId="0" borderId="37" xfId="189" applyNumberFormat="1" applyFont="1" applyFill="1" applyBorder="1" applyProtection="1">
      <protection locked="0"/>
    </xf>
    <xf numFmtId="0" fontId="27" fillId="0" borderId="31" xfId="189" applyFont="1" applyBorder="1" applyAlignment="1">
      <alignment horizontal="center"/>
    </xf>
    <xf numFmtId="0" fontId="27" fillId="0" borderId="36" xfId="189" applyFont="1" applyBorder="1"/>
    <xf numFmtId="0" fontId="27" fillId="0" borderId="38" xfId="189" applyFont="1" applyFill="1" applyBorder="1"/>
    <xf numFmtId="0" fontId="27" fillId="0" borderId="36" xfId="189" applyFont="1" applyFill="1" applyBorder="1"/>
    <xf numFmtId="0" fontId="27" fillId="0" borderId="29" xfId="189" applyFont="1" applyFill="1" applyBorder="1"/>
    <xf numFmtId="0" fontId="27" fillId="0" borderId="0" xfId="189" applyFont="1" applyFill="1" applyBorder="1"/>
    <xf numFmtId="0" fontId="27" fillId="0" borderId="27" xfId="189" applyFont="1" applyBorder="1" applyAlignment="1">
      <alignment horizontal="left" indent="1"/>
    </xf>
    <xf numFmtId="10" fontId="27" fillId="0" borderId="26" xfId="189" applyNumberFormat="1" applyFont="1" applyFill="1" applyBorder="1" applyProtection="1"/>
    <xf numFmtId="10" fontId="27" fillId="0" borderId="26" xfId="189" applyNumberFormat="1" applyFont="1" applyFill="1" applyBorder="1" applyProtection="1">
      <protection locked="0"/>
    </xf>
    <xf numFmtId="5" fontId="27" fillId="0" borderId="26" xfId="189" applyNumberFormat="1" applyFont="1" applyFill="1" applyBorder="1"/>
    <xf numFmtId="0" fontId="27" fillId="0" borderId="27" xfId="189" applyFont="1" applyBorder="1" applyAlignment="1">
      <alignment horizontal="left"/>
    </xf>
    <xf numFmtId="0" fontId="11" fillId="0" borderId="0" xfId="0" applyFont="1" applyAlignment="1">
      <alignment horizontal="centerContinuous"/>
    </xf>
    <xf numFmtId="0" fontId="11" fillId="0" borderId="39" xfId="0" applyFont="1" applyBorder="1" applyProtection="1"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27" fillId="0" borderId="35" xfId="189" applyFont="1" applyBorder="1" applyAlignment="1">
      <alignment horizontal="center" wrapText="1"/>
    </xf>
    <xf numFmtId="0" fontId="27" fillId="0" borderId="22" xfId="0" applyFont="1" applyBorder="1" applyAlignment="1" applyProtection="1">
      <alignment horizontal="left"/>
      <protection locked="0"/>
    </xf>
    <xf numFmtId="0" fontId="28" fillId="0" borderId="0" xfId="189" applyFont="1" applyBorder="1"/>
    <xf numFmtId="0" fontId="27" fillId="0" borderId="0" xfId="189" applyFont="1" applyBorder="1" applyAlignment="1">
      <alignment horizontal="left" indent="1"/>
    </xf>
    <xf numFmtId="0" fontId="10" fillId="0" borderId="0" xfId="189" applyFont="1" applyAlignment="1">
      <alignment horizontal="center"/>
    </xf>
    <xf numFmtId="0" fontId="11" fillId="0" borderId="9" xfId="189" applyFont="1" applyBorder="1" applyAlignment="1">
      <alignment horizontal="center" wrapText="1"/>
    </xf>
    <xf numFmtId="0" fontId="13" fillId="0" borderId="18" xfId="189" applyFont="1" applyBorder="1"/>
    <xf numFmtId="164" fontId="27" fillId="0" borderId="24" xfId="35" applyNumberFormat="1" applyFont="1" applyBorder="1"/>
    <xf numFmtId="164" fontId="27" fillId="0" borderId="18" xfId="35" applyNumberFormat="1" applyFont="1" applyBorder="1"/>
    <xf numFmtId="37" fontId="27" fillId="0" borderId="40" xfId="189" applyNumberFormat="1" applyFont="1" applyBorder="1" applyProtection="1">
      <protection locked="0"/>
    </xf>
    <xf numFmtId="37" fontId="27" fillId="0" borderId="23" xfId="0" applyNumberFormat="1" applyFont="1" applyBorder="1" applyProtection="1">
      <protection locked="0"/>
    </xf>
    <xf numFmtId="37" fontId="27" fillId="0" borderId="31" xfId="189" applyNumberFormat="1" applyFont="1" applyBorder="1" applyProtection="1">
      <protection locked="0"/>
    </xf>
    <xf numFmtId="37" fontId="27" fillId="0" borderId="35" xfId="189" applyNumberFormat="1" applyFont="1" applyBorder="1" applyProtection="1">
      <protection locked="0"/>
    </xf>
    <xf numFmtId="37" fontId="27" fillId="0" borderId="26" xfId="189" applyNumberFormat="1" applyFont="1" applyBorder="1" applyProtection="1">
      <protection locked="0"/>
    </xf>
    <xf numFmtId="37" fontId="27" fillId="0" borderId="37" xfId="189" applyNumberFormat="1" applyFont="1" applyFill="1" applyBorder="1" applyProtection="1">
      <protection locked="0"/>
    </xf>
    <xf numFmtId="37" fontId="27" fillId="0" borderId="42" xfId="189" applyNumberFormat="1" applyFont="1" applyFill="1" applyBorder="1" applyProtection="1">
      <protection locked="0"/>
    </xf>
    <xf numFmtId="10" fontId="27" fillId="0" borderId="42" xfId="189" applyNumberFormat="1" applyFont="1" applyFill="1" applyBorder="1" applyProtection="1">
      <protection locked="0"/>
    </xf>
    <xf numFmtId="0" fontId="27" fillId="0" borderId="28" xfId="189" applyFont="1" applyBorder="1" applyAlignment="1">
      <alignment horizontal="left" indent="1"/>
    </xf>
    <xf numFmtId="37" fontId="27" fillId="0" borderId="28" xfId="189" applyNumberFormat="1" applyFont="1" applyFill="1" applyBorder="1"/>
    <xf numFmtId="0" fontId="8" fillId="0" borderId="0" xfId="232" applyFont="1"/>
    <xf numFmtId="0" fontId="7" fillId="0" borderId="0" xfId="232" applyFont="1"/>
    <xf numFmtId="0" fontId="7" fillId="0" borderId="0" xfId="232" applyFont="1" applyAlignment="1">
      <alignment horizontal="center"/>
    </xf>
    <xf numFmtId="0" fontId="8" fillId="0" borderId="0" xfId="232" applyFont="1" applyAlignment="1">
      <alignment horizontal="center"/>
    </xf>
    <xf numFmtId="0" fontId="8" fillId="0" borderId="14" xfId="232" applyFont="1" applyBorder="1" applyAlignment="1">
      <alignment horizontal="center"/>
    </xf>
    <xf numFmtId="17" fontId="8" fillId="0" borderId="22" xfId="232" quotePrefix="1" applyNumberFormat="1" applyFont="1" applyBorder="1"/>
    <xf numFmtId="164" fontId="8" fillId="0" borderId="0" xfId="51" applyNumberFormat="1" applyFont="1" applyBorder="1"/>
    <xf numFmtId="164" fontId="8" fillId="0" borderId="0" xfId="53" applyNumberFormat="1" applyFont="1"/>
    <xf numFmtId="164" fontId="8" fillId="0" borderId="23" xfId="51" applyNumberFormat="1" applyFont="1" applyBorder="1"/>
    <xf numFmtId="0" fontId="8" fillId="0" borderId="24" xfId="232" applyFont="1" applyBorder="1" applyAlignment="1">
      <alignment horizontal="center"/>
    </xf>
    <xf numFmtId="0" fontId="8" fillId="0" borderId="22" xfId="232" quotePrefix="1" applyFont="1" applyBorder="1"/>
    <xf numFmtId="0" fontId="8" fillId="0" borderId="22" xfId="232" applyFont="1" applyBorder="1"/>
    <xf numFmtId="0" fontId="8" fillId="0" borderId="19" xfId="232" applyFont="1" applyBorder="1"/>
    <xf numFmtId="164" fontId="8" fillId="0" borderId="20" xfId="51" applyNumberFormat="1" applyFont="1" applyBorder="1"/>
    <xf numFmtId="164" fontId="8" fillId="0" borderId="21" xfId="51" applyNumberFormat="1" applyFont="1" applyBorder="1"/>
    <xf numFmtId="0" fontId="8" fillId="0" borderId="16" xfId="232" applyFont="1" applyBorder="1" applyAlignment="1">
      <alignment horizontal="center"/>
    </xf>
    <xf numFmtId="0" fontId="8" fillId="0" borderId="0" xfId="232" applyFont="1" applyBorder="1" applyAlignment="1">
      <alignment horizontal="center"/>
    </xf>
    <xf numFmtId="0" fontId="8" fillId="0" borderId="9" xfId="232" applyFont="1" applyBorder="1" applyAlignment="1">
      <alignment horizontal="center" wrapText="1"/>
    </xf>
    <xf numFmtId="0" fontId="7" fillId="0" borderId="32" xfId="232" applyFont="1" applyBorder="1"/>
    <xf numFmtId="0" fontId="7" fillId="0" borderId="5" xfId="232" applyFont="1" applyBorder="1" applyAlignment="1">
      <alignment horizontal="center"/>
    </xf>
    <xf numFmtId="0" fontId="7" fillId="0" borderId="5" xfId="232" applyFont="1" applyBorder="1" applyAlignment="1">
      <alignment horizontal="center" wrapText="1"/>
    </xf>
    <xf numFmtId="0" fontId="7" fillId="0" borderId="33" xfId="232" applyFont="1" applyBorder="1" applyAlignment="1">
      <alignment horizontal="center"/>
    </xf>
    <xf numFmtId="0" fontId="27" fillId="0" borderId="0" xfId="175" applyFont="1" applyAlignment="1">
      <alignment horizontal="center"/>
    </xf>
    <xf numFmtId="0" fontId="27" fillId="0" borderId="0" xfId="175" applyFont="1"/>
    <xf numFmtId="0" fontId="27" fillId="0" borderId="14" xfId="175" applyFont="1" applyBorder="1" applyAlignment="1">
      <alignment horizontal="center"/>
    </xf>
    <xf numFmtId="0" fontId="28" fillId="0" borderId="16" xfId="175" applyFont="1" applyBorder="1" applyAlignment="1">
      <alignment horizontal="center"/>
    </xf>
    <xf numFmtId="0" fontId="28" fillId="0" borderId="17" xfId="175" applyFont="1" applyBorder="1" applyAlignment="1">
      <alignment horizontal="center"/>
    </xf>
    <xf numFmtId="0" fontId="27" fillId="0" borderId="24" xfId="175" applyFont="1" applyBorder="1" applyAlignment="1">
      <alignment horizontal="center"/>
    </xf>
    <xf numFmtId="0" fontId="28" fillId="0" borderId="22" xfId="175" applyFont="1" applyBorder="1" applyAlignment="1">
      <alignment horizontal="center"/>
    </xf>
    <xf numFmtId="0" fontId="28" fillId="0" borderId="0" xfId="175" applyFont="1" applyBorder="1" applyAlignment="1">
      <alignment horizontal="center"/>
    </xf>
    <xf numFmtId="0" fontId="28" fillId="0" borderId="23" xfId="175" applyFont="1" applyBorder="1" applyAlignment="1">
      <alignment horizontal="center"/>
    </xf>
    <xf numFmtId="0" fontId="27" fillId="0" borderId="18" xfId="175" applyFont="1" applyBorder="1" applyAlignment="1">
      <alignment horizontal="center" wrapText="1"/>
    </xf>
    <xf numFmtId="0" fontId="28" fillId="0" borderId="20" xfId="175" quotePrefix="1" applyFont="1" applyBorder="1" applyAlignment="1">
      <alignment horizontal="center" wrapText="1"/>
    </xf>
    <xf numFmtId="0" fontId="28" fillId="0" borderId="21" xfId="175" applyFont="1" applyBorder="1" applyAlignment="1">
      <alignment horizontal="center"/>
    </xf>
    <xf numFmtId="0" fontId="27" fillId="0" borderId="0" xfId="175" applyFont="1" applyBorder="1"/>
    <xf numFmtId="3" fontId="27" fillId="0" borderId="0" xfId="175" applyNumberFormat="1" applyFont="1" applyBorder="1"/>
    <xf numFmtId="0" fontId="27" fillId="0" borderId="0" xfId="175" applyFont="1" applyBorder="1" applyAlignment="1">
      <alignment horizontal="center"/>
    </xf>
    <xf numFmtId="0" fontId="27" fillId="0" borderId="22" xfId="175" applyFont="1" applyBorder="1"/>
    <xf numFmtId="0" fontId="28" fillId="0" borderId="22" xfId="175" applyFont="1" applyBorder="1" applyAlignment="1">
      <alignment horizontal="left" indent="1"/>
    </xf>
    <xf numFmtId="0" fontId="27" fillId="0" borderId="18" xfId="175" applyFont="1" applyBorder="1" applyAlignment="1">
      <alignment horizontal="center"/>
    </xf>
    <xf numFmtId="0" fontId="27" fillId="0" borderId="20" xfId="175" applyFont="1" applyBorder="1"/>
    <xf numFmtId="0" fontId="27" fillId="0" borderId="21" xfId="175" applyFont="1" applyBorder="1"/>
    <xf numFmtId="164" fontId="7" fillId="18" borderId="17" xfId="30" applyNumberFormat="1" applyFont="1" applyFill="1" applyBorder="1"/>
    <xf numFmtId="164" fontId="7" fillId="18" borderId="16" xfId="30" applyNumberFormat="1" applyFont="1" applyFill="1" applyBorder="1"/>
    <xf numFmtId="164" fontId="8" fillId="18" borderId="16" xfId="30" applyNumberFormat="1" applyFont="1" applyFill="1" applyBorder="1"/>
    <xf numFmtId="164" fontId="7" fillId="18" borderId="16" xfId="51" applyNumberFormat="1" applyFont="1" applyFill="1" applyBorder="1"/>
    <xf numFmtId="164" fontId="7" fillId="18" borderId="17" xfId="51" applyNumberFormat="1" applyFont="1" applyFill="1" applyBorder="1"/>
    <xf numFmtId="0" fontId="7" fillId="0" borderId="22" xfId="232" applyFont="1" applyBorder="1" applyAlignment="1">
      <alignment horizontal="left" indent="1"/>
    </xf>
    <xf numFmtId="0" fontId="7" fillId="0" borderId="22" xfId="0" applyFont="1" applyBorder="1" applyAlignment="1">
      <alignment horizontal="left" indent="1"/>
    </xf>
    <xf numFmtId="0" fontId="28" fillId="0" borderId="15" xfId="175" applyFont="1" applyBorder="1" applyAlignment="1">
      <alignment horizontal="center"/>
    </xf>
    <xf numFmtId="0" fontId="28" fillId="0" borderId="19" xfId="175" applyFont="1" applyBorder="1"/>
    <xf numFmtId="0" fontId="27" fillId="0" borderId="19" xfId="175" applyFont="1" applyBorder="1"/>
    <xf numFmtId="0" fontId="27" fillId="0" borderId="36" xfId="202" applyFont="1" applyBorder="1"/>
    <xf numFmtId="0" fontId="27" fillId="0" borderId="38" xfId="202" applyFont="1" applyBorder="1"/>
    <xf numFmtId="37" fontId="27" fillId="0" borderId="44" xfId="202" applyNumberFormat="1" applyFont="1" applyFill="1" applyBorder="1" applyProtection="1"/>
    <xf numFmtId="0" fontId="27" fillId="0" borderId="27" xfId="202" applyFont="1" applyBorder="1"/>
    <xf numFmtId="0" fontId="28" fillId="0" borderId="27" xfId="202" applyFont="1" applyBorder="1" applyAlignment="1">
      <alignment horizontal="left" indent="1"/>
    </xf>
    <xf numFmtId="0" fontId="28" fillId="0" borderId="38" xfId="202" applyFont="1" applyFill="1" applyBorder="1" applyAlignment="1">
      <alignment horizontal="center" wrapText="1"/>
    </xf>
    <xf numFmtId="37" fontId="27" fillId="0" borderId="45" xfId="202" applyNumberFormat="1" applyFont="1" applyFill="1" applyBorder="1" applyProtection="1"/>
    <xf numFmtId="37" fontId="27" fillId="0" borderId="45" xfId="202" applyNumberFormat="1" applyFont="1" applyBorder="1" applyProtection="1"/>
    <xf numFmtId="37" fontId="28" fillId="18" borderId="44" xfId="202" applyNumberFormat="1" applyFont="1" applyFill="1" applyBorder="1" applyProtection="1"/>
    <xf numFmtId="0" fontId="28" fillId="0" borderId="46" xfId="202" applyFont="1" applyFill="1" applyBorder="1" applyAlignment="1">
      <alignment horizontal="center" wrapText="1"/>
    </xf>
    <xf numFmtId="37" fontId="27" fillId="0" borderId="29" xfId="202" applyNumberFormat="1" applyFont="1" applyFill="1" applyBorder="1" applyProtection="1"/>
    <xf numFmtId="37" fontId="27" fillId="0" borderId="0" xfId="202" applyNumberFormat="1" applyFont="1" applyFill="1" applyBorder="1" applyProtection="1"/>
    <xf numFmtId="37" fontId="27" fillId="0" borderId="0" xfId="202" applyNumberFormat="1" applyFont="1" applyBorder="1" applyProtection="1"/>
    <xf numFmtId="37" fontId="28" fillId="0" borderId="0" xfId="202" applyNumberFormat="1" applyFont="1" applyBorder="1" applyProtection="1"/>
    <xf numFmtId="37" fontId="28" fillId="18" borderId="23" xfId="0" applyNumberFormat="1" applyFont="1" applyFill="1" applyBorder="1" applyProtection="1">
      <protection locked="0"/>
    </xf>
    <xf numFmtId="37" fontId="27" fillId="0" borderId="34" xfId="0" applyNumberFormat="1" applyFont="1" applyFill="1" applyBorder="1" applyProtection="1"/>
    <xf numFmtId="0" fontId="28" fillId="0" borderId="36" xfId="202" applyFont="1" applyBorder="1"/>
    <xf numFmtId="39" fontId="10" fillId="0" borderId="0" xfId="218" applyFont="1" applyAlignment="1" applyProtection="1">
      <alignment horizontal="center"/>
    </xf>
    <xf numFmtId="37" fontId="10" fillId="0" borderId="0" xfId="218" applyNumberFormat="1" applyFont="1" applyProtection="1"/>
    <xf numFmtId="39" fontId="10" fillId="0" borderId="0" xfId="218" applyFont="1"/>
    <xf numFmtId="39" fontId="10" fillId="0" borderId="0" xfId="218" applyFont="1" applyProtection="1"/>
    <xf numFmtId="39" fontId="10" fillId="0" borderId="0" xfId="218" applyFont="1" applyBorder="1" applyProtection="1"/>
    <xf numFmtId="39" fontId="11" fillId="0" borderId="0" xfId="218" applyFont="1" applyBorder="1" applyAlignment="1" applyProtection="1">
      <alignment horizontal="centerContinuous"/>
      <protection locked="0"/>
    </xf>
    <xf numFmtId="37" fontId="11" fillId="0" borderId="0" xfId="218" applyNumberFormat="1" applyFont="1" applyBorder="1" applyAlignment="1" applyProtection="1">
      <alignment horizontal="centerContinuous"/>
    </xf>
    <xf numFmtId="39" fontId="11" fillId="0" borderId="0" xfId="218" applyFont="1" applyProtection="1"/>
    <xf numFmtId="37" fontId="11" fillId="0" borderId="0" xfId="218" applyNumberFormat="1" applyFont="1" applyAlignment="1" applyProtection="1">
      <alignment horizontal="centerContinuous"/>
    </xf>
    <xf numFmtId="39" fontId="10" fillId="0" borderId="14" xfId="218" applyFont="1" applyBorder="1" applyAlignment="1" applyProtection="1">
      <alignment horizontal="center"/>
    </xf>
    <xf numFmtId="37" fontId="11" fillId="0" borderId="14" xfId="218" applyNumberFormat="1" applyFont="1" applyBorder="1" applyAlignment="1" applyProtection="1">
      <alignment horizontal="center"/>
      <protection locked="0"/>
    </xf>
    <xf numFmtId="39" fontId="10" fillId="0" borderId="18" xfId="218" applyFont="1" applyBorder="1" applyAlignment="1" applyProtection="1">
      <alignment horizontal="center"/>
    </xf>
    <xf numFmtId="37" fontId="11" fillId="0" borderId="18" xfId="218" applyNumberFormat="1" applyFont="1" applyBorder="1" applyAlignment="1" applyProtection="1">
      <alignment horizontal="center"/>
      <protection locked="0"/>
    </xf>
    <xf numFmtId="174" fontId="10" fillId="0" borderId="28" xfId="218" applyNumberFormat="1" applyFont="1" applyBorder="1" applyAlignment="1" applyProtection="1">
      <alignment horizontal="center"/>
    </xf>
    <xf numFmtId="39" fontId="11" fillId="0" borderId="44" xfId="218" applyFont="1" applyBorder="1" applyProtection="1">
      <protection locked="0"/>
    </xf>
    <xf numFmtId="39" fontId="10" fillId="0" borderId="28" xfId="218" applyFont="1" applyBorder="1" applyAlignment="1" applyProtection="1">
      <alignment horizontal="center"/>
    </xf>
    <xf numFmtId="37" fontId="10" fillId="0" borderId="28" xfId="218" applyNumberFormat="1" applyFont="1" applyBorder="1" applyAlignment="1" applyProtection="1">
      <alignment horizontal="center"/>
      <protection locked="0"/>
    </xf>
    <xf numFmtId="39" fontId="10" fillId="0" borderId="44" xfId="218" applyFont="1" applyBorder="1" applyProtection="1">
      <protection locked="0"/>
    </xf>
    <xf numFmtId="39" fontId="10" fillId="0" borderId="28" xfId="218" applyFont="1" applyBorder="1" applyAlignment="1" applyProtection="1">
      <alignment horizontal="center"/>
      <protection locked="0"/>
    </xf>
    <xf numFmtId="39" fontId="11" fillId="0" borderId="25" xfId="218" applyFont="1" applyBorder="1" applyProtection="1">
      <protection locked="0"/>
    </xf>
    <xf numFmtId="39" fontId="10" fillId="0" borderId="46" xfId="218" applyFont="1" applyBorder="1" applyAlignment="1" applyProtection="1">
      <alignment horizontal="center"/>
    </xf>
    <xf numFmtId="37" fontId="28" fillId="0" borderId="39" xfId="218" applyNumberFormat="1" applyFont="1" applyFill="1" applyBorder="1" applyProtection="1"/>
    <xf numFmtId="39" fontId="11" fillId="0" borderId="26" xfId="218" applyFont="1" applyBorder="1" applyProtection="1">
      <protection locked="0"/>
    </xf>
    <xf numFmtId="39" fontId="10" fillId="0" borderId="26" xfId="218" applyFont="1" applyBorder="1" applyAlignment="1" applyProtection="1">
      <alignment horizontal="center"/>
    </xf>
    <xf numFmtId="37" fontId="28" fillId="0" borderId="26" xfId="218" applyNumberFormat="1" applyFont="1" applyFill="1" applyBorder="1" applyProtection="1"/>
    <xf numFmtId="37" fontId="17" fillId="0" borderId="28" xfId="218" applyNumberFormat="1" applyFont="1" applyFill="1" applyBorder="1" applyProtection="1"/>
    <xf numFmtId="39" fontId="11" fillId="0" borderId="28" xfId="218" applyFont="1" applyBorder="1" applyAlignment="1" applyProtection="1">
      <alignment horizontal="center"/>
      <protection locked="0"/>
    </xf>
    <xf numFmtId="39" fontId="10" fillId="0" borderId="24" xfId="218" applyFont="1" applyBorder="1" applyAlignment="1" applyProtection="1">
      <alignment horizontal="center"/>
    </xf>
    <xf numFmtId="37" fontId="17" fillId="0" borderId="24" xfId="218" applyNumberFormat="1" applyFont="1" applyFill="1" applyBorder="1" applyProtection="1"/>
    <xf numFmtId="39" fontId="10" fillId="0" borderId="44" xfId="218" applyFont="1" applyFill="1" applyBorder="1" applyProtection="1">
      <protection locked="0"/>
    </xf>
    <xf numFmtId="39" fontId="10" fillId="0" borderId="24" xfId="218" applyFont="1" applyBorder="1" applyAlignment="1" applyProtection="1">
      <alignment horizontal="center"/>
      <protection locked="0"/>
    </xf>
    <xf numFmtId="39" fontId="11" fillId="0" borderId="23" xfId="218" applyFont="1" applyBorder="1" applyProtection="1">
      <protection locked="0"/>
    </xf>
    <xf numFmtId="39" fontId="11" fillId="0" borderId="24" xfId="218" applyFont="1" applyBorder="1" applyAlignment="1" applyProtection="1">
      <alignment horizontal="center"/>
      <protection locked="0"/>
    </xf>
    <xf numFmtId="174" fontId="10" fillId="0" borderId="27" xfId="218" applyNumberFormat="1" applyFont="1" applyBorder="1" applyAlignment="1" applyProtection="1">
      <alignment horizontal="center"/>
    </xf>
    <xf numFmtId="39" fontId="10" fillId="0" borderId="46" xfId="218" applyFont="1" applyBorder="1" applyAlignment="1" applyProtection="1">
      <alignment horizontal="center"/>
      <protection locked="0"/>
    </xf>
    <xf numFmtId="37" fontId="17" fillId="0" borderId="47" xfId="218" applyNumberFormat="1" applyFont="1" applyFill="1" applyBorder="1" applyProtection="1"/>
    <xf numFmtId="39" fontId="10" fillId="0" borderId="15" xfId="218" applyFont="1" applyBorder="1" applyAlignment="1" applyProtection="1">
      <alignment horizontal="center"/>
    </xf>
    <xf numFmtId="39" fontId="10" fillId="0" borderId="19" xfId="218" applyFont="1" applyBorder="1" applyAlignment="1" applyProtection="1">
      <alignment horizontal="center"/>
    </xf>
    <xf numFmtId="39" fontId="11" fillId="0" borderId="48" xfId="218" applyFont="1" applyBorder="1" applyProtection="1">
      <protection locked="0"/>
    </xf>
    <xf numFmtId="39" fontId="10" fillId="0" borderId="35" xfId="218" applyFont="1" applyBorder="1" applyAlignment="1" applyProtection="1">
      <alignment horizontal="center"/>
    </xf>
    <xf numFmtId="37" fontId="27" fillId="0" borderId="49" xfId="218" quotePrefix="1" applyNumberFormat="1" applyFont="1" applyFill="1" applyBorder="1" applyAlignment="1" applyProtection="1">
      <alignment horizontal="center"/>
    </xf>
    <xf numFmtId="39" fontId="10" fillId="0" borderId="50" xfId="218" applyFont="1" applyBorder="1" applyProtection="1">
      <protection locked="0"/>
    </xf>
    <xf numFmtId="39" fontId="10" fillId="0" borderId="27" xfId="218" applyFont="1" applyBorder="1" applyAlignment="1" applyProtection="1">
      <alignment horizontal="center"/>
      <protection locked="0"/>
    </xf>
    <xf numFmtId="39" fontId="10" fillId="0" borderId="50" xfId="218" quotePrefix="1" applyFont="1" applyBorder="1" applyProtection="1">
      <protection locked="0"/>
    </xf>
    <xf numFmtId="37" fontId="10" fillId="0" borderId="24" xfId="218" applyNumberFormat="1" applyFont="1" applyFill="1" applyBorder="1" applyProtection="1">
      <protection locked="0"/>
    </xf>
    <xf numFmtId="39" fontId="11" fillId="0" borderId="27" xfId="218" applyFont="1" applyBorder="1" applyAlignment="1" applyProtection="1">
      <alignment horizontal="center"/>
      <protection locked="0"/>
    </xf>
    <xf numFmtId="37" fontId="17" fillId="0" borderId="24" xfId="35" applyNumberFormat="1" applyFont="1" applyFill="1" applyBorder="1"/>
    <xf numFmtId="39" fontId="10" fillId="0" borderId="27" xfId="218" applyFont="1" applyBorder="1" applyAlignment="1" applyProtection="1">
      <alignment horizontal="center"/>
    </xf>
    <xf numFmtId="39" fontId="10" fillId="0" borderId="50" xfId="218" applyFont="1" applyBorder="1" applyAlignment="1" applyProtection="1">
      <alignment horizontal="left" indent="2"/>
      <protection locked="0"/>
    </xf>
    <xf numFmtId="39" fontId="10" fillId="0" borderId="0" xfId="218" applyFont="1" applyBorder="1" applyAlignment="1" applyProtection="1">
      <alignment horizontal="center"/>
      <protection locked="0"/>
    </xf>
    <xf numFmtId="39" fontId="11" fillId="0" borderId="32" xfId="218" applyFont="1" applyBorder="1" applyProtection="1">
      <protection locked="0"/>
    </xf>
    <xf numFmtId="39" fontId="11" fillId="0" borderId="5" xfId="218" applyFont="1" applyBorder="1" applyAlignment="1" applyProtection="1">
      <alignment horizontal="center"/>
      <protection locked="0"/>
    </xf>
    <xf numFmtId="37" fontId="28" fillId="0" borderId="33" xfId="218" applyNumberFormat="1" applyFont="1" applyFill="1" applyBorder="1" applyProtection="1">
      <protection locked="0"/>
    </xf>
    <xf numFmtId="39" fontId="11" fillId="0" borderId="15" xfId="218" applyFont="1" applyBorder="1" applyProtection="1">
      <protection locked="0"/>
    </xf>
    <xf numFmtId="39" fontId="11" fillId="0" borderId="14" xfId="218" applyFont="1" applyBorder="1" applyAlignment="1" applyProtection="1">
      <alignment horizontal="center"/>
      <protection locked="0"/>
    </xf>
    <xf numFmtId="37" fontId="28" fillId="0" borderId="17" xfId="218" applyNumberFormat="1" applyFont="1" applyFill="1" applyBorder="1" applyProtection="1">
      <protection locked="0"/>
    </xf>
    <xf numFmtId="39" fontId="11" fillId="0" borderId="50" xfId="218" applyFont="1" applyBorder="1" applyProtection="1">
      <protection locked="0"/>
    </xf>
    <xf numFmtId="37" fontId="10" fillId="0" borderId="24" xfId="218" quotePrefix="1" applyNumberFormat="1" applyFont="1" applyFill="1" applyBorder="1" applyAlignment="1" applyProtection="1">
      <alignment horizontal="center"/>
    </xf>
    <xf numFmtId="39" fontId="10" fillId="0" borderId="51" xfId="218" applyFont="1" applyBorder="1" applyProtection="1">
      <protection locked="0"/>
    </xf>
    <xf numFmtId="39" fontId="10" fillId="0" borderId="36" xfId="218" applyFont="1" applyBorder="1" applyAlignment="1" applyProtection="1">
      <alignment horizontal="center"/>
      <protection locked="0"/>
    </xf>
    <xf numFmtId="39" fontId="28" fillId="0" borderId="52" xfId="218" applyFont="1" applyBorder="1" applyProtection="1"/>
    <xf numFmtId="39" fontId="28" fillId="0" borderId="53" xfId="218" applyFont="1" applyBorder="1" applyAlignment="1" applyProtection="1">
      <alignment horizontal="center"/>
    </xf>
    <xf numFmtId="37" fontId="28" fillId="0" borderId="54" xfId="218" applyNumberFormat="1" applyFont="1" applyFill="1" applyBorder="1" applyProtection="1"/>
    <xf numFmtId="39" fontId="28" fillId="0" borderId="22" xfId="218" applyFont="1" applyBorder="1" applyProtection="1"/>
    <xf numFmtId="39" fontId="28" fillId="0" borderId="14" xfId="218" applyFont="1" applyBorder="1" applyAlignment="1" applyProtection="1">
      <alignment horizontal="center"/>
    </xf>
    <xf numFmtId="37" fontId="28" fillId="0" borderId="23" xfId="218" applyNumberFormat="1" applyFont="1" applyFill="1" applyBorder="1" applyProtection="1"/>
    <xf numFmtId="39" fontId="10" fillId="0" borderId="27" xfId="218" applyFont="1" applyFill="1" applyBorder="1" applyAlignment="1" applyProtection="1">
      <alignment horizontal="center"/>
      <protection locked="0"/>
    </xf>
    <xf numFmtId="37" fontId="28" fillId="0" borderId="55" xfId="218" applyNumberFormat="1" applyFont="1" applyFill="1" applyBorder="1" applyProtection="1"/>
    <xf numFmtId="174" fontId="10" fillId="0" borderId="19" xfId="218" applyNumberFormat="1" applyFont="1" applyBorder="1" applyAlignment="1" applyProtection="1">
      <alignment horizontal="center"/>
    </xf>
    <xf numFmtId="39" fontId="10" fillId="0" borderId="32" xfId="218" applyFont="1" applyBorder="1" applyProtection="1"/>
    <xf numFmtId="39" fontId="10" fillId="0" borderId="5" xfId="218" applyFont="1" applyBorder="1" applyAlignment="1" applyProtection="1">
      <alignment horizontal="center"/>
    </xf>
    <xf numFmtId="37" fontId="17" fillId="0" borderId="33" xfId="218" applyNumberFormat="1" applyFont="1" applyFill="1" applyBorder="1" applyProtection="1"/>
    <xf numFmtId="174" fontId="10" fillId="0" borderId="0" xfId="218" applyNumberFormat="1" applyFont="1" applyBorder="1" applyAlignment="1" applyProtection="1">
      <alignment horizontal="center"/>
    </xf>
    <xf numFmtId="39" fontId="10" fillId="0" borderId="0" xfId="218" applyFont="1" applyBorder="1" applyAlignment="1" applyProtection="1">
      <alignment horizontal="center"/>
    </xf>
    <xf numFmtId="37" fontId="17" fillId="0" borderId="0" xfId="218" applyNumberFormat="1" applyFont="1" applyFill="1" applyBorder="1" applyProtection="1"/>
    <xf numFmtId="37" fontId="17" fillId="0" borderId="56" xfId="218" applyNumberFormat="1" applyFont="1" applyFill="1" applyBorder="1" applyProtection="1"/>
    <xf numFmtId="37" fontId="10" fillId="0" borderId="57" xfId="218" applyNumberFormat="1" applyFont="1" applyFill="1" applyBorder="1" applyProtection="1">
      <protection locked="0"/>
    </xf>
    <xf numFmtId="37" fontId="10" fillId="0" borderId="57" xfId="218" applyNumberFormat="1" applyFont="1" applyFill="1" applyBorder="1"/>
    <xf numFmtId="39" fontId="28" fillId="0" borderId="58" xfId="218" applyFont="1" applyBorder="1" applyProtection="1"/>
    <xf numFmtId="39" fontId="28" fillId="0" borderId="46" xfId="218" applyFont="1" applyBorder="1" applyAlignment="1" applyProtection="1">
      <alignment horizontal="center"/>
    </xf>
    <xf numFmtId="37" fontId="28" fillId="0" borderId="59" xfId="218" applyNumberFormat="1" applyFont="1" applyFill="1" applyBorder="1" applyProtection="1"/>
    <xf numFmtId="39" fontId="28" fillId="0" borderId="60" xfId="218" applyFont="1" applyBorder="1" applyProtection="1"/>
    <xf numFmtId="39" fontId="28" fillId="0" borderId="26" xfId="218" applyFont="1" applyBorder="1" applyAlignment="1" applyProtection="1">
      <alignment horizontal="center"/>
    </xf>
    <xf numFmtId="37" fontId="17" fillId="0" borderId="57" xfId="218" applyNumberFormat="1" applyFont="1" applyFill="1" applyBorder="1" applyProtection="1"/>
    <xf numFmtId="39" fontId="11" fillId="0" borderId="14" xfId="218" applyFont="1" applyBorder="1"/>
    <xf numFmtId="39" fontId="10" fillId="0" borderId="14" xfId="218" applyFont="1" applyBorder="1"/>
    <xf numFmtId="39" fontId="10" fillId="0" borderId="18" xfId="218" applyFont="1" applyBorder="1" applyAlignment="1">
      <alignment horizontal="left" indent="1"/>
    </xf>
    <xf numFmtId="39" fontId="10" fillId="0" borderId="18" xfId="218" applyFont="1" applyBorder="1"/>
    <xf numFmtId="37" fontId="10" fillId="0" borderId="18" xfId="218" applyNumberFormat="1" applyFont="1" applyBorder="1"/>
    <xf numFmtId="39" fontId="10" fillId="0" borderId="40" xfId="218" applyFont="1" applyBorder="1"/>
    <xf numFmtId="39" fontId="10" fillId="0" borderId="32" xfId="218" applyFont="1" applyBorder="1"/>
    <xf numFmtId="39" fontId="10" fillId="0" borderId="5" xfId="218" applyFont="1" applyBorder="1" applyAlignment="1">
      <alignment horizontal="center"/>
    </xf>
    <xf numFmtId="37" fontId="10" fillId="0" borderId="33" xfId="218" applyNumberFormat="1" applyFont="1" applyBorder="1"/>
    <xf numFmtId="39" fontId="10" fillId="0" borderId="0" xfId="218" applyFont="1" applyAlignment="1">
      <alignment horizontal="center"/>
    </xf>
    <xf numFmtId="37" fontId="10" fillId="0" borderId="0" xfId="218" applyNumberFormat="1" applyFont="1"/>
    <xf numFmtId="39" fontId="10" fillId="0" borderId="0" xfId="218" applyFont="1" applyBorder="1" applyAlignment="1" applyProtection="1">
      <alignment horizontal="center" vertical="center"/>
    </xf>
    <xf numFmtId="174" fontId="10" fillId="0" borderId="20" xfId="218" applyNumberFormat="1" applyFont="1" applyBorder="1" applyAlignment="1" applyProtection="1">
      <alignment horizontal="center"/>
    </xf>
    <xf numFmtId="39" fontId="10" fillId="0" borderId="20" xfId="218" applyFont="1" applyBorder="1" applyProtection="1"/>
    <xf numFmtId="39" fontId="10" fillId="0" borderId="20" xfId="218" applyFont="1" applyBorder="1" applyAlignment="1" applyProtection="1">
      <alignment horizontal="center"/>
    </xf>
    <xf numFmtId="37" fontId="17" fillId="0" borderId="20" xfId="218" applyNumberFormat="1" applyFont="1" applyFill="1" applyBorder="1" applyProtection="1"/>
    <xf numFmtId="174" fontId="10" fillId="0" borderId="31" xfId="218" applyNumberFormat="1" applyFont="1" applyBorder="1" applyAlignment="1" applyProtection="1">
      <alignment horizontal="center"/>
    </xf>
    <xf numFmtId="39" fontId="10" fillId="0" borderId="1" xfId="218" applyFont="1" applyBorder="1" applyProtection="1"/>
    <xf numFmtId="39" fontId="10" fillId="0" borderId="1" xfId="218" applyFont="1" applyBorder="1" applyAlignment="1" applyProtection="1">
      <alignment horizontal="left"/>
    </xf>
    <xf numFmtId="37" fontId="28" fillId="0" borderId="23" xfId="0" applyNumberFormat="1" applyFont="1" applyFill="1" applyBorder="1" applyProtection="1">
      <protection locked="0"/>
    </xf>
    <xf numFmtId="164" fontId="27" fillId="0" borderId="28" xfId="30" applyNumberFormat="1" applyFont="1" applyFill="1" applyBorder="1" applyProtection="1">
      <protection locked="0"/>
    </xf>
    <xf numFmtId="39" fontId="10" fillId="0" borderId="22" xfId="218" applyFont="1" applyBorder="1" applyProtection="1">
      <protection locked="0"/>
    </xf>
    <xf numFmtId="39" fontId="10" fillId="0" borderId="43" xfId="218" applyFont="1" applyBorder="1" applyProtection="1">
      <protection locked="0"/>
    </xf>
    <xf numFmtId="39" fontId="10" fillId="0" borderId="61" xfId="218" applyFont="1" applyBorder="1" applyAlignment="1" applyProtection="1">
      <alignment horizontal="center"/>
      <protection locked="0"/>
    </xf>
    <xf numFmtId="37" fontId="28" fillId="18" borderId="9" xfId="218" applyNumberFormat="1" applyFont="1" applyFill="1" applyBorder="1" applyProtection="1">
      <protection locked="0"/>
    </xf>
    <xf numFmtId="0" fontId="28" fillId="0" borderId="19" xfId="0" applyFont="1" applyBorder="1"/>
    <xf numFmtId="0" fontId="28" fillId="0" borderId="20" xfId="0" applyFont="1" applyBorder="1"/>
    <xf numFmtId="0" fontId="28" fillId="0" borderId="21" xfId="0" applyFont="1" applyBorder="1" applyAlignment="1">
      <alignment horizontal="center"/>
    </xf>
    <xf numFmtId="174" fontId="10" fillId="0" borderId="24" xfId="218" applyNumberFormat="1" applyFont="1" applyBorder="1" applyAlignment="1" applyProtection="1">
      <alignment horizontal="center"/>
    </xf>
    <xf numFmtId="37" fontId="27" fillId="0" borderId="23" xfId="218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1" fillId="0" borderId="16" xfId="0" applyFont="1" applyFill="1" applyBorder="1"/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0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49" fontId="10" fillId="0" borderId="22" xfId="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22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49" fontId="10" fillId="0" borderId="0" xfId="0" applyNumberFormat="1" applyFont="1"/>
    <xf numFmtId="0" fontId="10" fillId="0" borderId="2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2" xfId="0" applyFont="1" applyBorder="1"/>
    <xf numFmtId="0" fontId="10" fillId="0" borderId="0" xfId="0" applyFont="1" applyBorder="1"/>
    <xf numFmtId="43" fontId="10" fillId="0" borderId="23" xfId="53" applyFont="1" applyBorder="1"/>
    <xf numFmtId="164" fontId="10" fillId="0" borderId="23" xfId="53" applyNumberFormat="1" applyFont="1" applyBorder="1"/>
    <xf numFmtId="0" fontId="10" fillId="0" borderId="23" xfId="0" applyFont="1" applyBorder="1"/>
    <xf numFmtId="164" fontId="10" fillId="0" borderId="62" xfId="0" applyNumberFormat="1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7" fontId="10" fillId="0" borderId="23" xfId="0" applyNumberFormat="1" applyFont="1" applyFill="1" applyBorder="1"/>
    <xf numFmtId="0" fontId="10" fillId="0" borderId="20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37" fontId="10" fillId="0" borderId="0" xfId="0" applyNumberFormat="1" applyFont="1" applyFill="1" applyBorder="1" applyProtection="1">
      <protection locked="0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37" fontId="10" fillId="0" borderId="16" xfId="0" applyNumberFormat="1" applyFont="1" applyFill="1" applyBorder="1" applyProtection="1">
      <protection locked="0"/>
    </xf>
    <xf numFmtId="37" fontId="10" fillId="0" borderId="20" xfId="0" applyNumberFormat="1" applyFont="1" applyFill="1" applyBorder="1" applyProtection="1">
      <protection locked="0"/>
    </xf>
    <xf numFmtId="37" fontId="10" fillId="0" borderId="17" xfId="0" applyNumberFormat="1" applyFont="1" applyFill="1" applyBorder="1"/>
    <xf numFmtId="37" fontId="10" fillId="0" borderId="21" xfId="0" applyNumberFormat="1" applyFont="1" applyFill="1" applyBorder="1"/>
    <xf numFmtId="0" fontId="11" fillId="0" borderId="22" xfId="0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0" fontId="10" fillId="0" borderId="0" xfId="0" quotePrefix="1" applyFont="1" applyFill="1" applyBorder="1" applyAlignment="1">
      <alignment horizontal="center" wrapText="1"/>
    </xf>
    <xf numFmtId="0" fontId="10" fillId="0" borderId="5" xfId="0" applyFont="1" applyFill="1" applyBorder="1"/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43" fontId="10" fillId="0" borderId="0" xfId="30" applyFont="1"/>
    <xf numFmtId="0" fontId="11" fillId="0" borderId="0" xfId="0" applyFont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0" xfId="0" quotePrefix="1" applyFont="1"/>
    <xf numFmtId="164" fontId="10" fillId="0" borderId="21" xfId="30" applyNumberFormat="1" applyFont="1" applyBorder="1"/>
    <xf numFmtId="0" fontId="11" fillId="0" borderId="17" xfId="0" applyFont="1" applyFill="1" applyBorder="1"/>
    <xf numFmtId="37" fontId="28" fillId="18" borderId="62" xfId="0" applyNumberFormat="1" applyFont="1" applyFill="1" applyBorder="1" applyProtection="1"/>
    <xf numFmtId="0" fontId="11" fillId="0" borderId="5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37" fontId="10" fillId="0" borderId="0" xfId="0" applyNumberFormat="1" applyFont="1" applyFill="1" applyBorder="1"/>
    <xf numFmtId="37" fontId="10" fillId="0" borderId="16" xfId="0" applyNumberFormat="1" applyFont="1" applyFill="1" applyBorder="1"/>
    <xf numFmtId="164" fontId="10" fillId="0" borderId="0" xfId="30" applyNumberFormat="1" applyFont="1"/>
    <xf numFmtId="164" fontId="10" fillId="0" borderId="0" xfId="30" applyNumberFormat="1" applyFont="1" applyAlignment="1">
      <alignment horizontal="center"/>
    </xf>
    <xf numFmtId="0" fontId="28" fillId="0" borderId="0" xfId="0" applyFont="1" applyBorder="1" applyAlignment="1" applyProtection="1">
      <protection locked="0"/>
    </xf>
    <xf numFmtId="0" fontId="28" fillId="0" borderId="0" xfId="0" applyFont="1" applyFill="1" applyBorder="1" applyAlignment="1" applyProtection="1">
      <protection locked="0"/>
    </xf>
    <xf numFmtId="164" fontId="10" fillId="0" borderId="17" xfId="30" applyNumberFormat="1" applyFont="1" applyBorder="1"/>
    <xf numFmtId="49" fontId="28" fillId="0" borderId="21" xfId="3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4" fontId="10" fillId="0" borderId="0" xfId="30" applyNumberFormat="1" applyFont="1" applyBorder="1" applyAlignment="1">
      <alignment horizontal="center"/>
    </xf>
    <xf numFmtId="164" fontId="10" fillId="0" borderId="23" xfId="30" applyNumberFormat="1" applyFont="1" applyBorder="1"/>
    <xf numFmtId="0" fontId="10" fillId="0" borderId="23" xfId="0" applyFont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64" fontId="10" fillId="0" borderId="62" xfId="30" applyNumberFormat="1" applyFont="1" applyBorder="1"/>
    <xf numFmtId="164" fontId="11" fillId="18" borderId="23" xfId="53" applyNumberFormat="1" applyFont="1" applyFill="1" applyBorder="1"/>
    <xf numFmtId="37" fontId="11" fillId="18" borderId="21" xfId="0" applyNumberFormat="1" applyFont="1" applyFill="1" applyBorder="1"/>
    <xf numFmtId="37" fontId="11" fillId="18" borderId="64" xfId="0" applyNumberFormat="1" applyFont="1" applyFill="1" applyBorder="1"/>
    <xf numFmtId="37" fontId="28" fillId="18" borderId="26" xfId="189" applyNumberFormat="1" applyFont="1" applyFill="1" applyBorder="1"/>
    <xf numFmtId="37" fontId="28" fillId="18" borderId="28" xfId="189" applyNumberFormat="1" applyFont="1" applyFill="1" applyBorder="1" applyProtection="1">
      <protection locked="0"/>
    </xf>
    <xf numFmtId="37" fontId="28" fillId="18" borderId="28" xfId="189" applyNumberFormat="1" applyFont="1" applyFill="1" applyBorder="1" applyProtection="1"/>
    <xf numFmtId="164" fontId="11" fillId="18" borderId="62" xfId="30" applyNumberFormat="1" applyFont="1" applyFill="1" applyBorder="1"/>
    <xf numFmtId="164" fontId="11" fillId="18" borderId="23" xfId="30" applyNumberFormat="1" applyFont="1" applyFill="1" applyBorder="1"/>
    <xf numFmtId="0" fontId="28" fillId="0" borderId="20" xfId="175" applyFont="1" applyBorder="1" applyAlignment="1">
      <alignment horizontal="center" wrapText="1"/>
    </xf>
    <xf numFmtId="0" fontId="28" fillId="0" borderId="0" xfId="175" applyFont="1" applyFill="1" applyBorder="1" applyAlignment="1">
      <alignment horizontal="center"/>
    </xf>
    <xf numFmtId="0" fontId="28" fillId="0" borderId="20" xfId="175" applyFont="1" applyFill="1" applyBorder="1" applyAlignment="1">
      <alignment horizontal="center" wrapText="1"/>
    </xf>
    <xf numFmtId="0" fontId="10" fillId="0" borderId="0" xfId="175" applyFont="1" applyAlignment="1">
      <alignment horizontal="center"/>
    </xf>
    <xf numFmtId="0" fontId="11" fillId="0" borderId="0" xfId="0" applyFont="1" applyAlignment="1">
      <alignment horizontal="center"/>
    </xf>
    <xf numFmtId="164" fontId="27" fillId="0" borderId="0" xfId="30" applyNumberFormat="1" applyFont="1"/>
    <xf numFmtId="37" fontId="27" fillId="0" borderId="23" xfId="175" applyNumberFormat="1" applyFont="1" applyBorder="1" applyAlignment="1">
      <alignment horizontal="center"/>
    </xf>
    <xf numFmtId="37" fontId="27" fillId="0" borderId="20" xfId="175" applyNumberFormat="1" applyFont="1" applyBorder="1" applyAlignment="1">
      <alignment horizontal="center"/>
    </xf>
    <xf numFmtId="37" fontId="27" fillId="0" borderId="21" xfId="175" applyNumberFormat="1" applyFont="1" applyBorder="1" applyAlignment="1">
      <alignment horizontal="center"/>
    </xf>
    <xf numFmtId="37" fontId="27" fillId="0" borderId="16" xfId="175" applyNumberFormat="1" applyFont="1" applyBorder="1" applyAlignment="1">
      <alignment horizontal="center"/>
    </xf>
    <xf numFmtId="37" fontId="28" fillId="18" borderId="17" xfId="175" applyNumberFormat="1" applyFont="1" applyFill="1" applyBorder="1" applyAlignment="1">
      <alignment horizontal="center"/>
    </xf>
    <xf numFmtId="0" fontId="27" fillId="0" borderId="0" xfId="175" quotePrefix="1" applyFont="1"/>
    <xf numFmtId="0" fontId="28" fillId="0" borderId="22" xfId="175" applyFont="1" applyBorder="1" applyAlignment="1"/>
    <xf numFmtId="0" fontId="28" fillId="0" borderId="15" xfId="175" applyFont="1" applyBorder="1" applyAlignment="1"/>
    <xf numFmtId="0" fontId="28" fillId="0" borderId="32" xfId="175" applyFont="1" applyBorder="1"/>
    <xf numFmtId="37" fontId="27" fillId="0" borderId="0" xfId="175" applyNumberFormat="1" applyFont="1" applyBorder="1"/>
    <xf numFmtId="164" fontId="27" fillId="0" borderId="16" xfId="30" applyNumberFormat="1" applyFont="1" applyBorder="1"/>
    <xf numFmtId="164" fontId="27" fillId="0" borderId="23" xfId="30" applyNumberFormat="1" applyFont="1" applyBorder="1"/>
    <xf numFmtId="164" fontId="27" fillId="0" borderId="0" xfId="30" applyNumberFormat="1" applyFont="1" applyBorder="1"/>
    <xf numFmtId="164" fontId="27" fillId="0" borderId="20" xfId="30" applyNumberFormat="1" applyFont="1" applyBorder="1"/>
    <xf numFmtId="164" fontId="27" fillId="0" borderId="21" xfId="30" applyNumberFormat="1" applyFont="1" applyBorder="1"/>
    <xf numFmtId="164" fontId="28" fillId="18" borderId="16" xfId="30" applyNumberFormat="1" applyFont="1" applyFill="1" applyBorder="1"/>
    <xf numFmtId="164" fontId="27" fillId="0" borderId="5" xfId="30" applyNumberFormat="1" applyFont="1" applyBorder="1"/>
    <xf numFmtId="164" fontId="27" fillId="0" borderId="33" xfId="30" applyNumberFormat="1" applyFont="1" applyFill="1" applyBorder="1"/>
    <xf numFmtId="164" fontId="28" fillId="0" borderId="23" xfId="30" applyNumberFormat="1" applyFont="1" applyFill="1" applyBorder="1"/>
    <xf numFmtId="164" fontId="28" fillId="18" borderId="65" xfId="30" applyNumberFormat="1" applyFont="1" applyFill="1" applyBorder="1"/>
    <xf numFmtId="164" fontId="27" fillId="0" borderId="62" xfId="30" applyNumberFormat="1" applyFont="1" applyFill="1" applyBorder="1"/>
    <xf numFmtId="0" fontId="1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2" fillId="0" borderId="16" xfId="0" quotePrefix="1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 vertical="center"/>
    </xf>
    <xf numFmtId="39" fontId="10" fillId="0" borderId="0" xfId="218" applyFont="1" applyFill="1"/>
    <xf numFmtId="164" fontId="8" fillId="0" borderId="0" xfId="51" applyNumberFormat="1" applyFont="1" applyFill="1" applyBorder="1"/>
    <xf numFmtId="164" fontId="8" fillId="0" borderId="0" xfId="53" applyNumberFormat="1" applyFont="1" applyFill="1"/>
    <xf numFmtId="0" fontId="27" fillId="0" borderId="0" xfId="175" applyFont="1" applyFill="1"/>
    <xf numFmtId="0" fontId="10" fillId="0" borderId="0" xfId="0" applyFont="1" applyFill="1"/>
    <xf numFmtId="0" fontId="11" fillId="0" borderId="22" xfId="0" applyFont="1" applyBorder="1"/>
    <xf numFmtId="0" fontId="11" fillId="0" borderId="0" xfId="0" applyFont="1" applyBorder="1"/>
    <xf numFmtId="37" fontId="27" fillId="0" borderId="0" xfId="175" applyNumberFormat="1" applyFont="1" applyFill="1" applyAlignment="1">
      <alignment horizontal="center"/>
    </xf>
    <xf numFmtId="0" fontId="28" fillId="0" borderId="20" xfId="175" applyFont="1" applyBorder="1" applyAlignment="1">
      <alignment horizontal="center"/>
    </xf>
    <xf numFmtId="0" fontId="27" fillId="0" borderId="0" xfId="189" applyFont="1" applyAlignment="1">
      <alignment horizontal="left" indent="1"/>
    </xf>
    <xf numFmtId="37" fontId="10" fillId="0" borderId="28" xfId="289" applyNumberFormat="1" applyFont="1" applyFill="1" applyBorder="1" applyProtection="1"/>
    <xf numFmtId="37" fontId="10" fillId="0" borderId="31" xfId="274" applyNumberFormat="1" applyFont="1" applyFill="1" applyBorder="1" applyProtection="1">
      <protection locked="0"/>
    </xf>
    <xf numFmtId="164" fontId="10" fillId="0" borderId="0" xfId="39" applyNumberFormat="1" applyFont="1"/>
    <xf numFmtId="37" fontId="11" fillId="0" borderId="30" xfId="0" applyNumberFormat="1" applyFont="1" applyBorder="1" applyProtection="1">
      <protection locked="0"/>
    </xf>
    <xf numFmtId="37" fontId="10" fillId="0" borderId="31" xfId="268" applyNumberFormat="1" applyFont="1" applyFill="1" applyBorder="1" applyProtection="1">
      <protection locked="0"/>
    </xf>
    <xf numFmtId="37" fontId="10" fillId="0" borderId="28" xfId="293" applyNumberFormat="1" applyFont="1" applyFill="1" applyBorder="1" applyAlignment="1" applyProtection="1">
      <alignment wrapText="1"/>
      <protection locked="0"/>
    </xf>
    <xf numFmtId="37" fontId="10" fillId="0" borderId="28" xfId="268" applyNumberFormat="1" applyFont="1" applyFill="1" applyBorder="1" applyProtection="1">
      <protection locked="0"/>
    </xf>
    <xf numFmtId="37" fontId="10" fillId="0" borderId="28" xfId="279" applyNumberFormat="1" applyFont="1" applyFill="1" applyBorder="1" applyProtection="1"/>
    <xf numFmtId="0" fontId="11" fillId="0" borderId="0" xfId="0" applyFont="1" applyBorder="1" applyAlignment="1" applyProtection="1">
      <alignment horizontal="center"/>
      <protection locked="0"/>
    </xf>
    <xf numFmtId="7" fontId="11" fillId="0" borderId="39" xfId="0" applyNumberFormat="1" applyFont="1" applyBorder="1" applyProtection="1">
      <protection locked="0"/>
    </xf>
    <xf numFmtId="0" fontId="11" fillId="0" borderId="30" xfId="0" applyFont="1" applyBorder="1" applyAlignment="1" applyProtection="1">
      <alignment horizontal="center" wrapText="1"/>
      <protection locked="0"/>
    </xf>
    <xf numFmtId="37" fontId="10" fillId="0" borderId="31" xfId="281" applyNumberFormat="1" applyFont="1" applyFill="1" applyBorder="1" applyProtection="1">
      <protection locked="0"/>
    </xf>
    <xf numFmtId="37" fontId="10" fillId="0" borderId="21" xfId="218" applyNumberFormat="1" applyFont="1" applyFill="1" applyBorder="1" applyProtection="1">
      <protection locked="0"/>
    </xf>
    <xf numFmtId="37" fontId="10" fillId="0" borderId="23" xfId="218" applyNumberFormat="1" applyFont="1" applyFill="1" applyBorder="1" applyProtection="1">
      <protection locked="0"/>
    </xf>
    <xf numFmtId="0" fontId="27" fillId="0" borderId="0" xfId="0" quotePrefix="1" applyFont="1"/>
    <xf numFmtId="0" fontId="10" fillId="0" borderId="0" xfId="0" quotePrefix="1" applyFont="1" applyAlignment="1">
      <alignment horizontal="center"/>
    </xf>
    <xf numFmtId="37" fontId="10" fillId="0" borderId="31" xfId="270" applyNumberFormat="1" applyFont="1" applyFill="1" applyBorder="1" applyProtection="1">
      <protection locked="0"/>
    </xf>
    <xf numFmtId="37" fontId="10" fillId="0" borderId="30" xfId="0" applyNumberFormat="1" applyFont="1" applyBorder="1" applyProtection="1">
      <protection locked="0"/>
    </xf>
    <xf numFmtId="37" fontId="10" fillId="0" borderId="31" xfId="287" applyNumberFormat="1" applyFont="1" applyFill="1" applyBorder="1" applyProtection="1">
      <protection locked="0"/>
    </xf>
    <xf numFmtId="37" fontId="10" fillId="0" borderId="24" xfId="218" applyNumberFormat="1" applyFont="1" applyFill="1" applyBorder="1"/>
    <xf numFmtId="0" fontId="10" fillId="0" borderId="30" xfId="0" applyFont="1" applyBorder="1" applyAlignment="1">
      <alignment horizontal="center" wrapText="1"/>
    </xf>
    <xf numFmtId="37" fontId="10" fillId="0" borderId="31" xfId="277" applyNumberFormat="1" applyFont="1" applyFill="1" applyBorder="1" applyProtection="1">
      <protection locked="0"/>
    </xf>
    <xf numFmtId="0" fontId="11" fillId="0" borderId="39" xfId="0" applyFont="1" applyBorder="1" applyAlignment="1" applyProtection="1">
      <alignment horizontal="center"/>
      <protection locked="0"/>
    </xf>
    <xf numFmtId="37" fontId="11" fillId="18" borderId="30" xfId="0" applyNumberFormat="1" applyFont="1" applyFill="1" applyBorder="1" applyProtection="1">
      <protection locked="0"/>
    </xf>
    <xf numFmtId="37" fontId="10" fillId="0" borderId="31" xfId="297" applyNumberFormat="1" applyFont="1" applyFill="1" applyBorder="1" applyProtection="1">
      <protection locked="0"/>
    </xf>
    <xf numFmtId="0" fontId="11" fillId="0" borderId="46" xfId="0" applyFont="1" applyBorder="1" applyProtection="1">
      <protection locked="0"/>
    </xf>
    <xf numFmtId="37" fontId="10" fillId="0" borderId="31" xfId="279" applyNumberFormat="1" applyFont="1" applyFill="1" applyBorder="1" applyProtection="1">
      <protection locked="0"/>
    </xf>
    <xf numFmtId="0" fontId="10" fillId="0" borderId="31" xfId="0" applyFont="1" applyBorder="1" applyAlignment="1">
      <alignment horizontal="center"/>
    </xf>
    <xf numFmtId="0" fontId="11" fillId="0" borderId="0" xfId="0" applyFont="1" applyAlignment="1" applyProtection="1">
      <alignment horizontal="centerContinuous"/>
      <protection locked="0"/>
    </xf>
    <xf numFmtId="0" fontId="27" fillId="0" borderId="0" xfId="0" applyFont="1" applyAlignment="1">
      <alignment horizontal="left" indent="2"/>
    </xf>
    <xf numFmtId="37" fontId="10" fillId="0" borderId="30" xfId="0" applyNumberFormat="1" applyFont="1" applyFill="1" applyBorder="1" applyProtection="1"/>
    <xf numFmtId="0" fontId="10" fillId="0" borderId="28" xfId="0" applyFont="1" applyBorder="1" applyAlignment="1">
      <alignment horizontal="center"/>
    </xf>
    <xf numFmtId="39" fontId="10" fillId="0" borderId="44" xfId="218" applyFont="1" applyBorder="1" applyAlignment="1" applyProtection="1">
      <alignment horizontal="left" indent="1"/>
      <protection locked="0"/>
    </xf>
    <xf numFmtId="0" fontId="10" fillId="0" borderId="0" xfId="0" applyFont="1" applyAlignment="1">
      <alignment horizontal="centerContinuous"/>
    </xf>
    <xf numFmtId="0" fontId="11" fillId="0" borderId="16" xfId="0" applyFont="1" applyBorder="1" applyAlignment="1" applyProtection="1">
      <alignment horizontal="left" indent="1"/>
      <protection locked="0"/>
    </xf>
    <xf numFmtId="37" fontId="11" fillId="0" borderId="30" xfId="0" applyNumberFormat="1" applyFont="1" applyFill="1" applyBorder="1" applyProtection="1">
      <protection locked="0"/>
    </xf>
    <xf numFmtId="168" fontId="10" fillId="0" borderId="0" xfId="0" applyNumberFormat="1" applyFont="1" applyAlignment="1" applyProtection="1">
      <alignment horizontal="left"/>
      <protection locked="0"/>
    </xf>
    <xf numFmtId="39" fontId="10" fillId="0" borderId="0" xfId="218" quotePrefix="1" applyFont="1"/>
    <xf numFmtId="37" fontId="10" fillId="0" borderId="31" xfId="303" applyNumberFormat="1" applyFont="1" applyFill="1" applyBorder="1" applyProtection="1">
      <protection locked="0"/>
    </xf>
    <xf numFmtId="37" fontId="10" fillId="0" borderId="0" xfId="0" applyNumberFormat="1" applyFont="1"/>
    <xf numFmtId="37" fontId="10" fillId="0" borderId="28" xfId="270" applyNumberFormat="1" applyFont="1" applyFill="1" applyBorder="1" applyProtection="1">
      <protection locked="0"/>
    </xf>
    <xf numFmtId="37" fontId="10" fillId="0" borderId="30" xfId="0" applyNumberFormat="1" applyFont="1" applyBorder="1" applyProtection="1"/>
    <xf numFmtId="0" fontId="10" fillId="0" borderId="39" xfId="0" applyFont="1" applyBorder="1" applyProtection="1">
      <protection locked="0"/>
    </xf>
    <xf numFmtId="37" fontId="8" fillId="0" borderId="24" xfId="35" applyNumberFormat="1" applyFont="1" applyFill="1" applyBorder="1"/>
    <xf numFmtId="37" fontId="10" fillId="0" borderId="28" xfId="274" applyNumberFormat="1" applyFont="1" applyFill="1" applyBorder="1" applyProtection="1">
      <protection locked="0"/>
    </xf>
    <xf numFmtId="0" fontId="11" fillId="0" borderId="29" xfId="0" applyFont="1" applyBorder="1" applyAlignment="1" applyProtection="1">
      <protection locked="0"/>
    </xf>
    <xf numFmtId="37" fontId="10" fillId="0" borderId="28" xfId="277" applyNumberFormat="1" applyFont="1" applyFill="1" applyBorder="1" applyProtection="1">
      <protection locked="0"/>
    </xf>
    <xf numFmtId="37" fontId="10" fillId="0" borderId="30" xfId="0" applyNumberFormat="1" applyFont="1" applyFill="1" applyBorder="1" applyProtection="1">
      <protection locked="0"/>
    </xf>
    <xf numFmtId="37" fontId="10" fillId="0" borderId="28" xfId="281" applyNumberFormat="1" applyFont="1" applyFill="1" applyBorder="1" applyProtection="1">
      <protection locked="0"/>
    </xf>
    <xf numFmtId="37" fontId="10" fillId="0" borderId="28" xfId="283" applyNumberFormat="1" applyFont="1" applyFill="1" applyBorder="1" applyProtection="1">
      <protection locked="0"/>
    </xf>
    <xf numFmtId="37" fontId="8" fillId="0" borderId="28" xfId="285" applyNumberFormat="1" applyFont="1" applyFill="1" applyBorder="1"/>
    <xf numFmtId="37" fontId="10" fillId="0" borderId="28" xfId="285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37" fontId="10" fillId="0" borderId="28" xfId="287" applyNumberFormat="1" applyFont="1" applyFill="1" applyBorder="1" applyProtection="1">
      <protection locked="0"/>
    </xf>
    <xf numFmtId="37" fontId="8" fillId="0" borderId="28" xfId="289" applyNumberFormat="1" applyFont="1" applyFill="1" applyBorder="1"/>
    <xf numFmtId="39" fontId="10" fillId="0" borderId="0" xfId="218" quotePrefix="1" applyFont="1" applyAlignment="1">
      <alignment horizontal="left" indent="2"/>
    </xf>
    <xf numFmtId="37" fontId="10" fillId="0" borderId="28" xfId="291" applyNumberFormat="1" applyFont="1" applyFill="1" applyBorder="1" applyProtection="1">
      <protection locked="0"/>
    </xf>
    <xf numFmtId="37" fontId="10" fillId="0" borderId="28" xfId="297" applyNumberFormat="1" applyFont="1" applyFill="1" applyBorder="1" applyProtection="1">
      <protection locked="0"/>
    </xf>
    <xf numFmtId="164" fontId="10" fillId="0" borderId="0" xfId="39" applyNumberFormat="1" applyFont="1" applyFill="1"/>
    <xf numFmtId="37" fontId="10" fillId="0" borderId="28" xfId="299" applyNumberFormat="1" applyFont="1" applyFill="1" applyBorder="1" applyProtection="1">
      <protection locked="0"/>
    </xf>
    <xf numFmtId="37" fontId="10" fillId="0" borderId="28" xfId="301" applyNumberFormat="1" applyFont="1" applyFill="1" applyBorder="1" applyProtection="1">
      <protection locked="0"/>
    </xf>
    <xf numFmtId="37" fontId="10" fillId="0" borderId="28" xfId="303" applyNumberFormat="1" applyFont="1" applyFill="1" applyBorder="1" applyProtection="1">
      <protection locked="0"/>
    </xf>
    <xf numFmtId="172" fontId="11" fillId="0" borderId="0" xfId="0" applyNumberFormat="1" applyFont="1" applyBorder="1" applyAlignment="1" applyProtection="1">
      <alignment horizontal="left"/>
      <protection locked="0"/>
    </xf>
    <xf numFmtId="0" fontId="11" fillId="0" borderId="26" xfId="0" applyFont="1" applyBorder="1" applyAlignment="1">
      <alignment horizontal="center"/>
    </xf>
    <xf numFmtId="0" fontId="11" fillId="0" borderId="31" xfId="0" applyFont="1" applyBorder="1" applyAlignment="1" applyProtection="1">
      <alignment horizontal="center"/>
      <protection locked="0"/>
    </xf>
    <xf numFmtId="0" fontId="11" fillId="0" borderId="0" xfId="0" quotePrefix="1" applyFont="1" applyAlignment="1">
      <alignment horizontal="right"/>
    </xf>
    <xf numFmtId="0" fontId="11" fillId="0" borderId="0" xfId="0" applyFont="1" applyBorder="1" applyAlignment="1">
      <alignment horizontal="centerContinuous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49" fontId="10" fillId="0" borderId="0" xfId="0" applyNumberFormat="1" applyFont="1" applyAlignment="1">
      <alignment horizontal="right"/>
    </xf>
    <xf numFmtId="0" fontId="11" fillId="0" borderId="49" xfId="0" applyFont="1" applyBorder="1"/>
    <xf numFmtId="37" fontId="10" fillId="0" borderId="24" xfId="0" applyNumberFormat="1" applyFont="1" applyFill="1" applyBorder="1" applyProtection="1">
      <protection locked="0"/>
    </xf>
    <xf numFmtId="0" fontId="11" fillId="0" borderId="24" xfId="0" applyFont="1" applyBorder="1"/>
    <xf numFmtId="0" fontId="11" fillId="0" borderId="24" xfId="0" applyFont="1" applyFill="1" applyBorder="1"/>
    <xf numFmtId="37" fontId="11" fillId="0" borderId="24" xfId="0" applyNumberFormat="1" applyFont="1" applyFill="1" applyBorder="1" applyProtection="1"/>
    <xf numFmtId="0" fontId="10" fillId="0" borderId="14" xfId="0" applyFont="1" applyBorder="1"/>
    <xf numFmtId="0" fontId="11" fillId="0" borderId="18" xfId="0" applyFont="1" applyBorder="1"/>
    <xf numFmtId="0" fontId="10" fillId="0" borderId="18" xfId="0" quotePrefix="1" applyFont="1" applyBorder="1" applyAlignment="1" applyProtection="1">
      <alignment horizontal="center"/>
      <protection locked="0"/>
    </xf>
    <xf numFmtId="5" fontId="11" fillId="0" borderId="18" xfId="0" applyNumberFormat="1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4" xfId="0" quotePrefix="1" applyFont="1" applyBorder="1" applyAlignment="1" applyProtection="1">
      <alignment horizontal="center"/>
      <protection locked="0"/>
    </xf>
    <xf numFmtId="37" fontId="11" fillId="0" borderId="49" xfId="0" applyNumberFormat="1" applyFont="1" applyFill="1" applyBorder="1" applyProtection="1">
      <protection locked="0"/>
    </xf>
    <xf numFmtId="5" fontId="11" fillId="0" borderId="49" xfId="0" applyNumberFormat="1" applyFont="1" applyBorder="1" applyProtection="1">
      <protection locked="0"/>
    </xf>
    <xf numFmtId="0" fontId="11" fillId="0" borderId="61" xfId="0" applyFont="1" applyBorder="1"/>
    <xf numFmtId="5" fontId="11" fillId="0" borderId="66" xfId="0" applyNumberFormat="1" applyFont="1" applyBorder="1" applyProtection="1">
      <protection locked="0"/>
    </xf>
    <xf numFmtId="37" fontId="10" fillId="0" borderId="28" xfId="0" applyNumberFormat="1" applyFont="1" applyFill="1" applyBorder="1" applyProtection="1">
      <protection locked="0"/>
    </xf>
    <xf numFmtId="5" fontId="11" fillId="0" borderId="24" xfId="0" applyNumberFormat="1" applyFont="1" applyBorder="1" applyProtection="1">
      <protection locked="0"/>
    </xf>
    <xf numFmtId="0" fontId="11" fillId="0" borderId="19" xfId="0" applyFont="1" applyBorder="1"/>
    <xf numFmtId="0" fontId="11" fillId="0" borderId="23" xfId="0" applyFont="1" applyBorder="1"/>
    <xf numFmtId="0" fontId="10" fillId="0" borderId="23" xfId="0" quotePrefix="1" applyFont="1" applyBorder="1" applyProtection="1">
      <protection locked="0"/>
    </xf>
    <xf numFmtId="0" fontId="11" fillId="0" borderId="55" xfId="0" applyFont="1" applyBorder="1" applyProtection="1">
      <protection locked="0"/>
    </xf>
    <xf numFmtId="0" fontId="11" fillId="0" borderId="23" xfId="0" applyFont="1" applyBorder="1" applyProtection="1">
      <protection locked="0"/>
    </xf>
    <xf numFmtId="0" fontId="11" fillId="0" borderId="34" xfId="0" applyFont="1" applyBorder="1"/>
    <xf numFmtId="0" fontId="11" fillId="0" borderId="59" xfId="0" applyFont="1" applyBorder="1" applyProtection="1">
      <protection locked="0"/>
    </xf>
    <xf numFmtId="0" fontId="11" fillId="0" borderId="55" xfId="0" applyFont="1" applyBorder="1"/>
    <xf numFmtId="0" fontId="11" fillId="0" borderId="21" xfId="0" applyFont="1" applyBorder="1"/>
    <xf numFmtId="0" fontId="11" fillId="0" borderId="44" xfId="0" applyFont="1" applyBorder="1" applyAlignment="1">
      <alignment horizontal="center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17" xfId="0" applyFont="1" applyBorder="1" applyProtection="1">
      <protection locked="0"/>
    </xf>
    <xf numFmtId="0" fontId="11" fillId="0" borderId="55" xfId="0" applyFont="1" applyBorder="1" applyAlignment="1" applyProtection="1">
      <protection locked="0"/>
    </xf>
    <xf numFmtId="0" fontId="11" fillId="0" borderId="22" xfId="0" applyFont="1" applyBorder="1" applyAlignment="1" applyProtection="1">
      <protection locked="0"/>
    </xf>
    <xf numFmtId="0" fontId="11" fillId="0" borderId="23" xfId="0" applyFont="1" applyBorder="1" applyAlignment="1" applyProtection="1">
      <protection locked="0"/>
    </xf>
    <xf numFmtId="0" fontId="11" fillId="0" borderId="22" xfId="0" applyFont="1" applyBorder="1" applyAlignment="1" applyProtection="1">
      <alignment horizontal="left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10" fillId="0" borderId="23" xfId="0" quotePrefix="1" applyFont="1" applyBorder="1" applyAlignment="1" applyProtection="1">
      <protection locked="0"/>
    </xf>
    <xf numFmtId="172" fontId="10" fillId="0" borderId="22" xfId="0" quotePrefix="1" applyNumberFormat="1" applyFont="1" applyBorder="1" applyAlignment="1" applyProtection="1">
      <protection locked="0"/>
    </xf>
    <xf numFmtId="0" fontId="11" fillId="0" borderId="29" xfId="0" applyFont="1" applyBorder="1"/>
    <xf numFmtId="0" fontId="11" fillId="0" borderId="0" xfId="0" applyFont="1" applyBorder="1" applyAlignment="1" applyProtection="1">
      <protection locked="0"/>
    </xf>
    <xf numFmtId="0" fontId="10" fillId="0" borderId="0" xfId="0" quotePrefix="1" applyFont="1" applyBorder="1" applyAlignment="1" applyProtection="1">
      <protection locked="0"/>
    </xf>
    <xf numFmtId="172" fontId="11" fillId="0" borderId="23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Protection="1">
      <protection locked="0"/>
    </xf>
    <xf numFmtId="0" fontId="11" fillId="0" borderId="15" xfId="0" applyFont="1" applyBorder="1" applyProtection="1">
      <protection locked="0"/>
    </xf>
    <xf numFmtId="0" fontId="11" fillId="0" borderId="22" xfId="0" applyFont="1" applyBorder="1" applyProtection="1">
      <protection locked="0"/>
    </xf>
    <xf numFmtId="0" fontId="11" fillId="0" borderId="16" xfId="0" applyFont="1" applyBorder="1" applyProtection="1">
      <protection locked="0"/>
    </xf>
    <xf numFmtId="0" fontId="11" fillId="0" borderId="60" xfId="0" applyFont="1" applyBorder="1"/>
    <xf numFmtId="0" fontId="10" fillId="0" borderId="0" xfId="0" applyFont="1" applyBorder="1" applyProtection="1">
      <protection locked="0"/>
    </xf>
    <xf numFmtId="37" fontId="10" fillId="0" borderId="23" xfId="0" applyNumberFormat="1" applyFont="1" applyFill="1" applyBorder="1" applyProtection="1">
      <protection locked="0"/>
    </xf>
    <xf numFmtId="0" fontId="10" fillId="0" borderId="23" xfId="0" applyFont="1" applyBorder="1" applyProtection="1">
      <protection locked="0"/>
    </xf>
    <xf numFmtId="0" fontId="11" fillId="0" borderId="20" xfId="0" applyFont="1" applyBorder="1"/>
    <xf numFmtId="0" fontId="11" fillId="0" borderId="17" xfId="0" applyFont="1" applyBorder="1" applyAlignment="1" applyProtection="1">
      <alignment horizontal="left" indent="1"/>
      <protection locked="0"/>
    </xf>
    <xf numFmtId="172" fontId="10" fillId="0" borderId="17" xfId="0" applyNumberFormat="1" applyFont="1" applyBorder="1" applyProtection="1"/>
    <xf numFmtId="0" fontId="11" fillId="0" borderId="17" xfId="0" applyFont="1" applyBorder="1"/>
    <xf numFmtId="172" fontId="10" fillId="0" borderId="22" xfId="0" applyNumberFormat="1" applyFont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left" indent="1"/>
      <protection locked="0"/>
    </xf>
    <xf numFmtId="0" fontId="11" fillId="0" borderId="29" xfId="0" applyFont="1" applyBorder="1" applyProtection="1">
      <protection locked="0"/>
    </xf>
    <xf numFmtId="0" fontId="10" fillId="0" borderId="0" xfId="0" quotePrefix="1" applyFont="1" applyBorder="1" applyProtection="1">
      <protection locked="0"/>
    </xf>
    <xf numFmtId="5" fontId="11" fillId="0" borderId="9" xfId="0" applyNumberFormat="1" applyFont="1" applyBorder="1" applyProtection="1">
      <protection locked="0"/>
    </xf>
    <xf numFmtId="167" fontId="10" fillId="0" borderId="0" xfId="0" applyNumberFormat="1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168" fontId="1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/>
    <xf numFmtId="172" fontId="11" fillId="0" borderId="23" xfId="0" applyNumberFormat="1" applyFont="1" applyBorder="1" applyProtection="1">
      <protection locked="0"/>
    </xf>
    <xf numFmtId="5" fontId="11" fillId="0" borderId="24" xfId="0" applyNumberFormat="1" applyFont="1" applyFill="1" applyBorder="1" applyProtection="1">
      <protection locked="0"/>
    </xf>
    <xf numFmtId="172" fontId="10" fillId="0" borderId="23" xfId="0" applyNumberFormat="1" applyFont="1" applyFill="1" applyBorder="1" applyAlignment="1" applyProtection="1">
      <alignment horizontal="center"/>
      <protection locked="0"/>
    </xf>
    <xf numFmtId="37" fontId="10" fillId="0" borderId="55" xfId="0" applyNumberFormat="1" applyFont="1" applyBorder="1" applyAlignment="1" applyProtection="1">
      <alignment horizontal="center"/>
      <protection locked="0"/>
    </xf>
    <xf numFmtId="172" fontId="11" fillId="0" borderId="23" xfId="0" applyNumberFormat="1" applyFont="1" applyBorder="1" applyAlignment="1" applyProtection="1">
      <alignment horizontal="center"/>
      <protection locked="0"/>
    </xf>
    <xf numFmtId="172" fontId="11" fillId="0" borderId="55" xfId="0" applyNumberFormat="1" applyFont="1" applyBorder="1" applyProtection="1">
      <protection locked="0"/>
    </xf>
    <xf numFmtId="172" fontId="10" fillId="0" borderId="44" xfId="0" applyNumberFormat="1" applyFont="1" applyFill="1" applyBorder="1" applyAlignment="1" applyProtection="1">
      <alignment horizontal="center"/>
      <protection locked="0"/>
    </xf>
    <xf numFmtId="3" fontId="10" fillId="0" borderId="28" xfId="175" applyNumberFormat="1" applyFont="1" applyFill="1" applyBorder="1"/>
    <xf numFmtId="3" fontId="10" fillId="0" borderId="31" xfId="175" applyNumberFormat="1" applyFont="1" applyFill="1" applyBorder="1"/>
    <xf numFmtId="173" fontId="11" fillId="0" borderId="59" xfId="0" applyNumberFormat="1" applyFont="1" applyBorder="1" applyAlignment="1" applyProtection="1">
      <alignment horizontal="right"/>
      <protection locked="0"/>
    </xf>
    <xf numFmtId="0" fontId="11" fillId="0" borderId="33" xfId="0" applyFont="1" applyFill="1" applyBorder="1"/>
    <xf numFmtId="0" fontId="11" fillId="0" borderId="0" xfId="0" applyFont="1" applyFill="1" applyBorder="1" applyAlignment="1">
      <alignment horizontal="center"/>
    </xf>
    <xf numFmtId="37" fontId="12" fillId="0" borderId="36" xfId="189" quotePrefix="1" applyNumberFormat="1" applyFont="1" applyBorder="1" applyAlignment="1" applyProtection="1">
      <alignment horizontal="center"/>
    </xf>
    <xf numFmtId="0" fontId="12" fillId="0" borderId="0" xfId="189" quotePrefix="1" applyFont="1" applyAlignment="1">
      <alignment horizontal="center"/>
    </xf>
    <xf numFmtId="5" fontId="11" fillId="21" borderId="9" xfId="0" applyNumberFormat="1" applyFont="1" applyFill="1" applyBorder="1" applyProtection="1">
      <protection locked="0"/>
    </xf>
    <xf numFmtId="164" fontId="10" fillId="0" borderId="23" xfId="30" applyNumberFormat="1" applyFont="1" applyFill="1" applyBorder="1"/>
    <xf numFmtId="164" fontId="11" fillId="21" borderId="23" xfId="30" applyNumberFormat="1" applyFont="1" applyFill="1" applyBorder="1"/>
    <xf numFmtId="37" fontId="11" fillId="21" borderId="28" xfId="281" applyNumberFormat="1" applyFont="1" applyFill="1" applyBorder="1" applyProtection="1">
      <protection locked="0"/>
    </xf>
    <xf numFmtId="9" fontId="10" fillId="0" borderId="21" xfId="316" applyFont="1" applyFill="1" applyBorder="1"/>
    <xf numFmtId="0" fontId="10" fillId="0" borderId="22" xfId="0" applyFont="1" applyFill="1" applyBorder="1" applyAlignment="1">
      <alignment horizontal="center"/>
    </xf>
    <xf numFmtId="37" fontId="27" fillId="0" borderId="23" xfId="253" applyNumberFormat="1" applyFont="1" applyFill="1" applyBorder="1" applyProtection="1">
      <protection locked="0"/>
    </xf>
    <xf numFmtId="0" fontId="10" fillId="0" borderId="22" xfId="0" applyFont="1" applyFill="1" applyBorder="1"/>
    <xf numFmtId="0" fontId="12" fillId="0" borderId="0" xfId="203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/>
    </xf>
    <xf numFmtId="0" fontId="11" fillId="0" borderId="22" xfId="0" applyFont="1" applyFill="1" applyBorder="1"/>
    <xf numFmtId="49" fontId="10" fillId="0" borderId="22" xfId="0" applyNumberFormat="1" applyFont="1" applyFill="1" applyBorder="1"/>
    <xf numFmtId="49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49" fontId="11" fillId="0" borderId="22" xfId="0" applyNumberFormat="1" applyFont="1" applyFill="1" applyBorder="1"/>
    <xf numFmtId="0" fontId="10" fillId="0" borderId="19" xfId="0" applyFont="1" applyFill="1" applyBorder="1"/>
    <xf numFmtId="49" fontId="10" fillId="0" borderId="20" xfId="0" applyNumberFormat="1" applyFont="1" applyFill="1" applyBorder="1" applyAlignment="1">
      <alignment horizontal="left"/>
    </xf>
    <xf numFmtId="49" fontId="11" fillId="0" borderId="20" xfId="0" applyNumberFormat="1" applyFont="1" applyFill="1" applyBorder="1"/>
    <xf numFmtId="4" fontId="11" fillId="0" borderId="21" xfId="0" applyNumberFormat="1" applyFont="1" applyFill="1" applyBorder="1" applyAlignment="1">
      <alignment horizontal="right"/>
    </xf>
    <xf numFmtId="0" fontId="10" fillId="0" borderId="15" xfId="0" applyFont="1" applyFill="1" applyBorder="1"/>
    <xf numFmtId="49" fontId="10" fillId="0" borderId="16" xfId="0" applyNumberFormat="1" applyFont="1" applyFill="1" applyBorder="1"/>
    <xf numFmtId="49" fontId="10" fillId="0" borderId="0" xfId="0" applyNumberFormat="1" applyFont="1" applyFill="1" applyBorder="1"/>
    <xf numFmtId="0" fontId="10" fillId="0" borderId="20" xfId="0" applyFont="1" applyFill="1" applyBorder="1"/>
    <xf numFmtId="49" fontId="10" fillId="0" borderId="20" xfId="0" applyNumberFormat="1" applyFont="1" applyFill="1" applyBorder="1"/>
    <xf numFmtId="37" fontId="54" fillId="18" borderId="63" xfId="94" applyNumberFormat="1" applyFont="1" applyFill="1" applyBorder="1" applyProtection="1">
      <protection locked="0"/>
    </xf>
    <xf numFmtId="164" fontId="27" fillId="0" borderId="20" xfId="175" quotePrefix="1" applyNumberFormat="1" applyFont="1" applyBorder="1" applyAlignment="1">
      <alignment horizontal="right"/>
    </xf>
    <xf numFmtId="164" fontId="28" fillId="0" borderId="23" xfId="175" applyNumberFormat="1" applyFont="1" applyFill="1" applyBorder="1"/>
    <xf numFmtId="0" fontId="8" fillId="0" borderId="0" xfId="0" applyFont="1" applyBorder="1"/>
    <xf numFmtId="164" fontId="8" fillId="0" borderId="0" xfId="0" applyNumberFormat="1" applyFont="1"/>
    <xf numFmtId="0" fontId="8" fillId="0" borderId="0" xfId="232" applyFont="1" applyBorder="1"/>
    <xf numFmtId="41" fontId="55" fillId="0" borderId="0" xfId="166" applyNumberFormat="1" applyFont="1" applyFill="1" applyBorder="1"/>
    <xf numFmtId="175" fontId="10" fillId="0" borderId="0" xfId="64" applyNumberFormat="1" applyFont="1" applyFill="1" applyBorder="1"/>
    <xf numFmtId="164" fontId="56" fillId="0" borderId="0" xfId="35" applyNumberFormat="1" applyFont="1"/>
    <xf numFmtId="41" fontId="55" fillId="0" borderId="0" xfId="170" applyNumberFormat="1" applyFont="1" applyFill="1" applyBorder="1"/>
    <xf numFmtId="41" fontId="53" fillId="0" borderId="0" xfId="172" applyNumberFormat="1" applyBorder="1"/>
    <xf numFmtId="3" fontId="27" fillId="0" borderId="0" xfId="175" applyNumberFormat="1" applyFont="1"/>
    <xf numFmtId="164" fontId="27" fillId="0" borderId="0" xfId="175" applyNumberFormat="1" applyFont="1"/>
    <xf numFmtId="17" fontId="12" fillId="0" borderId="15" xfId="175" quotePrefix="1" applyNumberFormat="1" applyFont="1" applyBorder="1"/>
    <xf numFmtId="0" fontId="12" fillId="0" borderId="22" xfId="175" quotePrefix="1" applyFont="1" applyBorder="1"/>
    <xf numFmtId="0" fontId="12" fillId="0" borderId="35" xfId="202" quotePrefix="1" applyFont="1" applyBorder="1"/>
    <xf numFmtId="0" fontId="12" fillId="0" borderId="27" xfId="202" quotePrefix="1" applyFont="1" applyBorder="1"/>
    <xf numFmtId="0" fontId="24" fillId="0" borderId="22" xfId="0" applyFont="1" applyBorder="1" applyProtection="1">
      <protection locked="0"/>
    </xf>
    <xf numFmtId="39" fontId="10" fillId="0" borderId="22" xfId="218" applyFont="1" applyBorder="1" applyAlignment="1">
      <alignment horizontal="left" indent="1"/>
    </xf>
    <xf numFmtId="39" fontId="10" fillId="0" borderId="24" xfId="218" applyFont="1" applyBorder="1"/>
    <xf numFmtId="37" fontId="10" fillId="0" borderId="23" xfId="218" applyNumberFormat="1" applyFont="1" applyBorder="1"/>
    <xf numFmtId="39" fontId="11" fillId="0" borderId="22" xfId="218" applyFont="1" applyBorder="1"/>
    <xf numFmtId="39" fontId="10" fillId="0" borderId="24" xfId="218" applyFont="1" applyBorder="1" applyAlignment="1">
      <alignment horizontal="center"/>
    </xf>
    <xf numFmtId="37" fontId="27" fillId="0" borderId="21" xfId="218" applyNumberFormat="1" applyFont="1" applyFill="1" applyBorder="1" applyProtection="1">
      <protection locked="0"/>
    </xf>
    <xf numFmtId="0" fontId="10" fillId="0" borderId="22" xfId="0" applyFont="1" applyBorder="1" applyProtection="1">
      <protection locked="0"/>
    </xf>
    <xf numFmtId="0" fontId="10" fillId="0" borderId="23" xfId="0" quotePrefix="1" applyFont="1" applyBorder="1" applyAlignment="1">
      <alignment horizontal="center"/>
    </xf>
    <xf numFmtId="37" fontId="10" fillId="0" borderId="24" xfId="0" applyNumberFormat="1" applyFont="1" applyBorder="1"/>
    <xf numFmtId="0" fontId="10" fillId="0" borderId="24" xfId="0" applyFont="1" applyBorder="1"/>
    <xf numFmtId="37" fontId="10" fillId="0" borderId="23" xfId="0" applyNumberFormat="1" applyFont="1" applyBorder="1" applyProtection="1">
      <protection locked="0"/>
    </xf>
    <xf numFmtId="0" fontId="10" fillId="0" borderId="24" xfId="0" quotePrefix="1" applyFont="1" applyBorder="1" applyAlignment="1">
      <alignment horizontal="center"/>
    </xf>
    <xf numFmtId="37" fontId="10" fillId="0" borderId="18" xfId="0" applyNumberFormat="1" applyFont="1" applyBorder="1"/>
    <xf numFmtId="0" fontId="10" fillId="0" borderId="0" xfId="0" applyFont="1" applyAlignment="1" applyProtection="1">
      <alignment horizontal="right"/>
    </xf>
    <xf numFmtId="0" fontId="57" fillId="0" borderId="16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67" xfId="311" applyFont="1" applyBorder="1"/>
    <xf numFmtId="0" fontId="10" fillId="0" borderId="67" xfId="311" applyFont="1" applyBorder="1" applyProtection="1"/>
    <xf numFmtId="37" fontId="11" fillId="0" borderId="21" xfId="0" applyNumberFormat="1" applyFont="1" applyBorder="1"/>
    <xf numFmtId="0" fontId="24" fillId="0" borderId="16" xfId="175" applyFont="1" applyBorder="1" applyAlignment="1">
      <alignment horizontal="center"/>
    </xf>
    <xf numFmtId="0" fontId="24" fillId="0" borderId="20" xfId="175" applyFont="1" applyBorder="1" applyAlignment="1">
      <alignment horizontal="center" wrapText="1"/>
    </xf>
    <xf numFmtId="0" fontId="12" fillId="0" borderId="0" xfId="175" applyFont="1" applyAlignment="1">
      <alignment horizontal="center"/>
    </xf>
    <xf numFmtId="0" fontId="12" fillId="0" borderId="0" xfId="175" quotePrefix="1" applyFont="1" applyAlignment="1">
      <alignment horizontal="center"/>
    </xf>
    <xf numFmtId="37" fontId="10" fillId="0" borderId="57" xfId="303" applyNumberFormat="1" applyFont="1" applyFill="1" applyBorder="1" applyProtection="1"/>
    <xf numFmtId="37" fontId="10" fillId="0" borderId="14" xfId="218" applyNumberFormat="1" applyFont="1" applyFill="1" applyBorder="1"/>
    <xf numFmtId="0" fontId="10" fillId="0" borderId="22" xfId="0" applyFont="1" applyBorder="1"/>
    <xf numFmtId="0" fontId="10" fillId="0" borderId="0" xfId="0" applyFont="1" applyBorder="1"/>
    <xf numFmtId="0" fontId="55" fillId="0" borderId="0" xfId="189" applyFont="1" applyAlignment="1">
      <alignment horizontal="centerContinuous"/>
    </xf>
    <xf numFmtId="0" fontId="55" fillId="0" borderId="0" xfId="189" applyFont="1" applyAlignment="1">
      <alignment horizontal="center"/>
    </xf>
    <xf numFmtId="0" fontId="55" fillId="0" borderId="0" xfId="189" applyFont="1"/>
    <xf numFmtId="0" fontId="55" fillId="0" borderId="14" xfId="189" applyFont="1" applyBorder="1" applyAlignment="1">
      <alignment horizontal="center"/>
    </xf>
    <xf numFmtId="0" fontId="55" fillId="0" borderId="15" xfId="189" applyFont="1" applyBorder="1"/>
    <xf numFmtId="0" fontId="55" fillId="0" borderId="18" xfId="189" applyFont="1" applyBorder="1" applyAlignment="1">
      <alignment horizontal="center"/>
    </xf>
    <xf numFmtId="0" fontId="54" fillId="0" borderId="19" xfId="189" applyFont="1" applyBorder="1"/>
    <xf numFmtId="0" fontId="54" fillId="0" borderId="20" xfId="189" applyFont="1" applyBorder="1" applyAlignment="1">
      <alignment horizontal="center"/>
    </xf>
    <xf numFmtId="0" fontId="54" fillId="0" borderId="21" xfId="189" applyFont="1" applyBorder="1" applyAlignment="1">
      <alignment horizontal="center"/>
    </xf>
    <xf numFmtId="0" fontId="55" fillId="0" borderId="24" xfId="189" applyFont="1" applyBorder="1" applyAlignment="1">
      <alignment horizontal="center"/>
    </xf>
    <xf numFmtId="0" fontId="55" fillId="0" borderId="22" xfId="189" quotePrefix="1" applyFont="1" applyBorder="1"/>
    <xf numFmtId="37" fontId="55" fillId="0" borderId="0" xfId="189" applyNumberFormat="1" applyFont="1" applyBorder="1"/>
    <xf numFmtId="37" fontId="55" fillId="0" borderId="23" xfId="189" applyNumberFormat="1" applyFont="1" applyBorder="1"/>
    <xf numFmtId="0" fontId="55" fillId="0" borderId="22" xfId="189" applyFont="1" applyBorder="1"/>
    <xf numFmtId="37" fontId="55" fillId="0" borderId="20" xfId="189" applyNumberFormat="1" applyFont="1" applyBorder="1"/>
    <xf numFmtId="37" fontId="55" fillId="0" borderId="21" xfId="189" applyNumberFormat="1" applyFont="1" applyBorder="1"/>
    <xf numFmtId="0" fontId="55" fillId="0" borderId="0" xfId="189" applyFont="1" applyBorder="1"/>
    <xf numFmtId="0" fontId="55" fillId="0" borderId="23" xfId="189" applyFont="1" applyBorder="1"/>
    <xf numFmtId="0" fontId="54" fillId="0" borderId="22" xfId="189" applyFont="1" applyBorder="1"/>
    <xf numFmtId="37" fontId="55" fillId="0" borderId="65" xfId="189" applyNumberFormat="1" applyFont="1" applyBorder="1"/>
    <xf numFmtId="37" fontId="55" fillId="0" borderId="62" xfId="189" applyNumberFormat="1" applyFont="1" applyBorder="1"/>
    <xf numFmtId="0" fontId="55" fillId="0" borderId="19" xfId="189" applyFont="1" applyBorder="1"/>
    <xf numFmtId="0" fontId="55" fillId="0" borderId="20" xfId="189" applyFont="1" applyBorder="1"/>
    <xf numFmtId="0" fontId="55" fillId="0" borderId="21" xfId="189" applyFont="1" applyBorder="1"/>
    <xf numFmtId="0" fontId="10" fillId="0" borderId="0" xfId="0" quotePrefix="1" applyFont="1" applyAlignment="1">
      <alignment horizontal="left"/>
    </xf>
    <xf numFmtId="3" fontId="10" fillId="0" borderId="23" xfId="0" applyNumberFormat="1" applyFont="1" applyFill="1" applyBorder="1" applyAlignment="1">
      <alignment horizontal="right"/>
    </xf>
    <xf numFmtId="3" fontId="10" fillId="0" borderId="23" xfId="0" applyNumberFormat="1" applyFont="1" applyFill="1" applyBorder="1"/>
    <xf numFmtId="3" fontId="11" fillId="0" borderId="17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 horizontal="right"/>
    </xf>
    <xf numFmtId="3" fontId="11" fillId="0" borderId="64" xfId="0" applyNumberFormat="1" applyFont="1" applyFill="1" applyBorder="1" applyAlignment="1">
      <alignment horizontal="right"/>
    </xf>
    <xf numFmtId="49" fontId="10" fillId="0" borderId="0" xfId="0" quotePrefix="1" applyNumberFormat="1" applyFont="1" applyFill="1" applyBorder="1" applyAlignment="1">
      <alignment horizontal="center"/>
    </xf>
    <xf numFmtId="0" fontId="12" fillId="0" borderId="0" xfId="203" quotePrefix="1" applyFont="1" applyFill="1" applyBorder="1" applyAlignment="1">
      <alignment horizontal="center" vertical="center"/>
    </xf>
    <xf numFmtId="176" fontId="55" fillId="0" borderId="0" xfId="388" applyNumberFormat="1" applyFont="1" applyAlignment="1">
      <alignment horizontal="right"/>
    </xf>
    <xf numFmtId="164" fontId="12" fillId="0" borderId="44" xfId="30" applyNumberFormat="1" applyFont="1" applyFill="1" applyBorder="1" applyAlignment="1">
      <alignment horizontal="right" vertical="center"/>
    </xf>
    <xf numFmtId="164" fontId="12" fillId="0" borderId="17" xfId="3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indent="2"/>
    </xf>
    <xf numFmtId="164" fontId="12" fillId="0" borderId="21" xfId="30" applyNumberFormat="1" applyFont="1" applyFill="1" applyBorder="1" applyAlignment="1">
      <alignment horizontal="right" vertical="center"/>
    </xf>
    <xf numFmtId="164" fontId="12" fillId="0" borderId="63" xfId="30" applyNumberFormat="1" applyFont="1" applyFill="1" applyBorder="1" applyAlignment="1">
      <alignment horizontal="right" vertical="center"/>
    </xf>
    <xf numFmtId="164" fontId="12" fillId="0" borderId="23" xfId="30" applyNumberFormat="1" applyFont="1" applyFill="1" applyBorder="1" applyAlignment="1">
      <alignment horizontal="right" vertical="center"/>
    </xf>
    <xf numFmtId="176" fontId="55" fillId="0" borderId="0" xfId="389" applyNumberFormat="1" applyFont="1" applyAlignment="1">
      <alignment horizontal="right"/>
    </xf>
    <xf numFmtId="176" fontId="55" fillId="0" borderId="0" xfId="391" applyNumberFormat="1" applyFont="1" applyAlignment="1">
      <alignment horizontal="right"/>
    </xf>
    <xf numFmtId="0" fontId="10" fillId="0" borderId="22" xfId="0" applyFont="1" applyBorder="1" applyAlignment="1">
      <alignment horizontal="left" indent="1"/>
    </xf>
    <xf numFmtId="0" fontId="10" fillId="0" borderId="0" xfId="0" applyFont="1" applyBorder="1"/>
    <xf numFmtId="176" fontId="55" fillId="0" borderId="30" xfId="392" applyNumberFormat="1" applyFont="1" applyBorder="1" applyAlignment="1">
      <alignment horizontal="right"/>
    </xf>
    <xf numFmtId="176" fontId="55" fillId="0" borderId="0" xfId="413" applyNumberFormat="1" applyFont="1" applyAlignment="1">
      <alignment horizontal="right"/>
    </xf>
    <xf numFmtId="164" fontId="55" fillId="0" borderId="24" xfId="30" applyNumberFormat="1" applyFont="1" applyBorder="1" applyAlignment="1">
      <alignment horizontal="right"/>
    </xf>
    <xf numFmtId="176" fontId="55" fillId="0" borderId="0" xfId="409" applyNumberFormat="1" applyFont="1" applyAlignment="1">
      <alignment horizontal="right"/>
    </xf>
    <xf numFmtId="164" fontId="55" fillId="0" borderId="0" xfId="30" applyNumberFormat="1" applyFont="1" applyAlignment="1">
      <alignment horizontal="right"/>
    </xf>
    <xf numFmtId="164" fontId="10" fillId="0" borderId="24" xfId="30" applyNumberFormat="1" applyFont="1" applyBorder="1" applyAlignment="1">
      <alignment horizontal="right"/>
    </xf>
    <xf numFmtId="176" fontId="55" fillId="0" borderId="0" xfId="410" applyNumberFormat="1" applyFont="1" applyAlignment="1">
      <alignment horizontal="right"/>
    </xf>
    <xf numFmtId="176" fontId="55" fillId="0" borderId="0" xfId="408" applyNumberFormat="1" applyFont="1" applyAlignment="1">
      <alignment horizontal="right"/>
    </xf>
    <xf numFmtId="0" fontId="11" fillId="0" borderId="20" xfId="0" applyFont="1" applyBorder="1" applyAlignment="1">
      <alignment horizontal="right"/>
    </xf>
    <xf numFmtId="176" fontId="55" fillId="0" borderId="0" xfId="411" applyNumberFormat="1" applyFont="1" applyAlignment="1">
      <alignment horizontal="right"/>
    </xf>
    <xf numFmtId="176" fontId="55" fillId="0" borderId="0" xfId="407" applyNumberFormat="1" applyFont="1" applyAlignment="1">
      <alignment horizontal="right"/>
    </xf>
    <xf numFmtId="0" fontId="10" fillId="0" borderId="20" xfId="0" applyFont="1" applyBorder="1" applyAlignment="1">
      <alignment horizontal="right"/>
    </xf>
    <xf numFmtId="164" fontId="27" fillId="0" borderId="0" xfId="175" quotePrefix="1" applyNumberFormat="1" applyFont="1" applyBorder="1" applyAlignment="1">
      <alignment horizontal="right"/>
    </xf>
    <xf numFmtId="0" fontId="24" fillId="0" borderId="16" xfId="175" applyFont="1" applyBorder="1" applyAlignment="1">
      <alignment horizontal="center" wrapText="1"/>
    </xf>
    <xf numFmtId="0" fontId="24" fillId="0" borderId="0" xfId="175" applyFont="1" applyFill="1" applyBorder="1" applyAlignment="1">
      <alignment horizontal="center"/>
    </xf>
    <xf numFmtId="164" fontId="27" fillId="21" borderId="17" xfId="30" applyNumberFormat="1" applyFont="1" applyFill="1" applyBorder="1"/>
    <xf numFmtId="0" fontId="28" fillId="0" borderId="16" xfId="175" applyFont="1" applyBorder="1" applyAlignment="1">
      <alignment horizontal="center" wrapText="1"/>
    </xf>
    <xf numFmtId="0" fontId="24" fillId="0" borderId="20" xfId="175" applyFont="1" applyFill="1" applyBorder="1" applyAlignment="1">
      <alignment horizontal="center" wrapText="1"/>
    </xf>
    <xf numFmtId="164" fontId="27" fillId="0" borderId="0" xfId="30" applyNumberFormat="1" applyFont="1" applyFill="1" applyAlignment="1">
      <alignment horizontal="center"/>
    </xf>
    <xf numFmtId="164" fontId="27" fillId="0" borderId="23" xfId="30" applyNumberFormat="1" applyFont="1" applyBorder="1" applyAlignment="1">
      <alignment horizontal="center"/>
    </xf>
    <xf numFmtId="164" fontId="12" fillId="0" borderId="0" xfId="30" applyNumberFormat="1" applyFont="1" applyFill="1" applyAlignment="1">
      <alignment horizontal="center"/>
    </xf>
    <xf numFmtId="164" fontId="27" fillId="0" borderId="20" xfId="30" applyNumberFormat="1" applyFont="1" applyBorder="1" applyAlignment="1"/>
    <xf numFmtId="164" fontId="27" fillId="0" borderId="21" xfId="30" applyNumberFormat="1" applyFont="1" applyBorder="1" applyAlignment="1"/>
    <xf numFmtId="164" fontId="27" fillId="0" borderId="16" xfId="30" applyNumberFormat="1" applyFont="1" applyBorder="1" applyAlignment="1">
      <alignment horizontal="center"/>
    </xf>
    <xf numFmtId="164" fontId="28" fillId="18" borderId="17" xfId="30" applyNumberFormat="1" applyFont="1" applyFill="1" applyBorder="1" applyAlignment="1">
      <alignment horizontal="center"/>
    </xf>
    <xf numFmtId="0" fontId="27" fillId="0" borderId="20" xfId="175" quotePrefix="1" applyFont="1" applyBorder="1" applyAlignment="1">
      <alignment horizontal="center"/>
    </xf>
    <xf numFmtId="164" fontId="74" fillId="0" borderId="0" xfId="175" applyNumberFormat="1" applyFont="1"/>
    <xf numFmtId="0" fontId="74" fillId="0" borderId="0" xfId="0" applyFont="1"/>
    <xf numFmtId="164" fontId="74" fillId="0" borderId="0" xfId="0" applyNumberFormat="1" applyFont="1"/>
    <xf numFmtId="0" fontId="10" fillId="0" borderId="0" xfId="0" quotePrefix="1" applyFont="1"/>
    <xf numFmtId="0" fontId="10" fillId="0" borderId="22" xfId="0" applyFont="1" applyBorder="1"/>
    <xf numFmtId="37" fontId="54" fillId="21" borderId="65" xfId="189" applyNumberFormat="1" applyFont="1" applyFill="1" applyBorder="1"/>
    <xf numFmtId="0" fontId="12" fillId="0" borderId="20" xfId="175" quotePrefix="1" applyFont="1" applyBorder="1" applyAlignment="1">
      <alignment horizontal="center"/>
    </xf>
    <xf numFmtId="37" fontId="12" fillId="0" borderId="0" xfId="175" quotePrefix="1" applyNumberFormat="1" applyFont="1" applyBorder="1" applyAlignment="1">
      <alignment horizontal="center"/>
    </xf>
    <xf numFmtId="0" fontId="12" fillId="0" borderId="0" xfId="189" applyFont="1" applyBorder="1"/>
    <xf numFmtId="0" fontId="10" fillId="0" borderId="0" xfId="189" applyFont="1" applyFill="1"/>
    <xf numFmtId="37" fontId="27" fillId="0" borderId="27" xfId="189" applyNumberFormat="1" applyFont="1" applyFill="1" applyBorder="1" applyProtection="1">
      <protection locked="0"/>
    </xf>
    <xf numFmtId="0" fontId="24" fillId="0" borderId="0" xfId="175" applyFont="1" applyBorder="1" applyAlignment="1">
      <alignment horizontal="center"/>
    </xf>
    <xf numFmtId="0" fontId="12" fillId="0" borderId="0" xfId="175" applyFont="1" applyFill="1"/>
    <xf numFmtId="0" fontId="10" fillId="0" borderId="0" xfId="0" quotePrefix="1" applyFont="1"/>
    <xf numFmtId="37" fontId="11" fillId="53" borderId="23" xfId="218" applyNumberFormat="1" applyFont="1" applyFill="1" applyBorder="1"/>
    <xf numFmtId="164" fontId="11" fillId="21" borderId="21" xfId="30" applyNumberFormat="1" applyFont="1" applyFill="1" applyBorder="1"/>
    <xf numFmtId="176" fontId="75" fillId="0" borderId="0" xfId="428" applyNumberFormat="1" applyFont="1" applyAlignment="1">
      <alignment horizontal="right"/>
    </xf>
    <xf numFmtId="176" fontId="75" fillId="0" borderId="0" xfId="429" applyNumberFormat="1" applyFont="1" applyAlignment="1">
      <alignment horizontal="right"/>
    </xf>
    <xf numFmtId="176" fontId="55" fillId="0" borderId="0" xfId="443" applyNumberFormat="1" applyFont="1" applyAlignment="1">
      <alignment horizontal="right"/>
    </xf>
    <xf numFmtId="164" fontId="24" fillId="53" borderId="5" xfId="30" applyNumberFormat="1" applyFont="1" applyFill="1" applyBorder="1"/>
    <xf numFmtId="164" fontId="12" fillId="0" borderId="65" xfId="30" applyNumberFormat="1" applyFont="1" applyFill="1" applyBorder="1"/>
    <xf numFmtId="37" fontId="24" fillId="21" borderId="5" xfId="175" applyNumberFormat="1" applyFont="1" applyFill="1" applyBorder="1" applyAlignment="1">
      <alignment horizontal="right"/>
    </xf>
    <xf numFmtId="164" fontId="24" fillId="21" borderId="5" xfId="175" applyNumberFormat="1" applyFont="1" applyFill="1" applyBorder="1"/>
    <xf numFmtId="164" fontId="12" fillId="0" borderId="33" xfId="175" applyNumberFormat="1" applyFont="1" applyFill="1" applyBorder="1"/>
    <xf numFmtId="43" fontId="10" fillId="0" borderId="0" xfId="0" applyNumberFormat="1" applyFont="1"/>
    <xf numFmtId="176" fontId="10" fillId="0" borderId="0" xfId="0" applyNumberFormat="1" applyFont="1"/>
    <xf numFmtId="0" fontId="24" fillId="0" borderId="0" xfId="189" applyFont="1" applyFill="1" applyAlignment="1">
      <alignment horizontal="center"/>
    </xf>
    <xf numFmtId="37" fontId="28" fillId="0" borderId="26" xfId="189" applyNumberFormat="1" applyFont="1" applyFill="1" applyBorder="1" applyProtection="1">
      <protection locked="0"/>
    </xf>
    <xf numFmtId="164" fontId="24" fillId="21" borderId="24" xfId="35" applyNumberFormat="1" applyFont="1" applyFill="1" applyBorder="1"/>
    <xf numFmtId="37" fontId="24" fillId="21" borderId="41" xfId="189" applyNumberFormat="1" applyFont="1" applyFill="1" applyBorder="1" applyProtection="1">
      <protection locked="0"/>
    </xf>
    <xf numFmtId="164" fontId="12" fillId="0" borderId="0" xfId="30" applyNumberFormat="1" applyFont="1" applyFill="1"/>
    <xf numFmtId="0" fontId="7" fillId="0" borderId="0" xfId="232" applyFont="1" applyAlignment="1">
      <alignment horizontal="center"/>
    </xf>
    <xf numFmtId="0" fontId="11" fillId="0" borderId="0" xfId="175" applyFont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175" applyFont="1" applyAlignment="1">
      <alignment horizontal="center"/>
    </xf>
    <xf numFmtId="0" fontId="28" fillId="0" borderId="0" xfId="189" applyFont="1" applyBorder="1" applyAlignment="1" applyProtection="1">
      <alignment horizontal="center"/>
      <protection locked="0"/>
    </xf>
    <xf numFmtId="0" fontId="24" fillId="0" borderId="0" xfId="189" applyFont="1" applyBorder="1" applyAlignment="1" applyProtection="1">
      <alignment horizontal="center"/>
      <protection locked="0"/>
    </xf>
    <xf numFmtId="0" fontId="28" fillId="0" borderId="0" xfId="189" applyFont="1" applyBorder="1" applyAlignment="1">
      <alignment horizontal="center"/>
    </xf>
    <xf numFmtId="0" fontId="28" fillId="0" borderId="0" xfId="189" applyFont="1" applyFill="1" applyBorder="1" applyAlignment="1">
      <alignment horizontal="center"/>
    </xf>
    <xf numFmtId="0" fontId="54" fillId="0" borderId="5" xfId="189" applyFont="1" applyBorder="1" applyAlignment="1">
      <alignment horizontal="center"/>
    </xf>
    <xf numFmtId="0" fontId="54" fillId="0" borderId="33" xfId="189" applyFont="1" applyBorder="1" applyAlignment="1">
      <alignment horizontal="center"/>
    </xf>
    <xf numFmtId="0" fontId="28" fillId="0" borderId="0" xfId="202" applyFont="1" applyBorder="1" applyAlignment="1">
      <alignment horizontal="center"/>
    </xf>
    <xf numFmtId="0" fontId="30" fillId="0" borderId="0" xfId="202" applyFont="1" applyAlignment="1">
      <alignment horizontal="center"/>
    </xf>
    <xf numFmtId="0" fontId="28" fillId="0" borderId="0" xfId="202" applyFont="1" applyFill="1" applyBorder="1" applyAlignment="1">
      <alignment horizontal="center"/>
    </xf>
    <xf numFmtId="39" fontId="11" fillId="0" borderId="14" xfId="218" applyFont="1" applyBorder="1" applyAlignment="1" applyProtection="1">
      <alignment horizontal="center"/>
      <protection locked="0"/>
    </xf>
    <xf numFmtId="39" fontId="11" fillId="0" borderId="18" xfId="218" applyFont="1" applyBorder="1" applyAlignment="1" applyProtection="1">
      <alignment horizontal="center"/>
      <protection locked="0"/>
    </xf>
    <xf numFmtId="39" fontId="11" fillId="0" borderId="15" xfId="218" applyFont="1" applyBorder="1" applyAlignment="1" applyProtection="1">
      <alignment horizontal="center"/>
    </xf>
    <xf numFmtId="39" fontId="11" fillId="0" borderId="19" xfId="218" applyFont="1" applyBorder="1" applyAlignment="1" applyProtection="1">
      <alignment horizontal="center"/>
    </xf>
    <xf numFmtId="39" fontId="11" fillId="0" borderId="14" xfId="218" applyFont="1" applyBorder="1" applyAlignment="1" applyProtection="1">
      <alignment horizontal="center"/>
    </xf>
    <xf numFmtId="39" fontId="11" fillId="0" borderId="18" xfId="218" applyFont="1" applyBorder="1" applyAlignment="1" applyProtection="1">
      <alignment horizontal="center"/>
    </xf>
    <xf numFmtId="39" fontId="10" fillId="0" borderId="0" xfId="218" applyFont="1" applyProtection="1"/>
    <xf numFmtId="39" fontId="11" fillId="0" borderId="0" xfId="218" applyFont="1" applyBorder="1" applyAlignment="1" applyProtection="1">
      <alignment horizontal="center"/>
      <protection locked="0"/>
    </xf>
    <xf numFmtId="0" fontId="0" fillId="0" borderId="0" xfId="0" applyBorder="1" applyAlignment="1"/>
    <xf numFmtId="0" fontId="28" fillId="0" borderId="0" xfId="0" applyFont="1" applyAlignment="1">
      <alignment horizontal="center"/>
    </xf>
    <xf numFmtId="0" fontId="10" fillId="0" borderId="0" xfId="117" applyFont="1" applyBorder="1" applyAlignment="1"/>
    <xf numFmtId="39" fontId="10" fillId="0" borderId="0" xfId="218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39" fontId="11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left"/>
    </xf>
    <xf numFmtId="0" fontId="32" fillId="0" borderId="0" xfId="189" applyFont="1" applyAlignment="1">
      <alignment horizontal="center"/>
    </xf>
    <xf numFmtId="39" fontId="28" fillId="0" borderId="0" xfId="189" applyNumberFormat="1" applyFont="1" applyFill="1" applyBorder="1" applyAlignment="1">
      <alignment horizontal="center"/>
    </xf>
    <xf numFmtId="0" fontId="28" fillId="0" borderId="25" xfId="189" applyFont="1" applyFill="1" applyBorder="1" applyAlignment="1" applyProtection="1">
      <alignment horizontal="center"/>
      <protection locked="0"/>
    </xf>
    <xf numFmtId="0" fontId="33" fillId="0" borderId="39" xfId="189" applyFont="1" applyBorder="1" applyAlignment="1">
      <alignment horizontal="center"/>
    </xf>
    <xf numFmtId="0" fontId="24" fillId="0" borderId="25" xfId="189" applyFont="1" applyFill="1" applyBorder="1" applyAlignment="1" applyProtection="1">
      <alignment horizontal="center"/>
      <protection locked="0"/>
    </xf>
    <xf numFmtId="0" fontId="0" fillId="0" borderId="0" xfId="0" applyFont="1" applyAlignment="1"/>
    <xf numFmtId="0" fontId="10" fillId="0" borderId="0" xfId="0" applyFont="1" applyAlignment="1"/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/>
    <xf numFmtId="0" fontId="11" fillId="0" borderId="25" xfId="0" applyFont="1" applyBorder="1" applyAlignment="1" applyProtection="1">
      <alignment horizontal="center"/>
      <protection locked="0"/>
    </xf>
    <xf numFmtId="0" fontId="8" fillId="0" borderId="46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1" fillId="0" borderId="15" xfId="0" applyFont="1" applyBorder="1" applyAlignment="1" applyProtection="1">
      <alignment horizontal="left" indent="1"/>
      <protection locked="0"/>
    </xf>
    <xf numFmtId="0" fontId="11" fillId="0" borderId="16" xfId="0" applyFont="1" applyBorder="1" applyAlignment="1" applyProtection="1">
      <alignment horizontal="left" indent="1"/>
      <protection locked="0"/>
    </xf>
    <xf numFmtId="0" fontId="11" fillId="0" borderId="22" xfId="0" applyFont="1" applyBorder="1" applyAlignment="1"/>
    <xf numFmtId="0" fontId="11" fillId="0" borderId="0" xfId="0" applyFont="1" applyBorder="1" applyAlignment="1"/>
    <xf numFmtId="0" fontId="11" fillId="0" borderId="23" xfId="0" applyFont="1" applyBorder="1" applyAlignment="1"/>
    <xf numFmtId="0" fontId="10" fillId="0" borderId="0" xfId="0" quotePrefix="1" applyFont="1" applyAlignment="1">
      <alignment horizontal="center"/>
    </xf>
    <xf numFmtId="0" fontId="11" fillId="0" borderId="32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33" xfId="0" applyFont="1" applyBorder="1" applyProtection="1">
      <protection locked="0"/>
    </xf>
    <xf numFmtId="0" fontId="10" fillId="0" borderId="22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60" xfId="0" applyFont="1" applyBorder="1" applyProtection="1">
      <protection locked="0"/>
    </xf>
    <xf numFmtId="0" fontId="11" fillId="0" borderId="29" xfId="0" applyFont="1" applyBorder="1" applyProtection="1">
      <protection locked="0"/>
    </xf>
    <xf numFmtId="0" fontId="11" fillId="0" borderId="60" xfId="0" applyFont="1" applyBorder="1" applyAlignment="1" applyProtection="1">
      <protection locked="0"/>
    </xf>
    <xf numFmtId="0" fontId="11" fillId="0" borderId="29" xfId="0" applyFont="1" applyBorder="1" applyAlignment="1" applyProtection="1">
      <protection locked="0"/>
    </xf>
    <xf numFmtId="0" fontId="11" fillId="0" borderId="19" xfId="0" applyFont="1" applyBorder="1" applyProtection="1">
      <protection locked="0"/>
    </xf>
    <xf numFmtId="0" fontId="11" fillId="0" borderId="20" xfId="0" applyFont="1" applyBorder="1" applyProtection="1">
      <protection locked="0"/>
    </xf>
    <xf numFmtId="0" fontId="11" fillId="0" borderId="21" xfId="0" applyFont="1" applyBorder="1" applyProtection="1">
      <protection locked="0"/>
    </xf>
    <xf numFmtId="0" fontId="10" fillId="0" borderId="22" xfId="0" quotePrefix="1" applyFont="1" applyBorder="1" applyProtection="1">
      <protection locked="0"/>
    </xf>
    <xf numFmtId="0" fontId="10" fillId="0" borderId="0" xfId="0" quotePrefix="1" applyFont="1" applyBorder="1" applyProtection="1">
      <protection locked="0"/>
    </xf>
    <xf numFmtId="0" fontId="11" fillId="0" borderId="22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58" xfId="0" applyFont="1" applyBorder="1" applyProtection="1">
      <protection locked="0"/>
    </xf>
    <xf numFmtId="0" fontId="11" fillId="0" borderId="46" xfId="0" applyFont="1" applyBorder="1" applyProtection="1">
      <protection locked="0"/>
    </xf>
    <xf numFmtId="172" fontId="11" fillId="0" borderId="22" xfId="0" applyNumberFormat="1" applyFont="1" applyBorder="1" applyAlignment="1" applyProtection="1">
      <alignment horizontal="left"/>
      <protection locked="0"/>
    </xf>
    <xf numFmtId="172" fontId="11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Alignment="1">
      <alignment horizontal="center"/>
    </xf>
    <xf numFmtId="0" fontId="10" fillId="0" borderId="22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0" xfId="0" quotePrefix="1" applyFont="1"/>
    <xf numFmtId="0" fontId="10" fillId="0" borderId="22" xfId="0" applyFont="1" applyBorder="1"/>
    <xf numFmtId="0" fontId="10" fillId="0" borderId="0" xfId="0" applyFont="1" applyBorder="1"/>
    <xf numFmtId="0" fontId="11" fillId="0" borderId="15" xfId="0" applyFont="1" applyBorder="1"/>
    <xf numFmtId="0" fontId="11" fillId="0" borderId="16" xfId="0" applyFont="1" applyBorder="1"/>
    <xf numFmtId="0" fontId="11" fillId="0" borderId="22" xfId="0" applyFont="1" applyBorder="1"/>
    <xf numFmtId="0" fontId="11" fillId="0" borderId="0" xfId="0" applyFont="1" applyBorder="1"/>
    <xf numFmtId="0" fontId="11" fillId="0" borderId="0" xfId="0" applyFont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4" fillId="0" borderId="0" xfId="175" applyFont="1" applyAlignment="1">
      <alignment horizontal="center"/>
    </xf>
  </cellXfs>
  <cellStyles count="457">
    <cellStyle name="20% - Accent1" xfId="365" builtinId="30" customBuiltin="1"/>
    <cellStyle name="20% - Accent1 2" xfId="1"/>
    <cellStyle name="20% - Accent1 3" xfId="395"/>
    <cellStyle name="20% - Accent1 4" xfId="416"/>
    <cellStyle name="20% - Accent1 5" xfId="431"/>
    <cellStyle name="20% - Accent1 6" xfId="445"/>
    <cellStyle name="20% - Accent2" xfId="369" builtinId="34" customBuiltin="1"/>
    <cellStyle name="20% - Accent2 2" xfId="2"/>
    <cellStyle name="20% - Accent2 3" xfId="397"/>
    <cellStyle name="20% - Accent2 4" xfId="418"/>
    <cellStyle name="20% - Accent2 5" xfId="433"/>
    <cellStyle name="20% - Accent2 6" xfId="447"/>
    <cellStyle name="20% - Accent3" xfId="373" builtinId="38" customBuiltin="1"/>
    <cellStyle name="20% - Accent3 2" xfId="3"/>
    <cellStyle name="20% - Accent3 3" xfId="399"/>
    <cellStyle name="20% - Accent3 4" xfId="420"/>
    <cellStyle name="20% - Accent3 5" xfId="435"/>
    <cellStyle name="20% - Accent3 6" xfId="449"/>
    <cellStyle name="20% - Accent4" xfId="377" builtinId="42" customBuiltin="1"/>
    <cellStyle name="20% - Accent4 2" xfId="4"/>
    <cellStyle name="20% - Accent4 3" xfId="401"/>
    <cellStyle name="20% - Accent4 4" xfId="422"/>
    <cellStyle name="20% - Accent4 5" xfId="437"/>
    <cellStyle name="20% - Accent4 6" xfId="451"/>
    <cellStyle name="20% - Accent5" xfId="381" builtinId="46" customBuiltin="1"/>
    <cellStyle name="20% - Accent5 2" xfId="5"/>
    <cellStyle name="20% - Accent5 3" xfId="403"/>
    <cellStyle name="20% - Accent5 4" xfId="424"/>
    <cellStyle name="20% - Accent5 5" xfId="439"/>
    <cellStyle name="20% - Accent5 6" xfId="453"/>
    <cellStyle name="20% - Accent6" xfId="385" builtinId="50" customBuiltin="1"/>
    <cellStyle name="20% - Accent6 2" xfId="6"/>
    <cellStyle name="20% - Accent6 3" xfId="405"/>
    <cellStyle name="20% - Accent6 4" xfId="426"/>
    <cellStyle name="20% - Accent6 5" xfId="441"/>
    <cellStyle name="20% - Accent6 6" xfId="455"/>
    <cellStyle name="40% - Accent1" xfId="366" builtinId="31" customBuiltin="1"/>
    <cellStyle name="40% - Accent1 2" xfId="7"/>
    <cellStyle name="40% - Accent1 3" xfId="396"/>
    <cellStyle name="40% - Accent1 4" xfId="417"/>
    <cellStyle name="40% - Accent1 5" xfId="432"/>
    <cellStyle name="40% - Accent1 6" xfId="446"/>
    <cellStyle name="40% - Accent2" xfId="370" builtinId="35" customBuiltin="1"/>
    <cellStyle name="40% - Accent2 2" xfId="8"/>
    <cellStyle name="40% - Accent2 3" xfId="398"/>
    <cellStyle name="40% - Accent2 4" xfId="419"/>
    <cellStyle name="40% - Accent2 5" xfId="434"/>
    <cellStyle name="40% - Accent2 6" xfId="448"/>
    <cellStyle name="40% - Accent3" xfId="374" builtinId="39" customBuiltin="1"/>
    <cellStyle name="40% - Accent3 2" xfId="9"/>
    <cellStyle name="40% - Accent3 3" xfId="400"/>
    <cellStyle name="40% - Accent3 4" xfId="421"/>
    <cellStyle name="40% - Accent3 5" xfId="436"/>
    <cellStyle name="40% - Accent3 6" xfId="450"/>
    <cellStyle name="40% - Accent4" xfId="378" builtinId="43" customBuiltin="1"/>
    <cellStyle name="40% - Accent4 2" xfId="10"/>
    <cellStyle name="40% - Accent4 3" xfId="402"/>
    <cellStyle name="40% - Accent4 4" xfId="423"/>
    <cellStyle name="40% - Accent4 5" xfId="438"/>
    <cellStyle name="40% - Accent4 6" xfId="452"/>
    <cellStyle name="40% - Accent5" xfId="382" builtinId="47" customBuiltin="1"/>
    <cellStyle name="40% - Accent5 2" xfId="11"/>
    <cellStyle name="40% - Accent5 3" xfId="404"/>
    <cellStyle name="40% - Accent5 4" xfId="425"/>
    <cellStyle name="40% - Accent5 5" xfId="440"/>
    <cellStyle name="40% - Accent5 6" xfId="454"/>
    <cellStyle name="40% - Accent6" xfId="386" builtinId="51" customBuiltin="1"/>
    <cellStyle name="40% - Accent6 2" xfId="12"/>
    <cellStyle name="40% - Accent6 3" xfId="406"/>
    <cellStyle name="40% - Accent6 4" xfId="427"/>
    <cellStyle name="40% - Accent6 5" xfId="442"/>
    <cellStyle name="40% - Accent6 6" xfId="456"/>
    <cellStyle name="60% - Accent1" xfId="367" builtinId="32" customBuiltin="1"/>
    <cellStyle name="60% - Accent1 2" xfId="13"/>
    <cellStyle name="60% - Accent2" xfId="371" builtinId="36" customBuiltin="1"/>
    <cellStyle name="60% - Accent2 2" xfId="14"/>
    <cellStyle name="60% - Accent3" xfId="375" builtinId="40" customBuiltin="1"/>
    <cellStyle name="60% - Accent3 2" xfId="15"/>
    <cellStyle name="60% - Accent4" xfId="379" builtinId="44" customBuiltin="1"/>
    <cellStyle name="60% - Accent4 2" xfId="16"/>
    <cellStyle name="60% - Accent5" xfId="383" builtinId="48" customBuiltin="1"/>
    <cellStyle name="60% - Accent5 2" xfId="17"/>
    <cellStyle name="60% - Accent6" xfId="387" builtinId="52" customBuiltin="1"/>
    <cellStyle name="60% - Accent6 2" xfId="18"/>
    <cellStyle name="Accent1" xfId="364" builtinId="29" customBuiltin="1"/>
    <cellStyle name="Accent1 2" xfId="19"/>
    <cellStyle name="Accent2" xfId="368" builtinId="33" customBuiltin="1"/>
    <cellStyle name="Accent2 2" xfId="20"/>
    <cellStyle name="Accent3" xfId="372" builtinId="37" customBuiltin="1"/>
    <cellStyle name="Accent3 2" xfId="21"/>
    <cellStyle name="Accent4" xfId="376" builtinId="41" customBuiltin="1"/>
    <cellStyle name="Accent4 2" xfId="22"/>
    <cellStyle name="Accent5" xfId="380" builtinId="45" customBuiltin="1"/>
    <cellStyle name="Accent5 2" xfId="23"/>
    <cellStyle name="Accent6" xfId="384" builtinId="49" customBuiltin="1"/>
    <cellStyle name="Accent6 2" xfId="24"/>
    <cellStyle name="Bad" xfId="354" builtinId="27" customBuiltin="1"/>
    <cellStyle name="Bad 2" xfId="25"/>
    <cellStyle name="bottom" xfId="26"/>
    <cellStyle name="Calc Currency (0)" xfId="27"/>
    <cellStyle name="Calculation" xfId="358" builtinId="22" customBuiltin="1"/>
    <cellStyle name="Calculation 2" xfId="28"/>
    <cellStyle name="Check Cell" xfId="360" builtinId="23" customBuiltin="1"/>
    <cellStyle name="Check Cell 2" xfId="29"/>
    <cellStyle name="Comma" xfId="30" builtinId="3"/>
    <cellStyle name="Comma 10" xfId="31"/>
    <cellStyle name="Comma 2" xfId="32"/>
    <cellStyle name="Comma 2 2" xfId="33"/>
    <cellStyle name="Comma 2 3" xfId="34"/>
    <cellStyle name="Comma 3" xfId="35"/>
    <cellStyle name="Comma 3 2" xfId="36"/>
    <cellStyle name="Comma 3 3" xfId="37"/>
    <cellStyle name="Comma 3 4" xfId="38"/>
    <cellStyle name="Comma 4" xfId="39"/>
    <cellStyle name="Comma 4 2" xfId="40"/>
    <cellStyle name="Comma 4 3" xfId="41"/>
    <cellStyle name="Comma 5" xfId="42"/>
    <cellStyle name="Comma 5 2" xfId="43"/>
    <cellStyle name="Comma 5 3" xfId="44"/>
    <cellStyle name="Comma 6" xfId="45"/>
    <cellStyle name="Comma 6 2" xfId="46"/>
    <cellStyle name="Comma 6 3" xfId="47"/>
    <cellStyle name="Comma 7" xfId="48"/>
    <cellStyle name="Comma 7 2" xfId="49"/>
    <cellStyle name="Comma 7 3" xfId="50"/>
    <cellStyle name="Comma 8" xfId="51"/>
    <cellStyle name="Comma 8 2" xfId="52"/>
    <cellStyle name="Comma 9" xfId="53"/>
    <cellStyle name="Copied" xfId="54"/>
    <cellStyle name="COSS" xfId="55"/>
    <cellStyle name="Currency 2" xfId="56"/>
    <cellStyle name="Currency 2 2" xfId="57"/>
    <cellStyle name="Currency 2 3" xfId="58"/>
    <cellStyle name="Currency 3" xfId="59"/>
    <cellStyle name="Currency 3 2" xfId="60"/>
    <cellStyle name="Currency 4" xfId="61"/>
    <cellStyle name="Currency 5" xfId="62"/>
    <cellStyle name="Currency 6" xfId="63"/>
    <cellStyle name="Currency 7" xfId="64"/>
    <cellStyle name="Currency 7 2" xfId="65"/>
    <cellStyle name="Date" xfId="66"/>
    <cellStyle name="Entered" xfId="67"/>
    <cellStyle name="Explanatory Text" xfId="362" builtinId="53" customBuiltin="1"/>
    <cellStyle name="Explanatory Text 2" xfId="68"/>
    <cellStyle name="Good" xfId="353" builtinId="26" customBuiltin="1"/>
    <cellStyle name="Good 2" xfId="69"/>
    <cellStyle name="Grey" xfId="70"/>
    <cellStyle name="Header1" xfId="71"/>
    <cellStyle name="Header2" xfId="72"/>
    <cellStyle name="Heading 1" xfId="349" builtinId="16" customBuiltin="1"/>
    <cellStyle name="Heading 1 2" xfId="73"/>
    <cellStyle name="Heading 2" xfId="350" builtinId="17" customBuiltin="1"/>
    <cellStyle name="Heading 2 2" xfId="74"/>
    <cellStyle name="Heading 3" xfId="351" builtinId="18" customBuiltin="1"/>
    <cellStyle name="Heading 3 2" xfId="75"/>
    <cellStyle name="Heading 4" xfId="352" builtinId="19" customBuiltin="1"/>
    <cellStyle name="Heading 4 2" xfId="76"/>
    <cellStyle name="Input" xfId="356" builtinId="20" customBuiltin="1"/>
    <cellStyle name="Input [yellow]" xfId="77"/>
    <cellStyle name="Input 2" xfId="78"/>
    <cellStyle name="Linked Cell" xfId="359" builtinId="24" customBuiltin="1"/>
    <cellStyle name="Linked Cell 2" xfId="79"/>
    <cellStyle name="Neutral" xfId="355" builtinId="28" customBuiltin="1"/>
    <cellStyle name="Neutral 2" xfId="80"/>
    <cellStyle name="Normal" xfId="0" builtinId="0"/>
    <cellStyle name="Normal - Style1" xfId="81"/>
    <cellStyle name="Normal - Style1 2" xfId="82"/>
    <cellStyle name="Normal 10" xfId="83"/>
    <cellStyle name="Normal 100" xfId="84"/>
    <cellStyle name="Normal 101" xfId="85"/>
    <cellStyle name="Normal 102" xfId="86"/>
    <cellStyle name="Normal 103" xfId="87"/>
    <cellStyle name="Normal 104" xfId="88"/>
    <cellStyle name="Normal 105" xfId="89"/>
    <cellStyle name="Normal 106" xfId="90"/>
    <cellStyle name="Normal 107" xfId="91"/>
    <cellStyle name="Normal 108" xfId="92"/>
    <cellStyle name="Normal 109" xfId="93"/>
    <cellStyle name="Normal 11" xfId="94"/>
    <cellStyle name="Normal 11 2" xfId="95"/>
    <cellStyle name="Normal 110" xfId="96"/>
    <cellStyle name="Normal 111" xfId="97"/>
    <cellStyle name="Normal 112" xfId="98"/>
    <cellStyle name="Normal 113" xfId="99"/>
    <cellStyle name="Normal 114" xfId="100"/>
    <cellStyle name="Normal 115" xfId="101"/>
    <cellStyle name="Normal 116" xfId="102"/>
    <cellStyle name="Normal 117" xfId="103"/>
    <cellStyle name="Normal 118" xfId="104"/>
    <cellStyle name="Normal 119" xfId="105"/>
    <cellStyle name="Normal 12" xfId="106"/>
    <cellStyle name="Normal 120" xfId="107"/>
    <cellStyle name="Normal 121" xfId="108"/>
    <cellStyle name="Normal 122" xfId="109"/>
    <cellStyle name="Normal 123" xfId="110"/>
    <cellStyle name="Normal 124" xfId="111"/>
    <cellStyle name="Normal 125" xfId="112"/>
    <cellStyle name="Normal 126" xfId="113"/>
    <cellStyle name="Normal 127" xfId="114"/>
    <cellStyle name="Normal 128" xfId="115"/>
    <cellStyle name="Normal 129" xfId="116"/>
    <cellStyle name="Normal 13" xfId="117"/>
    <cellStyle name="Normal 13 2" xfId="118"/>
    <cellStyle name="Normal 130" xfId="119"/>
    <cellStyle name="Normal 131" xfId="120"/>
    <cellStyle name="Normal 132" xfId="121"/>
    <cellStyle name="Normal 133" xfId="122"/>
    <cellStyle name="Normal 134" xfId="123"/>
    <cellStyle name="Normal 135" xfId="124"/>
    <cellStyle name="Normal 136" xfId="125"/>
    <cellStyle name="Normal 137" xfId="126"/>
    <cellStyle name="Normal 138" xfId="127"/>
    <cellStyle name="Normal 139" xfId="128"/>
    <cellStyle name="Normal 14" xfId="129"/>
    <cellStyle name="Normal 140" xfId="130"/>
    <cellStyle name="Normal 141" xfId="131"/>
    <cellStyle name="Normal 142" xfId="132"/>
    <cellStyle name="Normal 143" xfId="133"/>
    <cellStyle name="Normal 144" xfId="134"/>
    <cellStyle name="Normal 145" xfId="135"/>
    <cellStyle name="Normal 146" xfId="136"/>
    <cellStyle name="Normal 147" xfId="137"/>
    <cellStyle name="Normal 148" xfId="138"/>
    <cellStyle name="Normal 149" xfId="139"/>
    <cellStyle name="Normal 15" xfId="140"/>
    <cellStyle name="Normal 150" xfId="141"/>
    <cellStyle name="Normal 151" xfId="142"/>
    <cellStyle name="Normal 152" xfId="143"/>
    <cellStyle name="Normal 153" xfId="144"/>
    <cellStyle name="Normal 154" xfId="145"/>
    <cellStyle name="Normal 155" xfId="146"/>
    <cellStyle name="Normal 156" xfId="147"/>
    <cellStyle name="Normal 157" xfId="148"/>
    <cellStyle name="Normal 158" xfId="149"/>
    <cellStyle name="Normal 159" xfId="150"/>
    <cellStyle name="Normal 16" xfId="151"/>
    <cellStyle name="Normal 160" xfId="152"/>
    <cellStyle name="Normal 161" xfId="153"/>
    <cellStyle name="Normal 162" xfId="154"/>
    <cellStyle name="Normal 163" xfId="155"/>
    <cellStyle name="Normal 164" xfId="156"/>
    <cellStyle name="Normal 165" xfId="157"/>
    <cellStyle name="Normal 166" xfId="158"/>
    <cellStyle name="Normal 167" xfId="159"/>
    <cellStyle name="Normal 168" xfId="160"/>
    <cellStyle name="Normal 169" xfId="161"/>
    <cellStyle name="Normal 17" xfId="162"/>
    <cellStyle name="Normal 170" xfId="163"/>
    <cellStyle name="Normal 170 2" xfId="164"/>
    <cellStyle name="Normal 171" xfId="165"/>
    <cellStyle name="Normal 172" xfId="166"/>
    <cellStyle name="Normal 173" xfId="167"/>
    <cellStyle name="Normal 174" xfId="168"/>
    <cellStyle name="Normal 175" xfId="169"/>
    <cellStyle name="Normal 176" xfId="170"/>
    <cellStyle name="Normal 177" xfId="171"/>
    <cellStyle name="Normal 178" xfId="172"/>
    <cellStyle name="Normal 179" xfId="388"/>
    <cellStyle name="Normal 18" xfId="173"/>
    <cellStyle name="Normal 180" xfId="389"/>
    <cellStyle name="Normal 181" xfId="391"/>
    <cellStyle name="Normal 182" xfId="392"/>
    <cellStyle name="Normal 183" xfId="393"/>
    <cellStyle name="Normal 184" xfId="408"/>
    <cellStyle name="Normal 185" xfId="409"/>
    <cellStyle name="Normal 186" xfId="407"/>
    <cellStyle name="Normal 187" xfId="410"/>
    <cellStyle name="Normal 188" xfId="411"/>
    <cellStyle name="Normal 189" xfId="412"/>
    <cellStyle name="Normal 19" xfId="174"/>
    <cellStyle name="Normal 190" xfId="413"/>
    <cellStyle name="Normal 191" xfId="414"/>
    <cellStyle name="Normal 192" xfId="428"/>
    <cellStyle name="Normal 193" xfId="429"/>
    <cellStyle name="Normal 194" xfId="443"/>
    <cellStyle name="Normal 2" xfId="175"/>
    <cellStyle name="Normal 2 2" xfId="176"/>
    <cellStyle name="Normal 2 3" xfId="177"/>
    <cellStyle name="Normal 2 4" xfId="178"/>
    <cellStyle name="Normal 20" xfId="179"/>
    <cellStyle name="Normal 21" xfId="180"/>
    <cellStyle name="Normal 22" xfId="181"/>
    <cellStyle name="Normal 23" xfId="182"/>
    <cellStyle name="Normal 24" xfId="183"/>
    <cellStyle name="Normal 25" xfId="184"/>
    <cellStyle name="Normal 26" xfId="185"/>
    <cellStyle name="Normal 27" xfId="186"/>
    <cellStyle name="Normal 28" xfId="187"/>
    <cellStyle name="Normal 29" xfId="188"/>
    <cellStyle name="Normal 3" xfId="189"/>
    <cellStyle name="Normal 3 2" xfId="190"/>
    <cellStyle name="Normal 3 3" xfId="191"/>
    <cellStyle name="Normal 30" xfId="192"/>
    <cellStyle name="Normal 31" xfId="193"/>
    <cellStyle name="Normal 32" xfId="194"/>
    <cellStyle name="Normal 33" xfId="195"/>
    <cellStyle name="Normal 34" xfId="196"/>
    <cellStyle name="Normal 35" xfId="197"/>
    <cellStyle name="Normal 36" xfId="198"/>
    <cellStyle name="Normal 37" xfId="199"/>
    <cellStyle name="Normal 38" xfId="200"/>
    <cellStyle name="Normal 39" xfId="201"/>
    <cellStyle name="Normal 4" xfId="202"/>
    <cellStyle name="Normal 4 2" xfId="203"/>
    <cellStyle name="Normal 4 2 2" xfId="204"/>
    <cellStyle name="Normal 4 3" xfId="205"/>
    <cellStyle name="Normal 4 4" xfId="206"/>
    <cellStyle name="Normal 4 5" xfId="207"/>
    <cellStyle name="Normal 40" xfId="208"/>
    <cellStyle name="Normal 41" xfId="209"/>
    <cellStyle name="Normal 42" xfId="210"/>
    <cellStyle name="Normal 43" xfId="211"/>
    <cellStyle name="Normal 44" xfId="212"/>
    <cellStyle name="Normal 45" xfId="213"/>
    <cellStyle name="Normal 46" xfId="214"/>
    <cellStyle name="Normal 47" xfId="215"/>
    <cellStyle name="Normal 48" xfId="216"/>
    <cellStyle name="Normal 49" xfId="217"/>
    <cellStyle name="Normal 5" xfId="218"/>
    <cellStyle name="Normal 5 2" xfId="219"/>
    <cellStyle name="Normal 5 3" xfId="220"/>
    <cellStyle name="Normal 5 4" xfId="221"/>
    <cellStyle name="Normal 50" xfId="222"/>
    <cellStyle name="Normal 51" xfId="223"/>
    <cellStyle name="Normal 52" xfId="224"/>
    <cellStyle name="Normal 53" xfId="225"/>
    <cellStyle name="Normal 54" xfId="226"/>
    <cellStyle name="Normal 55" xfId="227"/>
    <cellStyle name="Normal 56" xfId="228"/>
    <cellStyle name="Normal 57" xfId="229"/>
    <cellStyle name="Normal 58" xfId="230"/>
    <cellStyle name="Normal 59" xfId="231"/>
    <cellStyle name="Normal 6" xfId="232"/>
    <cellStyle name="Normal 6 2" xfId="233"/>
    <cellStyle name="Normal 6 3" xfId="234"/>
    <cellStyle name="Normal 6 4" xfId="235"/>
    <cellStyle name="Normal 60" xfId="236"/>
    <cellStyle name="Normal 61" xfId="237"/>
    <cellStyle name="Normal 62" xfId="238"/>
    <cellStyle name="Normal 63" xfId="239"/>
    <cellStyle name="Normal 63 2" xfId="240"/>
    <cellStyle name="Normal 64" xfId="241"/>
    <cellStyle name="Normal 64 2" xfId="242"/>
    <cellStyle name="Normal 65" xfId="243"/>
    <cellStyle name="Normal 65 2" xfId="244"/>
    <cellStyle name="Normal 66" xfId="245"/>
    <cellStyle name="Normal 66 2" xfId="246"/>
    <cellStyle name="Normal 67" xfId="247"/>
    <cellStyle name="Normal 67 2" xfId="248"/>
    <cellStyle name="Normal 68" xfId="249"/>
    <cellStyle name="Normal 68 2" xfId="250"/>
    <cellStyle name="Normal 69" xfId="251"/>
    <cellStyle name="Normal 69 2" xfId="252"/>
    <cellStyle name="Normal 7" xfId="253"/>
    <cellStyle name="Normal 7 2" xfId="254"/>
    <cellStyle name="Normal 7 3" xfId="255"/>
    <cellStyle name="Normal 70" xfId="256"/>
    <cellStyle name="Normal 70 2" xfId="257"/>
    <cellStyle name="Normal 71" xfId="258"/>
    <cellStyle name="Normal 71 2" xfId="259"/>
    <cellStyle name="Normal 72" xfId="260"/>
    <cellStyle name="Normal 72 2" xfId="261"/>
    <cellStyle name="Normal 73" xfId="262"/>
    <cellStyle name="Normal 73 2" xfId="263"/>
    <cellStyle name="Normal 74" xfId="264"/>
    <cellStyle name="Normal 74 2" xfId="265"/>
    <cellStyle name="Normal 75" xfId="266"/>
    <cellStyle name="Normal 75 2" xfId="267"/>
    <cellStyle name="Normal 76" xfId="268"/>
    <cellStyle name="Normal 76 2" xfId="269"/>
    <cellStyle name="Normal 77" xfId="270"/>
    <cellStyle name="Normal 77 2" xfId="271"/>
    <cellStyle name="Normal 78" xfId="272"/>
    <cellStyle name="Normal 78 2" xfId="273"/>
    <cellStyle name="Normal 79" xfId="274"/>
    <cellStyle name="Normal 79 2" xfId="275"/>
    <cellStyle name="Normal 8" xfId="276"/>
    <cellStyle name="Normal 80" xfId="277"/>
    <cellStyle name="Normal 80 2" xfId="278"/>
    <cellStyle name="Normal 81" xfId="279"/>
    <cellStyle name="Normal 81 2" xfId="280"/>
    <cellStyle name="Normal 82" xfId="281"/>
    <cellStyle name="Normal 82 2" xfId="282"/>
    <cellStyle name="Normal 83" xfId="283"/>
    <cellStyle name="Normal 83 2" xfId="284"/>
    <cellStyle name="Normal 84" xfId="285"/>
    <cellStyle name="Normal 84 2" xfId="286"/>
    <cellStyle name="Normal 85" xfId="287"/>
    <cellStyle name="Normal 85 2" xfId="288"/>
    <cellStyle name="Normal 86" xfId="289"/>
    <cellStyle name="Normal 86 2" xfId="290"/>
    <cellStyle name="Normal 87" xfId="291"/>
    <cellStyle name="Normal 87 2" xfId="292"/>
    <cellStyle name="Normal 88" xfId="293"/>
    <cellStyle name="Normal 88 2" xfId="294"/>
    <cellStyle name="Normal 89" xfId="295"/>
    <cellStyle name="Normal 9" xfId="296"/>
    <cellStyle name="Normal 90" xfId="297"/>
    <cellStyle name="Normal 90 2" xfId="298"/>
    <cellStyle name="Normal 91" xfId="299"/>
    <cellStyle name="Normal 91 2" xfId="300"/>
    <cellStyle name="Normal 92" xfId="301"/>
    <cellStyle name="Normal 92 2" xfId="302"/>
    <cellStyle name="Normal 93" xfId="303"/>
    <cellStyle name="Normal 93 2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rmal_Sheet1" xfId="311"/>
    <cellStyle name="Note 2" xfId="312"/>
    <cellStyle name="Note 2 2" xfId="313"/>
    <cellStyle name="Note 3" xfId="314"/>
    <cellStyle name="Note 4" xfId="390"/>
    <cellStyle name="Note 5" xfId="394"/>
    <cellStyle name="Note 6" xfId="415"/>
    <cellStyle name="Note 7" xfId="430"/>
    <cellStyle name="Note 8" xfId="444"/>
    <cellStyle name="Output" xfId="357" builtinId="21" customBuiltin="1"/>
    <cellStyle name="Output 2" xfId="315"/>
    <cellStyle name="Percent" xfId="316" builtinId="5"/>
    <cellStyle name="Percent [2]" xfId="317"/>
    <cellStyle name="Percent [2] 2" xfId="318"/>
    <cellStyle name="Percent 10" xfId="319"/>
    <cellStyle name="Percent 11" xfId="320"/>
    <cellStyle name="Percent 12" xfId="321"/>
    <cellStyle name="Percent 13" xfId="322"/>
    <cellStyle name="Percent 14" xfId="323"/>
    <cellStyle name="Percent 15" xfId="324"/>
    <cellStyle name="Percent 16" xfId="325"/>
    <cellStyle name="Percent 17" xfId="326"/>
    <cellStyle name="Percent 18" xfId="327"/>
    <cellStyle name="Percent 19" xfId="328"/>
    <cellStyle name="Percent 2" xfId="329"/>
    <cellStyle name="Percent 20" xfId="330"/>
    <cellStyle name="Percent 21" xfId="331"/>
    <cellStyle name="Percent 22" xfId="332"/>
    <cellStyle name="Percent 23" xfId="333"/>
    <cellStyle name="Percent 24" xfId="334"/>
    <cellStyle name="Percent 25" xfId="335"/>
    <cellStyle name="Percent 3" xfId="336"/>
    <cellStyle name="Percent 4" xfId="337"/>
    <cellStyle name="Percent 5" xfId="338"/>
    <cellStyle name="Percent 6" xfId="339"/>
    <cellStyle name="Percent 7" xfId="340"/>
    <cellStyle name="Percent 8" xfId="341"/>
    <cellStyle name="Percent 9" xfId="342"/>
    <cellStyle name="RevList" xfId="343"/>
    <cellStyle name="Subtotal" xfId="344"/>
    <cellStyle name="Title" xfId="348" builtinId="15" customBuiltin="1"/>
    <cellStyle name="Title 2" xfId="345"/>
    <cellStyle name="Total" xfId="363" builtinId="25" customBuiltin="1"/>
    <cellStyle name="Total 2" xfId="346"/>
    <cellStyle name="Warning Text" xfId="361" builtinId="11" customBuiltin="1"/>
    <cellStyle name="Warning Text 2" xfId="3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st%20of%20Service%20Studies/1997/Misc/DepnAlloc9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ors"/>
      <sheetName val="memo"/>
      <sheetName val="compare1"/>
      <sheetName val="compare2"/>
      <sheetName val="NEPIS"/>
      <sheetName val="Percents"/>
      <sheetName val="Reserve"/>
    </sheetNames>
    <sheetDataSet>
      <sheetData sheetId="0">
        <row r="36">
          <cell r="G36">
            <v>3.1555953393734217E-2</v>
          </cell>
          <cell r="H36">
            <v>0.44975449000000001</v>
          </cell>
          <cell r="I36">
            <v>3.1301695685717203E-2</v>
          </cell>
          <cell r="J36">
            <v>9.5491549999999994E-2</v>
          </cell>
          <cell r="K36">
            <v>6.6459535260169353E-3</v>
          </cell>
          <cell r="L36">
            <v>1.3461999999999641E-3</v>
          </cell>
          <cell r="M36">
            <v>9.369187783341835E-5</v>
          </cell>
        </row>
        <row r="37">
          <cell r="G37">
            <v>8.6395551857412836E-3</v>
          </cell>
          <cell r="H37">
            <v>0.45684071999999998</v>
          </cell>
          <cell r="I37">
            <v>9.0452856203557964E-3</v>
          </cell>
          <cell r="J37">
            <v>0.10681035999999999</v>
          </cell>
          <cell r="K37">
            <v>2.1148075710348802E-3</v>
          </cell>
          <cell r="L37">
            <v>0</v>
          </cell>
          <cell r="M37">
            <v>0</v>
          </cell>
        </row>
        <row r="38">
          <cell r="G38">
            <v>0.4489982669233516</v>
          </cell>
          <cell r="I38">
            <v>0.45366685563460774</v>
          </cell>
          <cell r="K38">
            <v>9.4341407208555272E-2</v>
          </cell>
          <cell r="M38">
            <v>2.9934702334854296E-3</v>
          </cell>
        </row>
        <row r="43">
          <cell r="G43">
            <v>0.18763902662435747</v>
          </cell>
          <cell r="H43">
            <v>0.38110751999999998</v>
          </cell>
          <cell r="I43">
            <v>0.13150473715669542</v>
          </cell>
          <cell r="J43">
            <v>7.3027910000000001E-2</v>
          </cell>
          <cell r="K43">
            <v>2.5198967760207955E-2</v>
          </cell>
          <cell r="L43">
            <v>2.076980000000006E-3</v>
          </cell>
          <cell r="M43">
            <v>7.1668149969781236E-4</v>
          </cell>
        </row>
        <row r="44">
          <cell r="G44">
            <v>3.7005018703275681E-2</v>
          </cell>
          <cell r="H44">
            <v>0.39601945999999999</v>
          </cell>
          <cell r="I44">
            <v>2.856413339067676E-2</v>
          </cell>
          <cell r="J44">
            <v>7.9997230000000003E-2</v>
          </cell>
          <cell r="K44">
            <v>5.7700486450959982E-3</v>
          </cell>
          <cell r="L44">
            <v>1.0937549999999963E-2</v>
          </cell>
          <cell r="M44">
            <v>7.8890476030444451E-4</v>
          </cell>
        </row>
        <row r="45">
          <cell r="G45">
            <v>0.12636103011790398</v>
          </cell>
          <cell r="H45">
            <v>0.45366446999999999</v>
          </cell>
          <cell r="I45">
            <v>0.12766544711804123</v>
          </cell>
          <cell r="J45">
            <v>9.4356040000000002E-2</v>
          </cell>
          <cell r="K45">
            <v>2.6552676772081764E-2</v>
          </cell>
          <cell r="L45">
            <v>2.9503200000000618E-3</v>
          </cell>
          <cell r="M45">
            <v>8.3024778630186162E-4</v>
          </cell>
        </row>
        <row r="46">
          <cell r="G46">
            <v>9.8716704747464801E-2</v>
          </cell>
          <cell r="H46">
            <v>0.44572827999999998</v>
          </cell>
          <cell r="I46">
            <v>9.5346229378553665E-2</v>
          </cell>
          <cell r="J46">
            <v>9.2770350000000001E-2</v>
          </cell>
          <cell r="K46">
            <v>1.9844608178392238E-2</v>
          </cell>
          <cell r="L46">
            <v>1.6660000000001673E-5</v>
          </cell>
          <cell r="M46">
            <v>3.5637590270172301E-6</v>
          </cell>
        </row>
        <row r="47">
          <cell r="G47">
            <v>3.517698638687082E-2</v>
          </cell>
          <cell r="H47">
            <v>0.44955867999999999</v>
          </cell>
          <cell r="I47">
            <v>3.4511631408741993E-2</v>
          </cell>
          <cell r="J47">
            <v>9.2215530000000004E-2</v>
          </cell>
          <cell r="K47">
            <v>7.0791834817243212E-3</v>
          </cell>
          <cell r="L47">
            <v>0</v>
          </cell>
          <cell r="M47">
            <v>0</v>
          </cell>
        </row>
        <row r="48">
          <cell r="G48">
            <v>4.6794810117264506E-3</v>
          </cell>
          <cell r="H48">
            <v>0.45684071999999998</v>
          </cell>
          <cell r="I48">
            <v>4.899238606167376E-3</v>
          </cell>
          <cell r="J48">
            <v>0.10681035999999999</v>
          </cell>
          <cell r="K48">
            <v>1.1454527066909353E-3</v>
          </cell>
          <cell r="L48">
            <v>0</v>
          </cell>
          <cell r="M48">
            <v>0</v>
          </cell>
        </row>
        <row r="49">
          <cell r="G49">
            <v>0.48957824759159924</v>
          </cell>
          <cell r="I49">
            <v>0.42249141705887644</v>
          </cell>
          <cell r="K49">
            <v>8.559093754419321E-2</v>
          </cell>
          <cell r="M49">
            <v>2.339397805331136E-3</v>
          </cell>
        </row>
        <row r="53">
          <cell r="I53" t="str">
            <v xml:space="preserve"> (8)  Col. (c) x Col. (e)</v>
          </cell>
        </row>
        <row r="54">
          <cell r="I54" t="str">
            <v xml:space="preserve"> (9)  Col. (c) x Col. (g)</v>
          </cell>
        </row>
        <row r="55">
          <cell r="I55" t="str">
            <v xml:space="preserve"> (10)  Col. (c) x Col. (i)</v>
          </cell>
        </row>
        <row r="56">
          <cell r="I56" t="str">
            <v xml:space="preserve"> (11)  Col. (c) x Col. (k)</v>
          </cell>
        </row>
        <row r="57">
          <cell r="I57" t="str">
            <v xml:space="preserve"> (12)  1998 Functionalization run, page 1 of 6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3:Q142"/>
  <sheetViews>
    <sheetView showGridLines="0" tabSelected="1" zoomScaleNormal="100" workbookViewId="0">
      <selection activeCell="I13" sqref="I13"/>
    </sheetView>
  </sheetViews>
  <sheetFormatPr defaultRowHeight="12.75"/>
  <cols>
    <col min="1" max="1" width="3.44140625" style="160" bestFit="1" customWidth="1"/>
    <col min="2" max="2" width="18.6640625" style="160" bestFit="1" customWidth="1"/>
    <col min="3" max="7" width="11.77734375" style="160" customWidth="1"/>
    <col min="8" max="14" width="11.6640625" style="160" bestFit="1" customWidth="1"/>
    <col min="15" max="16384" width="8.88671875" style="160"/>
  </cols>
  <sheetData>
    <row r="3" spans="1:8">
      <c r="A3" s="799" t="s">
        <v>0</v>
      </c>
      <c r="B3" s="799"/>
      <c r="C3" s="799"/>
      <c r="D3" s="799"/>
      <c r="E3" s="799"/>
      <c r="F3" s="799"/>
      <c r="G3" s="799"/>
    </row>
    <row r="4" spans="1:8">
      <c r="A4" s="800" t="s">
        <v>29</v>
      </c>
      <c r="B4" s="800"/>
      <c r="C4" s="800"/>
      <c r="D4" s="800"/>
      <c r="E4" s="800"/>
      <c r="F4" s="800"/>
      <c r="G4" s="800"/>
    </row>
    <row r="5" spans="1:8">
      <c r="A5" s="800" t="s">
        <v>557</v>
      </c>
      <c r="B5" s="800"/>
      <c r="C5" s="800"/>
      <c r="D5" s="800"/>
      <c r="E5" s="800"/>
      <c r="F5" s="800"/>
      <c r="G5" s="800"/>
      <c r="H5" s="794"/>
    </row>
    <row r="6" spans="1:8">
      <c r="A6" s="161"/>
    </row>
    <row r="7" spans="1:8" s="163" customFormat="1">
      <c r="A7" s="162"/>
      <c r="B7" s="163" t="s">
        <v>1</v>
      </c>
      <c r="C7" s="163" t="s">
        <v>2</v>
      </c>
      <c r="D7" s="163" t="s">
        <v>3</v>
      </c>
      <c r="E7" s="163" t="s">
        <v>4</v>
      </c>
      <c r="F7" s="163" t="s">
        <v>5</v>
      </c>
      <c r="G7" s="163" t="s">
        <v>7</v>
      </c>
    </row>
    <row r="9" spans="1:8" ht="25.5">
      <c r="A9" s="177" t="s">
        <v>38</v>
      </c>
      <c r="B9" s="178" t="s">
        <v>47</v>
      </c>
      <c r="C9" s="179" t="s">
        <v>11</v>
      </c>
      <c r="D9" s="179" t="s">
        <v>12</v>
      </c>
      <c r="E9" s="179" t="s">
        <v>13</v>
      </c>
      <c r="F9" s="180" t="s">
        <v>366</v>
      </c>
      <c r="G9" s="181" t="s">
        <v>16</v>
      </c>
    </row>
    <row r="10" spans="1:8">
      <c r="A10" s="164">
        <v>1</v>
      </c>
      <c r="B10" s="165" t="s">
        <v>576</v>
      </c>
      <c r="C10" s="166">
        <v>673163579.68191695</v>
      </c>
      <c r="D10" s="167">
        <v>265125551.69591001</v>
      </c>
      <c r="E10" s="166">
        <v>409413455.854577</v>
      </c>
      <c r="F10" s="166">
        <v>87482153.572759479</v>
      </c>
      <c r="G10" s="168">
        <f t="shared" ref="G10:G22" si="0">+SUM(C10:F10)</f>
        <v>1435184740.8051634</v>
      </c>
    </row>
    <row r="11" spans="1:8">
      <c r="A11" s="169">
        <f t="shared" ref="A11:A24" si="1">+A10+1</f>
        <v>2</v>
      </c>
      <c r="B11" s="170" t="s">
        <v>577</v>
      </c>
      <c r="C11" s="166">
        <v>673163579.68191695</v>
      </c>
      <c r="D11" s="167">
        <v>265244838.05033699</v>
      </c>
      <c r="E11" s="166">
        <v>409419150.854577</v>
      </c>
      <c r="F11" s="166">
        <v>87608494.15116328</v>
      </c>
      <c r="G11" s="168">
        <f t="shared" si="0"/>
        <v>1435436062.7379942</v>
      </c>
    </row>
    <row r="12" spans="1:8">
      <c r="A12" s="169">
        <f t="shared" si="1"/>
        <v>3</v>
      </c>
      <c r="B12" s="171" t="s">
        <v>17</v>
      </c>
      <c r="C12" s="166">
        <v>673163579.68191695</v>
      </c>
      <c r="D12" s="167">
        <v>265348253.06728399</v>
      </c>
      <c r="E12" s="166">
        <v>409424851.854577</v>
      </c>
      <c r="F12" s="166">
        <v>87612656.598874331</v>
      </c>
      <c r="G12" s="168">
        <f t="shared" si="0"/>
        <v>1435549341.2026522</v>
      </c>
    </row>
    <row r="13" spans="1:8">
      <c r="A13" s="169">
        <f t="shared" si="1"/>
        <v>4</v>
      </c>
      <c r="B13" s="171" t="s">
        <v>18</v>
      </c>
      <c r="C13" s="166">
        <v>673180715.61287999</v>
      </c>
      <c r="D13" s="167">
        <v>267097994.792665</v>
      </c>
      <c r="E13" s="166">
        <v>411251946.32461703</v>
      </c>
      <c r="F13" s="166">
        <v>87996809.764998034</v>
      </c>
      <c r="G13" s="168">
        <f t="shared" si="0"/>
        <v>1439527466.4951601</v>
      </c>
    </row>
    <row r="14" spans="1:8">
      <c r="A14" s="169">
        <f t="shared" si="1"/>
        <v>5</v>
      </c>
      <c r="B14" s="171" t="s">
        <v>19</v>
      </c>
      <c r="C14" s="166">
        <v>673275185.86850905</v>
      </c>
      <c r="D14" s="167">
        <v>267131451.50035599</v>
      </c>
      <c r="E14" s="166">
        <v>411292309.27153701</v>
      </c>
      <c r="F14" s="166">
        <v>88003768.581852242</v>
      </c>
      <c r="G14" s="168">
        <f t="shared" si="0"/>
        <v>1439702715.2222543</v>
      </c>
    </row>
    <row r="15" spans="1:8">
      <c r="A15" s="169">
        <f t="shared" si="1"/>
        <v>6</v>
      </c>
      <c r="B15" s="171" t="s">
        <v>20</v>
      </c>
      <c r="C15" s="166">
        <v>673909026.16732502</v>
      </c>
      <c r="D15" s="167">
        <v>267166988.20804799</v>
      </c>
      <c r="E15" s="166">
        <v>411846146.27153701</v>
      </c>
      <c r="F15" s="166">
        <v>88015236.271616429</v>
      </c>
      <c r="G15" s="168">
        <f t="shared" si="0"/>
        <v>1440937396.9185264</v>
      </c>
    </row>
    <row r="16" spans="1:8">
      <c r="A16" s="169">
        <f t="shared" si="1"/>
        <v>7</v>
      </c>
      <c r="B16" s="171" t="s">
        <v>21</v>
      </c>
      <c r="C16" s="166">
        <v>674049642.935691</v>
      </c>
      <c r="D16" s="167">
        <v>267435826.69574299</v>
      </c>
      <c r="E16" s="166">
        <v>415184667.69148099</v>
      </c>
      <c r="F16" s="166">
        <v>88444117.712380633</v>
      </c>
      <c r="G16" s="168">
        <f t="shared" si="0"/>
        <v>1445114255.0352957</v>
      </c>
    </row>
    <row r="17" spans="1:17">
      <c r="A17" s="169">
        <f t="shared" si="1"/>
        <v>8</v>
      </c>
      <c r="B17" s="171" t="s">
        <v>22</v>
      </c>
      <c r="C17" s="166">
        <v>674426607.63228798</v>
      </c>
      <c r="D17" s="167">
        <v>268378319.63704899</v>
      </c>
      <c r="E17" s="166">
        <v>415318001.07735002</v>
      </c>
      <c r="F17" s="166">
        <v>88451076.529234737</v>
      </c>
      <c r="G17" s="168">
        <f t="shared" si="0"/>
        <v>1446574004.8759215</v>
      </c>
    </row>
    <row r="18" spans="1:17">
      <c r="A18" s="169">
        <f t="shared" si="1"/>
        <v>9</v>
      </c>
      <c r="B18" s="171" t="s">
        <v>23</v>
      </c>
      <c r="C18" s="166">
        <v>674576741.02532804</v>
      </c>
      <c r="D18" s="167">
        <v>273972773.52009398</v>
      </c>
      <c r="E18" s="166">
        <v>415624815.48514599</v>
      </c>
      <c r="F18" s="166">
        <v>88450354.270258933</v>
      </c>
      <c r="G18" s="168">
        <f t="shared" si="0"/>
        <v>1452624684.300827</v>
      </c>
    </row>
    <row r="19" spans="1:17">
      <c r="A19" s="169">
        <f t="shared" si="1"/>
        <v>10</v>
      </c>
      <c r="B19" s="171" t="s">
        <v>24</v>
      </c>
      <c r="C19" s="166">
        <v>675024210.38233304</v>
      </c>
      <c r="D19" s="167">
        <v>274345732.184156</v>
      </c>
      <c r="E19" s="166">
        <v>420123572.36739498</v>
      </c>
      <c r="F19" s="166">
        <v>88896267.51149933</v>
      </c>
      <c r="G19" s="168">
        <f t="shared" si="0"/>
        <v>1458389782.4453833</v>
      </c>
    </row>
    <row r="20" spans="1:17">
      <c r="A20" s="169">
        <f t="shared" si="1"/>
        <v>11</v>
      </c>
      <c r="B20" s="171" t="s">
        <v>25</v>
      </c>
      <c r="C20" s="166">
        <v>675586695.92870796</v>
      </c>
      <c r="D20" s="167">
        <v>274371605.59407699</v>
      </c>
      <c r="E20" s="166">
        <v>420497561.522879</v>
      </c>
      <c r="F20" s="166">
        <v>89632519.493531033</v>
      </c>
      <c r="G20" s="168">
        <f t="shared" si="0"/>
        <v>1460088382.5391948</v>
      </c>
    </row>
    <row r="21" spans="1:17">
      <c r="A21" s="169">
        <f t="shared" si="1"/>
        <v>12</v>
      </c>
      <c r="B21" s="171" t="s">
        <v>26</v>
      </c>
      <c r="C21" s="166">
        <v>675543641.60362995</v>
      </c>
      <c r="D21" s="167">
        <v>280841776.42585701</v>
      </c>
      <c r="E21" s="166">
        <v>420506013.522879</v>
      </c>
      <c r="F21" s="166">
        <v>89809198.382476956</v>
      </c>
      <c r="G21" s="168">
        <f t="shared" si="0"/>
        <v>1466700629.9348428</v>
      </c>
    </row>
    <row r="22" spans="1:17">
      <c r="A22" s="169">
        <f t="shared" si="1"/>
        <v>13</v>
      </c>
      <c r="B22" s="171" t="s">
        <v>27</v>
      </c>
      <c r="C22" s="166">
        <v>679221629.86087501</v>
      </c>
      <c r="D22" s="167">
        <v>326482223.72962302</v>
      </c>
      <c r="E22" s="166">
        <v>424511209.30702502</v>
      </c>
      <c r="F22" s="166">
        <v>90988117.513018474</v>
      </c>
      <c r="G22" s="168">
        <f t="shared" si="0"/>
        <v>1521203180.4105413</v>
      </c>
    </row>
    <row r="23" spans="1:17">
      <c r="A23" s="169">
        <f t="shared" si="1"/>
        <v>14</v>
      </c>
      <c r="B23" s="171"/>
      <c r="C23" s="166"/>
      <c r="D23" s="166"/>
      <c r="E23" s="166"/>
      <c r="F23" s="166"/>
      <c r="G23" s="168"/>
    </row>
    <row r="24" spans="1:17">
      <c r="A24" s="169">
        <f t="shared" si="1"/>
        <v>15</v>
      </c>
      <c r="B24" s="207" t="s">
        <v>28</v>
      </c>
      <c r="C24" s="205">
        <f>AVERAGE(C10:C22)</f>
        <v>674483448.9279474</v>
      </c>
      <c r="D24" s="205">
        <f>AVERAGE(D10:D22)</f>
        <v>274072564.23855376</v>
      </c>
      <c r="E24" s="205">
        <f>AVERAGE(E10:E22)</f>
        <v>414954900.10812128</v>
      </c>
      <c r="F24" s="205">
        <f>AVERAGE(F10:F22)</f>
        <v>88568520.796435669</v>
      </c>
      <c r="G24" s="206">
        <f>AVERAGE(G10:G22)</f>
        <v>1452079434.071058</v>
      </c>
    </row>
    <row r="25" spans="1:17">
      <c r="A25" s="169"/>
      <c r="B25" s="172"/>
      <c r="C25" s="173"/>
      <c r="D25" s="173"/>
      <c r="E25" s="173"/>
      <c r="F25" s="173"/>
      <c r="G25" s="174"/>
    </row>
    <row r="26" spans="1:17">
      <c r="A26" s="175"/>
    </row>
    <row r="27" spans="1:17">
      <c r="A27" s="176"/>
      <c r="F27" s="166"/>
    </row>
    <row r="28" spans="1:17" ht="15">
      <c r="A28" s="176"/>
      <c r="C28" s="660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56"/>
    </row>
    <row r="29" spans="1:17">
      <c r="A29" s="176"/>
      <c r="C29" s="657"/>
      <c r="D29" s="657"/>
      <c r="E29" s="657"/>
      <c r="F29" s="657"/>
      <c r="G29" s="657"/>
      <c r="H29" s="657"/>
      <c r="I29" s="657"/>
      <c r="J29" s="657"/>
      <c r="K29" s="657"/>
      <c r="L29" s="657"/>
      <c r="M29" s="657"/>
      <c r="N29" s="657"/>
      <c r="O29" s="657"/>
      <c r="P29" s="656"/>
    </row>
    <row r="30" spans="1:17">
      <c r="A30" s="176"/>
      <c r="C30" s="656"/>
      <c r="D30" s="656"/>
      <c r="E30" s="656"/>
      <c r="F30" s="656"/>
      <c r="G30" s="656"/>
      <c r="H30" s="656"/>
      <c r="I30" s="656"/>
      <c r="J30" s="656"/>
      <c r="K30" s="656"/>
      <c r="L30" s="656"/>
      <c r="M30" s="656"/>
      <c r="N30" s="656"/>
      <c r="O30" s="656"/>
      <c r="P30" s="656"/>
    </row>
    <row r="31" spans="1:17">
      <c r="A31" s="176"/>
    </row>
    <row r="32" spans="1:17">
      <c r="A32" s="176"/>
    </row>
    <row r="33" spans="1:1">
      <c r="A33" s="176"/>
    </row>
    <row r="34" spans="1:1">
      <c r="A34" s="176"/>
    </row>
    <row r="35" spans="1:1">
      <c r="A35" s="176"/>
    </row>
    <row r="36" spans="1:1">
      <c r="A36" s="176"/>
    </row>
    <row r="37" spans="1:1">
      <c r="A37" s="176"/>
    </row>
    <row r="38" spans="1:1">
      <c r="A38" s="176"/>
    </row>
    <row r="39" spans="1:1">
      <c r="A39" s="176"/>
    </row>
    <row r="40" spans="1:1">
      <c r="A40" s="176"/>
    </row>
    <row r="41" spans="1:1">
      <c r="A41" s="176"/>
    </row>
    <row r="42" spans="1:1">
      <c r="A42" s="176"/>
    </row>
    <row r="43" spans="1:1">
      <c r="A43" s="176"/>
    </row>
    <row r="44" spans="1:1">
      <c r="A44" s="176"/>
    </row>
    <row r="45" spans="1:1">
      <c r="A45" s="176"/>
    </row>
    <row r="46" spans="1:1">
      <c r="A46" s="176"/>
    </row>
    <row r="47" spans="1:1">
      <c r="A47" s="176"/>
    </row>
    <row r="48" spans="1:1">
      <c r="A48" s="176"/>
    </row>
    <row r="49" spans="1:1">
      <c r="A49" s="176"/>
    </row>
    <row r="50" spans="1:1">
      <c r="A50" s="176"/>
    </row>
    <row r="51" spans="1:1">
      <c r="A51" s="176"/>
    </row>
    <row r="52" spans="1:1">
      <c r="A52" s="176"/>
    </row>
    <row r="53" spans="1:1">
      <c r="A53" s="176"/>
    </row>
    <row r="54" spans="1:1">
      <c r="A54" s="176"/>
    </row>
    <row r="55" spans="1:1">
      <c r="A55" s="176"/>
    </row>
    <row r="56" spans="1:1">
      <c r="A56" s="176"/>
    </row>
    <row r="57" spans="1:1">
      <c r="A57" s="176"/>
    </row>
    <row r="58" spans="1:1">
      <c r="A58" s="176"/>
    </row>
    <row r="59" spans="1:1">
      <c r="A59" s="176"/>
    </row>
    <row r="60" spans="1:1">
      <c r="A60" s="176"/>
    </row>
    <row r="61" spans="1:1">
      <c r="A61" s="176"/>
    </row>
    <row r="62" spans="1:1">
      <c r="A62" s="176"/>
    </row>
    <row r="63" spans="1:1">
      <c r="A63" s="176"/>
    </row>
    <row r="64" spans="1:1">
      <c r="A64" s="176"/>
    </row>
    <row r="65" spans="1:1">
      <c r="A65" s="176"/>
    </row>
    <row r="66" spans="1:1">
      <c r="A66" s="176"/>
    </row>
    <row r="67" spans="1:1">
      <c r="A67" s="176"/>
    </row>
    <row r="68" spans="1:1">
      <c r="A68" s="176"/>
    </row>
    <row r="69" spans="1:1">
      <c r="A69" s="176"/>
    </row>
    <row r="70" spans="1:1">
      <c r="A70" s="176"/>
    </row>
    <row r="71" spans="1:1">
      <c r="A71" s="176"/>
    </row>
    <row r="72" spans="1:1">
      <c r="A72" s="176"/>
    </row>
    <row r="73" spans="1:1">
      <c r="A73" s="176"/>
    </row>
    <row r="74" spans="1:1">
      <c r="A74" s="176"/>
    </row>
    <row r="75" spans="1:1">
      <c r="A75" s="176"/>
    </row>
    <row r="76" spans="1:1">
      <c r="A76" s="176"/>
    </row>
    <row r="77" spans="1:1">
      <c r="A77" s="176"/>
    </row>
    <row r="78" spans="1:1">
      <c r="A78" s="176"/>
    </row>
    <row r="79" spans="1:1">
      <c r="A79" s="176"/>
    </row>
    <row r="80" spans="1:1">
      <c r="A80" s="176"/>
    </row>
    <row r="81" spans="1:1">
      <c r="A81" s="176"/>
    </row>
    <row r="82" spans="1:1">
      <c r="A82" s="176"/>
    </row>
    <row r="83" spans="1:1">
      <c r="A83" s="176"/>
    </row>
    <row r="84" spans="1:1">
      <c r="A84" s="176"/>
    </row>
    <row r="85" spans="1:1">
      <c r="A85" s="176"/>
    </row>
    <row r="86" spans="1:1">
      <c r="A86" s="176"/>
    </row>
    <row r="87" spans="1:1">
      <c r="A87" s="176"/>
    </row>
    <row r="88" spans="1:1">
      <c r="A88" s="176"/>
    </row>
    <row r="89" spans="1:1">
      <c r="A89" s="176"/>
    </row>
    <row r="90" spans="1:1">
      <c r="A90" s="176"/>
    </row>
    <row r="91" spans="1:1">
      <c r="A91" s="176"/>
    </row>
    <row r="92" spans="1:1">
      <c r="A92" s="176"/>
    </row>
    <row r="93" spans="1:1">
      <c r="A93" s="176"/>
    </row>
    <row r="94" spans="1:1">
      <c r="A94" s="176"/>
    </row>
    <row r="95" spans="1:1">
      <c r="A95" s="176"/>
    </row>
    <row r="96" spans="1:1">
      <c r="A96" s="176"/>
    </row>
    <row r="97" spans="1:1">
      <c r="A97" s="176"/>
    </row>
    <row r="98" spans="1:1">
      <c r="A98" s="176"/>
    </row>
    <row r="99" spans="1:1">
      <c r="A99" s="176"/>
    </row>
    <row r="100" spans="1:1">
      <c r="A100" s="176"/>
    </row>
    <row r="101" spans="1:1">
      <c r="A101" s="176"/>
    </row>
    <row r="102" spans="1:1">
      <c r="A102" s="176"/>
    </row>
    <row r="103" spans="1:1">
      <c r="A103" s="176"/>
    </row>
    <row r="104" spans="1:1">
      <c r="A104" s="176"/>
    </row>
    <row r="105" spans="1:1">
      <c r="A105" s="176"/>
    </row>
    <row r="106" spans="1:1">
      <c r="A106" s="176"/>
    </row>
    <row r="107" spans="1:1">
      <c r="A107" s="176"/>
    </row>
    <row r="108" spans="1:1">
      <c r="A108" s="176"/>
    </row>
    <row r="109" spans="1:1">
      <c r="A109" s="176"/>
    </row>
    <row r="110" spans="1:1">
      <c r="A110" s="176"/>
    </row>
    <row r="111" spans="1:1">
      <c r="A111" s="176"/>
    </row>
    <row r="112" spans="1:1">
      <c r="A112" s="176"/>
    </row>
    <row r="113" spans="1:1">
      <c r="A113" s="176"/>
    </row>
    <row r="114" spans="1:1">
      <c r="A114" s="176"/>
    </row>
    <row r="115" spans="1:1">
      <c r="A115" s="176"/>
    </row>
    <row r="116" spans="1:1">
      <c r="A116" s="176"/>
    </row>
    <row r="117" spans="1:1">
      <c r="A117" s="176"/>
    </row>
    <row r="118" spans="1:1">
      <c r="A118" s="176"/>
    </row>
    <row r="119" spans="1:1">
      <c r="A119" s="176"/>
    </row>
    <row r="120" spans="1:1">
      <c r="A120" s="176"/>
    </row>
    <row r="121" spans="1:1">
      <c r="A121" s="176"/>
    </row>
    <row r="122" spans="1:1">
      <c r="A122" s="176"/>
    </row>
    <row r="123" spans="1:1">
      <c r="A123" s="176"/>
    </row>
    <row r="124" spans="1:1">
      <c r="A124" s="176"/>
    </row>
    <row r="125" spans="1:1">
      <c r="A125" s="176"/>
    </row>
    <row r="126" spans="1:1">
      <c r="A126" s="176"/>
    </row>
    <row r="127" spans="1:1">
      <c r="A127" s="176"/>
    </row>
    <row r="128" spans="1:1">
      <c r="A128" s="176"/>
    </row>
    <row r="129" spans="1:1">
      <c r="A129" s="176"/>
    </row>
    <row r="130" spans="1:1">
      <c r="A130" s="176"/>
    </row>
    <row r="131" spans="1:1">
      <c r="A131" s="176"/>
    </row>
    <row r="132" spans="1:1">
      <c r="A132" s="176"/>
    </row>
    <row r="133" spans="1:1">
      <c r="A133" s="176"/>
    </row>
    <row r="134" spans="1:1">
      <c r="A134" s="176"/>
    </row>
    <row r="135" spans="1:1">
      <c r="A135" s="176"/>
    </row>
    <row r="136" spans="1:1">
      <c r="A136" s="176"/>
    </row>
    <row r="137" spans="1:1">
      <c r="A137" s="176"/>
    </row>
    <row r="138" spans="1:1">
      <c r="A138" s="176"/>
    </row>
    <row r="139" spans="1:1">
      <c r="A139" s="176"/>
    </row>
    <row r="140" spans="1:1">
      <c r="A140" s="176"/>
    </row>
    <row r="141" spans="1:1">
      <c r="A141" s="176"/>
    </row>
    <row r="142" spans="1:1">
      <c r="A142" s="176"/>
    </row>
  </sheetData>
  <mergeCells count="3">
    <mergeCell ref="A3:G3"/>
    <mergeCell ref="A4:G4"/>
    <mergeCell ref="A5:G5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1 of 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Normal="100" workbookViewId="0">
      <selection activeCell="I9" sqref="I9"/>
    </sheetView>
  </sheetViews>
  <sheetFormatPr defaultRowHeight="12.75"/>
  <cols>
    <col min="1" max="1" width="3.44140625" style="353" bestFit="1" customWidth="1"/>
    <col min="2" max="2" width="13.44140625" style="353" customWidth="1"/>
    <col min="3" max="5" width="5.21875" style="353" customWidth="1"/>
    <col min="6" max="6" width="5.44140625" style="353" customWidth="1"/>
    <col min="7" max="7" width="12.21875" style="353" customWidth="1"/>
    <col min="8" max="8" width="2.21875" style="353" customWidth="1"/>
    <col min="9" max="16384" width="8.88671875" style="353"/>
  </cols>
  <sheetData>
    <row r="1" spans="1:10">
      <c r="A1" s="356"/>
      <c r="B1" s="356"/>
      <c r="C1" s="356"/>
      <c r="D1" s="356"/>
      <c r="E1" s="356"/>
      <c r="F1" s="356"/>
      <c r="G1" s="356"/>
      <c r="H1" s="356"/>
    </row>
    <row r="2" spans="1:10">
      <c r="A2" s="821" t="s">
        <v>0</v>
      </c>
      <c r="B2" s="821"/>
      <c r="C2" s="821"/>
      <c r="D2" s="821"/>
      <c r="E2" s="821"/>
      <c r="F2" s="821"/>
      <c r="G2" s="821"/>
      <c r="H2" s="356"/>
    </row>
    <row r="3" spans="1:10">
      <c r="A3" s="819" t="s">
        <v>380</v>
      </c>
      <c r="B3" s="822"/>
      <c r="C3" s="822"/>
      <c r="D3" s="822"/>
      <c r="E3" s="822"/>
      <c r="F3" s="822"/>
      <c r="G3" s="822"/>
      <c r="H3" s="822"/>
    </row>
    <row r="4" spans="1:10">
      <c r="A4" s="819" t="str">
        <f>'Page 9-11 - Funct'!A4:D4</f>
        <v>Budget Year 2013</v>
      </c>
      <c r="B4" s="822"/>
      <c r="C4" s="822"/>
      <c r="D4" s="822"/>
      <c r="E4" s="822"/>
      <c r="F4" s="822"/>
      <c r="G4" s="822"/>
      <c r="H4" s="822"/>
      <c r="I4" s="471"/>
      <c r="J4" s="471"/>
    </row>
    <row r="5" spans="1:10">
      <c r="A5" s="356"/>
      <c r="B5" s="356"/>
      <c r="C5" s="356"/>
      <c r="D5" s="356"/>
      <c r="E5" s="356"/>
      <c r="F5" s="356"/>
      <c r="G5" s="356"/>
      <c r="H5" s="356"/>
      <c r="I5" s="794"/>
    </row>
    <row r="6" spans="1:10">
      <c r="A6" s="356"/>
      <c r="B6" s="823" t="s">
        <v>1</v>
      </c>
      <c r="C6" s="823"/>
      <c r="D6" s="823"/>
      <c r="E6" s="823"/>
      <c r="F6" s="324"/>
      <c r="G6" s="29" t="s">
        <v>2</v>
      </c>
      <c r="H6" s="356"/>
    </row>
    <row r="7" spans="1:10">
      <c r="A7" s="356"/>
      <c r="B7" s="356"/>
      <c r="C7" s="356"/>
      <c r="D7" s="356"/>
      <c r="E7" s="356"/>
      <c r="F7" s="356"/>
      <c r="G7" s="356"/>
      <c r="H7" s="356"/>
    </row>
    <row r="8" spans="1:10">
      <c r="A8" s="238" t="s">
        <v>8</v>
      </c>
      <c r="B8" s="357"/>
      <c r="C8" s="358"/>
      <c r="D8" s="358"/>
      <c r="E8" s="358"/>
      <c r="F8" s="358"/>
      <c r="G8" s="359"/>
      <c r="H8" s="356"/>
    </row>
    <row r="9" spans="1:10">
      <c r="A9" s="240" t="s">
        <v>10</v>
      </c>
      <c r="B9" s="338" t="s">
        <v>381</v>
      </c>
      <c r="C9" s="339"/>
      <c r="D9" s="339"/>
      <c r="E9" s="339"/>
      <c r="F9" s="339"/>
      <c r="G9" s="340" t="s">
        <v>69</v>
      </c>
      <c r="H9" s="356"/>
    </row>
    <row r="10" spans="1:10">
      <c r="A10" s="341">
        <v>1</v>
      </c>
      <c r="B10" s="357" t="s">
        <v>382</v>
      </c>
      <c r="C10" s="358"/>
      <c r="D10" s="358"/>
      <c r="E10" s="358"/>
      <c r="F10" s="358"/>
      <c r="G10" s="359"/>
      <c r="H10" s="356"/>
    </row>
    <row r="11" spans="1:10">
      <c r="A11" s="341">
        <f t="shared" ref="A11:A23" si="0">+A10+1</f>
        <v>2</v>
      </c>
      <c r="B11" s="360" t="s">
        <v>383</v>
      </c>
      <c r="C11" s="361"/>
      <c r="D11" s="361"/>
      <c r="E11" s="361"/>
      <c r="F11" s="361"/>
      <c r="G11" s="633">
        <f>G63</f>
        <v>266508</v>
      </c>
      <c r="H11" s="362" t="s">
        <v>384</v>
      </c>
    </row>
    <row r="12" spans="1:10">
      <c r="A12" s="341">
        <f t="shared" si="0"/>
        <v>3</v>
      </c>
      <c r="B12" s="360" t="s">
        <v>385</v>
      </c>
      <c r="C12" s="361"/>
      <c r="D12" s="361"/>
      <c r="E12" s="361"/>
      <c r="F12" s="361"/>
      <c r="G12" s="631">
        <v>0.66</v>
      </c>
      <c r="H12" s="362" t="s">
        <v>386</v>
      </c>
    </row>
    <row r="13" spans="1:10">
      <c r="A13" s="341">
        <f t="shared" si="0"/>
        <v>4</v>
      </c>
      <c r="B13" s="363"/>
      <c r="C13" s="364"/>
      <c r="D13" s="364"/>
      <c r="E13" s="364"/>
      <c r="F13" s="364"/>
      <c r="G13" s="432">
        <f>+G11*G12</f>
        <v>175895.28</v>
      </c>
      <c r="H13" s="362"/>
    </row>
    <row r="14" spans="1:10">
      <c r="A14" s="341">
        <f t="shared" si="0"/>
        <v>5</v>
      </c>
      <c r="B14" s="365"/>
      <c r="C14" s="366"/>
      <c r="D14" s="366"/>
      <c r="E14" s="366"/>
      <c r="F14" s="366"/>
      <c r="G14" s="367"/>
      <c r="H14" s="362"/>
    </row>
    <row r="15" spans="1:10">
      <c r="A15" s="341">
        <f t="shared" si="0"/>
        <v>6</v>
      </c>
      <c r="B15" s="365" t="s">
        <v>387</v>
      </c>
      <c r="C15" s="366"/>
      <c r="D15" s="366"/>
      <c r="E15" s="366"/>
      <c r="F15" s="366"/>
      <c r="G15" s="367"/>
      <c r="H15" s="362"/>
    </row>
    <row r="16" spans="1:10">
      <c r="A16" s="341">
        <f t="shared" si="0"/>
        <v>7</v>
      </c>
      <c r="B16" s="360" t="s">
        <v>388</v>
      </c>
      <c r="C16" s="361"/>
      <c r="D16" s="361"/>
      <c r="E16" s="361"/>
      <c r="F16" s="361"/>
      <c r="G16" s="342">
        <f>'Page 9-11 - Funct'!D187</f>
        <v>1054841</v>
      </c>
      <c r="H16" s="362" t="s">
        <v>389</v>
      </c>
    </row>
    <row r="17" spans="1:8">
      <c r="A17" s="341">
        <f t="shared" si="0"/>
        <v>8</v>
      </c>
      <c r="B17" s="360" t="s">
        <v>390</v>
      </c>
      <c r="C17" s="361"/>
      <c r="D17" s="361"/>
      <c r="E17" s="361"/>
      <c r="F17" s="361"/>
      <c r="G17" s="368">
        <f>+G13</f>
        <v>175895.28</v>
      </c>
      <c r="H17" s="362"/>
    </row>
    <row r="18" spans="1:8">
      <c r="A18" s="341">
        <f t="shared" si="0"/>
        <v>9</v>
      </c>
      <c r="B18" s="360" t="s">
        <v>391</v>
      </c>
      <c r="C18" s="361"/>
      <c r="D18" s="361"/>
      <c r="E18" s="361"/>
      <c r="F18" s="361"/>
      <c r="G18" s="674">
        <f>'Page 9-11 - Funct'!D189</f>
        <v>384085</v>
      </c>
      <c r="H18" s="362" t="s">
        <v>389</v>
      </c>
    </row>
    <row r="19" spans="1:8">
      <c r="A19" s="341">
        <f t="shared" si="0"/>
        <v>10</v>
      </c>
      <c r="B19" s="365"/>
      <c r="C19" s="366"/>
      <c r="D19" s="366"/>
      <c r="E19" s="366"/>
      <c r="F19" s="366"/>
      <c r="G19" s="432">
        <f>+G16-G17+G18</f>
        <v>1263030.72</v>
      </c>
      <c r="H19" s="362"/>
    </row>
    <row r="20" spans="1:8">
      <c r="A20" s="341">
        <f t="shared" si="0"/>
        <v>11</v>
      </c>
      <c r="B20" s="365"/>
      <c r="C20" s="366"/>
      <c r="D20" s="366"/>
      <c r="E20" s="366"/>
      <c r="F20" s="366"/>
      <c r="G20" s="369"/>
      <c r="H20" s="362"/>
    </row>
    <row r="21" spans="1:8">
      <c r="A21" s="341">
        <f t="shared" si="0"/>
        <v>12</v>
      </c>
      <c r="B21" s="365" t="s">
        <v>392</v>
      </c>
      <c r="C21" s="366"/>
      <c r="D21" s="366"/>
      <c r="E21" s="366"/>
      <c r="F21" s="366"/>
      <c r="G21" s="651">
        <f>+G57</f>
        <v>174524</v>
      </c>
      <c r="H21" s="362" t="s">
        <v>384</v>
      </c>
    </row>
    <row r="22" spans="1:8">
      <c r="A22" s="341">
        <f t="shared" si="0"/>
        <v>13</v>
      </c>
      <c r="B22" s="365"/>
      <c r="C22" s="366"/>
      <c r="D22" s="366"/>
      <c r="E22" s="366"/>
      <c r="F22" s="366"/>
      <c r="G22" s="369"/>
      <c r="H22" s="362"/>
    </row>
    <row r="23" spans="1:8" ht="13.5" thickBot="1">
      <c r="A23" s="341">
        <f t="shared" si="0"/>
        <v>14</v>
      </c>
      <c r="B23" s="365" t="s">
        <v>393</v>
      </c>
      <c r="C23" s="366"/>
      <c r="D23" s="366"/>
      <c r="E23" s="366"/>
      <c r="F23" s="366"/>
      <c r="G23" s="370">
        <f>+G13+G19+G21</f>
        <v>1613450</v>
      </c>
      <c r="H23" s="362"/>
    </row>
    <row r="24" spans="1:8" ht="13.5" thickTop="1">
      <c r="A24" s="371"/>
      <c r="B24" s="372"/>
      <c r="C24" s="373"/>
      <c r="D24" s="373"/>
      <c r="E24" s="373"/>
      <c r="F24" s="373"/>
      <c r="G24" s="374"/>
      <c r="H24" s="362"/>
    </row>
    <row r="25" spans="1:8">
      <c r="A25" s="356"/>
      <c r="B25" s="356"/>
      <c r="C25" s="356"/>
      <c r="D25" s="356"/>
      <c r="E25" s="356"/>
      <c r="F25" s="356"/>
      <c r="G25" s="356"/>
      <c r="H25" s="356"/>
    </row>
    <row r="26" spans="1:8">
      <c r="A26" s="356"/>
      <c r="B26" s="362" t="s">
        <v>532</v>
      </c>
      <c r="C26" s="362"/>
      <c r="D26" s="362"/>
      <c r="E26" s="362"/>
      <c r="F26" s="362"/>
      <c r="G26" s="356"/>
      <c r="H26" s="356"/>
    </row>
    <row r="27" spans="1:8">
      <c r="A27" s="356"/>
      <c r="B27" s="362" t="s">
        <v>394</v>
      </c>
      <c r="C27" s="362"/>
      <c r="D27" s="362"/>
      <c r="E27" s="362"/>
      <c r="F27" s="362"/>
      <c r="G27" s="356"/>
      <c r="H27" s="356"/>
    </row>
    <row r="28" spans="1:8">
      <c r="A28" s="356"/>
      <c r="B28" s="362" t="s">
        <v>395</v>
      </c>
      <c r="C28" s="356"/>
      <c r="D28" s="356"/>
      <c r="E28" s="356"/>
      <c r="F28" s="356"/>
      <c r="G28" s="356"/>
      <c r="H28" s="356"/>
    </row>
    <row r="29" spans="1:8">
      <c r="A29" s="356"/>
      <c r="B29" s="362"/>
      <c r="C29" s="356"/>
      <c r="D29" s="356"/>
      <c r="E29" s="356"/>
      <c r="F29" s="356"/>
      <c r="G29" s="356"/>
      <c r="H29" s="356"/>
    </row>
    <row r="30" spans="1:8">
      <c r="A30" s="356"/>
      <c r="B30" s="375" t="s">
        <v>1</v>
      </c>
      <c r="C30" s="376" t="s">
        <v>2</v>
      </c>
      <c r="D30" s="376" t="s">
        <v>3</v>
      </c>
      <c r="E30" s="376" t="s">
        <v>4</v>
      </c>
      <c r="F30" s="376" t="s">
        <v>5</v>
      </c>
      <c r="G30" s="376" t="s">
        <v>7</v>
      </c>
      <c r="H30" s="376"/>
    </row>
    <row r="31" spans="1:8">
      <c r="A31" s="356"/>
      <c r="B31" s="356"/>
      <c r="C31" s="356"/>
      <c r="D31" s="356"/>
      <c r="E31" s="356"/>
      <c r="F31" s="356"/>
      <c r="G31" s="356"/>
      <c r="H31" s="356"/>
    </row>
    <row r="32" spans="1:8" ht="25.5">
      <c r="A32" s="344" t="s">
        <v>38</v>
      </c>
      <c r="B32" s="399"/>
      <c r="C32" s="415" t="s">
        <v>397</v>
      </c>
      <c r="D32" s="415" t="s">
        <v>467</v>
      </c>
      <c r="E32" s="415" t="s">
        <v>398</v>
      </c>
      <c r="F32" s="415" t="s">
        <v>33</v>
      </c>
      <c r="G32" s="416" t="s">
        <v>476</v>
      </c>
      <c r="H32" s="365"/>
    </row>
    <row r="33" spans="1:8">
      <c r="A33" s="345"/>
      <c r="B33" s="346" t="s">
        <v>399</v>
      </c>
      <c r="C33" s="347"/>
      <c r="D33" s="347"/>
      <c r="E33" s="347"/>
      <c r="F33" s="347"/>
      <c r="G33" s="348"/>
      <c r="H33" s="365"/>
    </row>
    <row r="34" spans="1:8">
      <c r="A34" s="349">
        <v>1</v>
      </c>
      <c r="B34" s="634" t="s">
        <v>565</v>
      </c>
      <c r="C34" s="730" t="s">
        <v>568</v>
      </c>
      <c r="D34" s="635" t="s">
        <v>406</v>
      </c>
      <c r="E34" s="635" t="s">
        <v>407</v>
      </c>
      <c r="F34" s="350">
        <v>9280</v>
      </c>
      <c r="G34" s="723">
        <v>102</v>
      </c>
      <c r="H34" s="365"/>
    </row>
    <row r="35" spans="1:8">
      <c r="A35" s="349">
        <f t="shared" ref="A35:A55" si="1">A34+1</f>
        <v>2</v>
      </c>
      <c r="B35" s="634" t="str">
        <f>+$B$34</f>
        <v>Budget 2013</v>
      </c>
      <c r="C35" s="350" t="s">
        <v>409</v>
      </c>
      <c r="D35" s="350" t="s">
        <v>406</v>
      </c>
      <c r="E35" s="350" t="s">
        <v>407</v>
      </c>
      <c r="F35" s="350">
        <v>9280</v>
      </c>
      <c r="G35" s="724">
        <v>125101</v>
      </c>
      <c r="H35" s="365"/>
    </row>
    <row r="36" spans="1:8">
      <c r="A36" s="349">
        <f t="shared" si="1"/>
        <v>3</v>
      </c>
      <c r="B36" s="634" t="str">
        <f t="shared" ref="B36:B40" si="2">+$B$34</f>
        <v>Budget 2013</v>
      </c>
      <c r="C36" s="636" t="s">
        <v>408</v>
      </c>
      <c r="D36" s="350" t="s">
        <v>406</v>
      </c>
      <c r="E36" s="350" t="s">
        <v>407</v>
      </c>
      <c r="F36" s="350">
        <v>9280</v>
      </c>
      <c r="G36" s="724">
        <v>2091</v>
      </c>
      <c r="H36" s="365"/>
    </row>
    <row r="37" spans="1:8">
      <c r="A37" s="349">
        <f t="shared" si="1"/>
        <v>4</v>
      </c>
      <c r="B37" s="634" t="str">
        <f t="shared" si="2"/>
        <v>Budget 2013</v>
      </c>
      <c r="C37" s="350" t="s">
        <v>401</v>
      </c>
      <c r="D37" s="350" t="s">
        <v>402</v>
      </c>
      <c r="E37" s="350" t="s">
        <v>403</v>
      </c>
      <c r="F37" s="350">
        <v>9280</v>
      </c>
      <c r="G37" s="723">
        <v>325</v>
      </c>
      <c r="H37" s="365"/>
    </row>
    <row r="38" spans="1:8">
      <c r="A38" s="349">
        <f t="shared" si="1"/>
        <v>5</v>
      </c>
      <c r="B38" s="634" t="str">
        <f t="shared" si="2"/>
        <v>Budget 2013</v>
      </c>
      <c r="C38" s="636" t="s">
        <v>408</v>
      </c>
      <c r="D38" s="350" t="s">
        <v>402</v>
      </c>
      <c r="E38" s="350">
        <v>2700</v>
      </c>
      <c r="F38" s="350">
        <v>9280</v>
      </c>
      <c r="G38" s="723">
        <v>293</v>
      </c>
      <c r="H38" s="696"/>
    </row>
    <row r="39" spans="1:8">
      <c r="A39" s="349">
        <f t="shared" si="1"/>
        <v>6</v>
      </c>
      <c r="B39" s="634" t="str">
        <f t="shared" si="2"/>
        <v>Budget 2013</v>
      </c>
      <c r="C39" s="636" t="s">
        <v>401</v>
      </c>
      <c r="D39" s="350">
        <v>5102</v>
      </c>
      <c r="E39" s="636" t="s">
        <v>414</v>
      </c>
      <c r="F39" s="350">
        <v>9280</v>
      </c>
      <c r="G39" s="724">
        <v>20000</v>
      </c>
      <c r="H39" s="696"/>
    </row>
    <row r="40" spans="1:8">
      <c r="A40" s="349">
        <f t="shared" si="1"/>
        <v>7</v>
      </c>
      <c r="B40" s="634" t="str">
        <f t="shared" si="2"/>
        <v>Budget 2013</v>
      </c>
      <c r="C40" s="636" t="s">
        <v>408</v>
      </c>
      <c r="D40" s="350">
        <v>5105</v>
      </c>
      <c r="E40" s="636" t="s">
        <v>414</v>
      </c>
      <c r="F40" s="350">
        <v>9280</v>
      </c>
      <c r="G40" s="724">
        <v>146</v>
      </c>
      <c r="H40" s="696"/>
    </row>
    <row r="41" spans="1:8">
      <c r="A41" s="349">
        <f t="shared" si="1"/>
        <v>8</v>
      </c>
      <c r="B41" s="634"/>
      <c r="C41" s="350"/>
      <c r="D41" s="350"/>
      <c r="E41" s="350"/>
      <c r="F41" s="350"/>
      <c r="G41" s="725">
        <f>SUM(G34:G40)</f>
        <v>148058</v>
      </c>
      <c r="H41" s="365"/>
    </row>
    <row r="42" spans="1:8">
      <c r="A42" s="349">
        <f t="shared" si="1"/>
        <v>9</v>
      </c>
      <c r="B42" s="637" t="s">
        <v>410</v>
      </c>
      <c r="C42" s="350"/>
      <c r="D42" s="350"/>
      <c r="E42" s="350"/>
      <c r="F42" s="350"/>
      <c r="G42" s="723"/>
      <c r="H42" s="365"/>
    </row>
    <row r="43" spans="1:8">
      <c r="A43" s="349">
        <f t="shared" si="1"/>
        <v>10</v>
      </c>
      <c r="B43" s="634" t="str">
        <f t="shared" ref="B43:B46" si="3">+$B$34</f>
        <v>Budget 2013</v>
      </c>
      <c r="C43" s="350" t="s">
        <v>401</v>
      </c>
      <c r="D43" s="350" t="s">
        <v>402</v>
      </c>
      <c r="E43" s="350" t="s">
        <v>411</v>
      </c>
      <c r="F43" s="350">
        <v>9280</v>
      </c>
      <c r="G43" s="723">
        <v>266</v>
      </c>
      <c r="H43" s="365"/>
    </row>
    <row r="44" spans="1:8">
      <c r="A44" s="349">
        <f t="shared" si="1"/>
        <v>11</v>
      </c>
      <c r="B44" s="634" t="str">
        <f t="shared" si="3"/>
        <v>Budget 2013</v>
      </c>
      <c r="C44" s="636" t="s">
        <v>408</v>
      </c>
      <c r="D44" s="350" t="s">
        <v>402</v>
      </c>
      <c r="E44" s="350" t="s">
        <v>411</v>
      </c>
      <c r="F44" s="350">
        <v>9281</v>
      </c>
      <c r="G44" s="723">
        <v>8</v>
      </c>
      <c r="H44" s="772"/>
    </row>
    <row r="45" spans="1:8">
      <c r="A45" s="349">
        <f t="shared" si="1"/>
        <v>12</v>
      </c>
      <c r="B45" s="634" t="str">
        <f t="shared" si="3"/>
        <v>Budget 2013</v>
      </c>
      <c r="C45" s="350" t="s">
        <v>409</v>
      </c>
      <c r="D45" s="350" t="s">
        <v>402</v>
      </c>
      <c r="E45" s="350" t="s">
        <v>411</v>
      </c>
      <c r="F45" s="350">
        <v>9280</v>
      </c>
      <c r="G45" s="723">
        <v>1800</v>
      </c>
      <c r="H45" s="365"/>
    </row>
    <row r="46" spans="1:8">
      <c r="A46" s="349">
        <f t="shared" si="1"/>
        <v>13</v>
      </c>
      <c r="B46" s="634" t="str">
        <f t="shared" si="3"/>
        <v>Budget 2013</v>
      </c>
      <c r="C46" s="636" t="s">
        <v>564</v>
      </c>
      <c r="D46" s="350" t="s">
        <v>402</v>
      </c>
      <c r="E46" s="350" t="s">
        <v>411</v>
      </c>
      <c r="F46" s="350">
        <v>9281</v>
      </c>
      <c r="G46" s="723">
        <v>1800</v>
      </c>
      <c r="H46" s="772"/>
    </row>
    <row r="47" spans="1:8">
      <c r="A47" s="349">
        <f t="shared" si="1"/>
        <v>14</v>
      </c>
      <c r="B47" s="638"/>
      <c r="C47" s="639"/>
      <c r="D47" s="639"/>
      <c r="E47" s="639"/>
      <c r="F47" s="640"/>
      <c r="G47" s="725">
        <f>SUM(G43:G46)</f>
        <v>3874</v>
      </c>
      <c r="H47" s="365"/>
    </row>
    <row r="48" spans="1:8">
      <c r="A48" s="349">
        <f t="shared" si="1"/>
        <v>15</v>
      </c>
      <c r="B48" s="641" t="s">
        <v>412</v>
      </c>
      <c r="C48" s="350"/>
      <c r="D48" s="350"/>
      <c r="E48" s="350"/>
      <c r="F48" s="350"/>
      <c r="G48" s="723"/>
      <c r="H48" s="365"/>
    </row>
    <row r="49" spans="1:8">
      <c r="A49" s="349">
        <f t="shared" si="1"/>
        <v>16</v>
      </c>
      <c r="B49" s="634" t="str">
        <f t="shared" ref="B49:B52" si="4">+$B$34</f>
        <v>Budget 2013</v>
      </c>
      <c r="C49" s="639" t="s">
        <v>401</v>
      </c>
      <c r="D49" s="639" t="s">
        <v>413</v>
      </c>
      <c r="E49" s="639" t="s">
        <v>414</v>
      </c>
      <c r="F49" s="350">
        <v>9280</v>
      </c>
      <c r="G49" s="723">
        <v>4691</v>
      </c>
      <c r="H49" s="365"/>
    </row>
    <row r="50" spans="1:8">
      <c r="A50" s="349">
        <f t="shared" si="1"/>
        <v>17</v>
      </c>
      <c r="B50" s="634" t="str">
        <f t="shared" si="4"/>
        <v>Budget 2013</v>
      </c>
      <c r="C50" s="729" t="s">
        <v>408</v>
      </c>
      <c r="D50" s="639" t="s">
        <v>413</v>
      </c>
      <c r="E50" s="639" t="s">
        <v>414</v>
      </c>
      <c r="F50" s="350">
        <v>9280</v>
      </c>
      <c r="G50" s="723">
        <v>7</v>
      </c>
      <c r="H50" s="696"/>
    </row>
    <row r="51" spans="1:8">
      <c r="A51" s="349">
        <f t="shared" si="1"/>
        <v>18</v>
      </c>
      <c r="B51" s="634" t="str">
        <f t="shared" si="4"/>
        <v>Budget 2013</v>
      </c>
      <c r="C51" s="350" t="s">
        <v>409</v>
      </c>
      <c r="D51" s="350" t="s">
        <v>413</v>
      </c>
      <c r="E51" s="350" t="s">
        <v>414</v>
      </c>
      <c r="F51" s="350">
        <v>9280</v>
      </c>
      <c r="G51" s="723">
        <v>7200</v>
      </c>
      <c r="H51" s="697"/>
    </row>
    <row r="52" spans="1:8">
      <c r="A52" s="349">
        <f t="shared" si="1"/>
        <v>19</v>
      </c>
      <c r="B52" s="634" t="str">
        <f t="shared" si="4"/>
        <v>Budget 2013</v>
      </c>
      <c r="C52" s="636" t="s">
        <v>564</v>
      </c>
      <c r="D52" s="350" t="s">
        <v>413</v>
      </c>
      <c r="E52" s="350" t="s">
        <v>414</v>
      </c>
      <c r="F52" s="350">
        <v>9280</v>
      </c>
      <c r="G52" s="723">
        <v>850</v>
      </c>
      <c r="H52" s="696"/>
    </row>
    <row r="53" spans="1:8">
      <c r="A53" s="349">
        <f t="shared" si="1"/>
        <v>20</v>
      </c>
      <c r="B53" s="638"/>
      <c r="C53" s="639"/>
      <c r="D53" s="639"/>
      <c r="E53" s="639"/>
      <c r="F53" s="640"/>
      <c r="G53" s="725">
        <f>SUM(G49:G52)</f>
        <v>12748</v>
      </c>
      <c r="H53" s="365"/>
    </row>
    <row r="54" spans="1:8">
      <c r="A54" s="349">
        <f t="shared" si="1"/>
        <v>21</v>
      </c>
      <c r="B54" s="641" t="s">
        <v>415</v>
      </c>
      <c r="C54" s="350"/>
      <c r="D54" s="350"/>
      <c r="E54" s="350"/>
      <c r="F54" s="350"/>
      <c r="G54" s="723"/>
      <c r="H54" s="365"/>
    </row>
    <row r="55" spans="1:8">
      <c r="A55" s="349">
        <f t="shared" si="1"/>
        <v>22</v>
      </c>
      <c r="B55" s="634" t="str">
        <f t="shared" ref="B55:B59" si="5">+$B$34</f>
        <v>Budget 2013</v>
      </c>
      <c r="C55" s="636" t="s">
        <v>566</v>
      </c>
      <c r="D55" s="350" t="s">
        <v>417</v>
      </c>
      <c r="E55" s="350" t="s">
        <v>418</v>
      </c>
      <c r="F55" s="350">
        <v>9280</v>
      </c>
      <c r="G55" s="723">
        <v>55000</v>
      </c>
      <c r="H55" s="696"/>
    </row>
    <row r="56" spans="1:8">
      <c r="A56" s="349">
        <f t="shared" ref="A56:A70" si="6">A55+1</f>
        <v>23</v>
      </c>
      <c r="B56" s="634" t="str">
        <f t="shared" si="5"/>
        <v>Budget 2013</v>
      </c>
      <c r="C56" s="636" t="s">
        <v>401</v>
      </c>
      <c r="D56" s="350" t="s">
        <v>417</v>
      </c>
      <c r="E56" s="350" t="s">
        <v>418</v>
      </c>
      <c r="F56" s="350">
        <v>9280</v>
      </c>
      <c r="G56" s="723">
        <v>30000</v>
      </c>
      <c r="H56" s="696"/>
    </row>
    <row r="57" spans="1:8">
      <c r="A57" s="349">
        <f t="shared" si="6"/>
        <v>24</v>
      </c>
      <c r="B57" s="634" t="str">
        <f t="shared" si="5"/>
        <v>Budget 2013</v>
      </c>
      <c r="C57" s="350" t="s">
        <v>416</v>
      </c>
      <c r="D57" s="350" t="s">
        <v>417</v>
      </c>
      <c r="E57" s="350" t="s">
        <v>418</v>
      </c>
      <c r="F57" s="350">
        <v>9280</v>
      </c>
      <c r="G57" s="723">
        <v>174524</v>
      </c>
      <c r="H57" s="365"/>
    </row>
    <row r="58" spans="1:8">
      <c r="A58" s="349">
        <f t="shared" si="6"/>
        <v>25</v>
      </c>
      <c r="B58" s="634" t="str">
        <f t="shared" si="5"/>
        <v>Budget 2013</v>
      </c>
      <c r="C58" s="636" t="s">
        <v>408</v>
      </c>
      <c r="D58" s="350" t="s">
        <v>417</v>
      </c>
      <c r="E58" s="350" t="s">
        <v>418</v>
      </c>
      <c r="F58" s="350">
        <v>9280</v>
      </c>
      <c r="G58" s="723">
        <v>10474</v>
      </c>
      <c r="H58" s="696"/>
    </row>
    <row r="59" spans="1:8">
      <c r="A59" s="349">
        <f t="shared" si="6"/>
        <v>26</v>
      </c>
      <c r="B59" s="634" t="str">
        <f t="shared" si="5"/>
        <v>Budget 2013</v>
      </c>
      <c r="C59" s="636" t="s">
        <v>564</v>
      </c>
      <c r="D59" s="350" t="s">
        <v>417</v>
      </c>
      <c r="E59" s="350" t="s">
        <v>418</v>
      </c>
      <c r="F59" s="350">
        <v>9280</v>
      </c>
      <c r="G59" s="723">
        <v>90000</v>
      </c>
      <c r="H59" s="365"/>
    </row>
    <row r="60" spans="1:8">
      <c r="A60" s="349">
        <f t="shared" si="6"/>
        <v>27</v>
      </c>
      <c r="B60" s="638"/>
      <c r="C60" s="639"/>
      <c r="D60" s="639"/>
      <c r="E60" s="639"/>
      <c r="F60" s="640"/>
      <c r="G60" s="725">
        <f>SUM(G55:G59)</f>
        <v>359998</v>
      </c>
      <c r="H60" s="365"/>
    </row>
    <row r="61" spans="1:8">
      <c r="A61" s="349">
        <f t="shared" si="6"/>
        <v>28</v>
      </c>
      <c r="B61" s="641" t="s">
        <v>419</v>
      </c>
      <c r="C61" s="350"/>
      <c r="D61" s="350"/>
      <c r="E61" s="350"/>
      <c r="F61" s="350"/>
      <c r="G61" s="723"/>
      <c r="H61" s="365"/>
    </row>
    <row r="62" spans="1:8">
      <c r="A62" s="349">
        <f t="shared" si="6"/>
        <v>29</v>
      </c>
      <c r="B62" s="634" t="str">
        <f t="shared" ref="B62:B64" si="7">+$B$34</f>
        <v>Budget 2013</v>
      </c>
      <c r="C62" s="636" t="s">
        <v>408</v>
      </c>
      <c r="D62" s="350">
        <v>5106</v>
      </c>
      <c r="E62" s="636" t="s">
        <v>567</v>
      </c>
      <c r="F62" s="350">
        <v>9280</v>
      </c>
      <c r="G62" s="723">
        <v>515</v>
      </c>
      <c r="H62" s="696"/>
    </row>
    <row r="63" spans="1:8">
      <c r="A63" s="349">
        <f t="shared" si="6"/>
        <v>30</v>
      </c>
      <c r="B63" s="634" t="str">
        <f t="shared" si="7"/>
        <v>Budget 2013</v>
      </c>
      <c r="C63" s="636" t="s">
        <v>533</v>
      </c>
      <c r="D63" s="350">
        <v>5045</v>
      </c>
      <c r="E63" s="636" t="s">
        <v>534</v>
      </c>
      <c r="F63" s="350">
        <v>9280</v>
      </c>
      <c r="G63" s="723">
        <v>266508</v>
      </c>
      <c r="H63" s="365"/>
    </row>
    <row r="64" spans="1:8">
      <c r="A64" s="349">
        <f>A63+1</f>
        <v>31</v>
      </c>
      <c r="B64" s="634" t="str">
        <f t="shared" si="7"/>
        <v>Budget 2013</v>
      </c>
      <c r="C64" s="350" t="s">
        <v>409</v>
      </c>
      <c r="D64" s="350" t="s">
        <v>420</v>
      </c>
      <c r="E64" s="350" t="s">
        <v>421</v>
      </c>
      <c r="F64" s="350">
        <v>9280</v>
      </c>
      <c r="G64" s="726">
        <v>263150</v>
      </c>
      <c r="H64" s="365"/>
    </row>
    <row r="65" spans="1:14">
      <c r="A65" s="349">
        <f t="shared" si="6"/>
        <v>32</v>
      </c>
      <c r="B65" s="634"/>
      <c r="C65" s="350"/>
      <c r="D65" s="350"/>
      <c r="E65" s="350"/>
      <c r="F65" s="350"/>
      <c r="G65" s="723">
        <f>SUM(G62:G64)</f>
        <v>530173</v>
      </c>
      <c r="H65" s="366"/>
    </row>
    <row r="66" spans="1:14">
      <c r="A66" s="349">
        <f t="shared" si="6"/>
        <v>33</v>
      </c>
      <c r="B66" s="634"/>
      <c r="C66" s="350"/>
      <c r="D66" s="350"/>
      <c r="E66" s="350"/>
      <c r="F66" s="350"/>
      <c r="G66" s="726"/>
      <c r="H66" s="366"/>
    </row>
    <row r="67" spans="1:14">
      <c r="A67" s="349">
        <f t="shared" si="6"/>
        <v>34</v>
      </c>
      <c r="B67" s="642"/>
      <c r="C67" s="643"/>
      <c r="D67" s="643"/>
      <c r="E67" s="643"/>
      <c r="F67" s="644" t="s">
        <v>422</v>
      </c>
      <c r="G67" s="727">
        <f>G41+G47+G53+G60+G65</f>
        <v>1054851</v>
      </c>
      <c r="H67" s="365"/>
    </row>
    <row r="68" spans="1:14">
      <c r="A68" s="349">
        <f t="shared" si="6"/>
        <v>35</v>
      </c>
      <c r="B68" s="646"/>
      <c r="C68" s="475"/>
      <c r="D68" s="475"/>
      <c r="E68" s="475"/>
      <c r="F68" s="647"/>
      <c r="G68" s="725"/>
      <c r="H68" s="352"/>
      <c r="I68" s="351"/>
      <c r="J68" s="351"/>
      <c r="K68" s="351"/>
      <c r="L68" s="351"/>
      <c r="M68" s="351"/>
      <c r="N68" s="351"/>
    </row>
    <row r="69" spans="1:14">
      <c r="A69" s="349">
        <f t="shared" si="6"/>
        <v>36</v>
      </c>
      <c r="B69" s="634" t="s">
        <v>423</v>
      </c>
      <c r="F69" s="648"/>
      <c r="G69" s="726">
        <v>0</v>
      </c>
      <c r="H69" s="352"/>
      <c r="I69" s="351"/>
      <c r="J69" s="351"/>
      <c r="K69" s="351"/>
      <c r="L69" s="351"/>
      <c r="M69" s="351"/>
      <c r="N69" s="351"/>
    </row>
    <row r="70" spans="1:14" ht="13.5" thickBot="1">
      <c r="A70" s="349">
        <f t="shared" si="6"/>
        <v>37</v>
      </c>
      <c r="B70" s="634"/>
      <c r="F70" s="648"/>
      <c r="G70" s="728">
        <f>G67-G69</f>
        <v>1054851</v>
      </c>
      <c r="H70" s="352"/>
      <c r="I70" s="351"/>
      <c r="J70" s="351"/>
      <c r="K70" s="351"/>
      <c r="L70" s="351"/>
      <c r="M70" s="351"/>
      <c r="N70" s="351"/>
    </row>
    <row r="71" spans="1:14" ht="13.5" thickTop="1">
      <c r="A71" s="354"/>
      <c r="B71" s="642"/>
      <c r="C71" s="649"/>
      <c r="D71" s="649"/>
      <c r="E71" s="649"/>
      <c r="F71" s="650"/>
      <c r="G71" s="645"/>
      <c r="H71" s="352"/>
      <c r="I71" s="351"/>
      <c r="J71" s="351"/>
      <c r="K71" s="351"/>
      <c r="L71" s="351"/>
      <c r="M71" s="351"/>
      <c r="N71" s="351"/>
    </row>
  </sheetData>
  <mergeCells count="4">
    <mergeCell ref="A2:G2"/>
    <mergeCell ref="A3:H3"/>
    <mergeCell ref="A4:H4"/>
    <mergeCell ref="B6:E6"/>
  </mergeCells>
  <printOptions horizontalCentered="1"/>
  <pageMargins left="0.75" right="0.75" top="0.75" bottom="0.75" header="0.5" footer="0.5"/>
  <pageSetup scale="73" orientation="portrait" r:id="rId1"/>
  <headerFooter>
    <oddHeader>&amp;R&amp;"Arial,Regular"&amp;10Attachment O Work Paper
Page 12 of 20</oddHeader>
  </headerFooter>
  <ignoredErrors>
    <ignoredError sqref="C34:G6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codeName="Sheet6"/>
  <dimension ref="A1:J31"/>
  <sheetViews>
    <sheetView showGridLines="0" zoomScaleNormal="100" workbookViewId="0">
      <selection activeCell="G28" sqref="G28"/>
    </sheetView>
  </sheetViews>
  <sheetFormatPr defaultColWidth="29.21875" defaultRowHeight="12.75"/>
  <cols>
    <col min="1" max="1" width="3.44140625" style="69" bestFit="1" customWidth="1"/>
    <col min="2" max="2" width="29.21875" style="71" customWidth="1"/>
    <col min="3" max="6" width="11.77734375" style="71" hidden="1" customWidth="1"/>
    <col min="7" max="7" width="11.77734375" style="71" customWidth="1"/>
    <col min="8" max="254" width="8.88671875" style="71" customWidth="1"/>
    <col min="255" max="255" width="3.44140625" style="71" bestFit="1" customWidth="1"/>
    <col min="256" max="16384" width="29.21875" style="71"/>
  </cols>
  <sheetData>
    <row r="1" spans="1:10">
      <c r="B1" s="70"/>
      <c r="G1" s="72"/>
    </row>
    <row r="2" spans="1:10">
      <c r="B2" s="73"/>
      <c r="G2" s="72"/>
    </row>
    <row r="3" spans="1:10" ht="12.75" customHeight="1">
      <c r="A3" s="824" t="s">
        <v>0</v>
      </c>
      <c r="B3" s="825"/>
      <c r="C3" s="825"/>
      <c r="D3" s="825"/>
      <c r="E3" s="825"/>
      <c r="F3" s="825"/>
      <c r="G3" s="825"/>
    </row>
    <row r="4" spans="1:10" ht="12.75" customHeight="1">
      <c r="A4" s="824" t="s">
        <v>52</v>
      </c>
      <c r="B4" s="825"/>
      <c r="C4" s="825"/>
      <c r="D4" s="825"/>
      <c r="E4" s="825"/>
      <c r="F4" s="825"/>
      <c r="G4" s="825"/>
    </row>
    <row r="5" spans="1:10" ht="12.75" customHeight="1">
      <c r="A5" s="826" t="s">
        <v>560</v>
      </c>
      <c r="B5" s="827"/>
      <c r="C5" s="827"/>
      <c r="D5" s="827"/>
      <c r="E5" s="827"/>
      <c r="F5" s="827"/>
      <c r="G5" s="827"/>
    </row>
    <row r="6" spans="1:10">
      <c r="B6" s="75"/>
      <c r="C6" s="76"/>
      <c r="D6" s="74"/>
      <c r="E6" s="74"/>
      <c r="F6" s="74"/>
      <c r="G6" s="77"/>
    </row>
    <row r="7" spans="1:10">
      <c r="B7" s="78" t="s">
        <v>1</v>
      </c>
      <c r="D7" s="69" t="s">
        <v>3</v>
      </c>
      <c r="E7" s="69" t="s">
        <v>4</v>
      </c>
      <c r="F7" s="69" t="s">
        <v>5</v>
      </c>
      <c r="G7" s="69" t="s">
        <v>2</v>
      </c>
    </row>
    <row r="8" spans="1:10">
      <c r="C8" s="74"/>
      <c r="D8" s="74"/>
      <c r="E8" s="74"/>
      <c r="F8" s="74"/>
      <c r="G8" s="74"/>
      <c r="I8" s="472"/>
      <c r="J8" s="473"/>
    </row>
    <row r="9" spans="1:10" ht="25.5">
      <c r="A9" s="79" t="s">
        <v>38</v>
      </c>
      <c r="B9" s="80" t="s">
        <v>52</v>
      </c>
      <c r="C9" s="81" t="s">
        <v>53</v>
      </c>
      <c r="D9" s="81" t="s">
        <v>54</v>
      </c>
      <c r="E9" s="81" t="s">
        <v>55</v>
      </c>
      <c r="F9" s="81" t="s">
        <v>33</v>
      </c>
      <c r="G9" s="82" t="s">
        <v>16</v>
      </c>
    </row>
    <row r="10" spans="1:10">
      <c r="A10" s="83"/>
      <c r="B10" s="668" t="s">
        <v>563</v>
      </c>
      <c r="C10" s="85"/>
      <c r="D10" s="85"/>
      <c r="E10" s="85"/>
      <c r="F10" s="85"/>
      <c r="G10" s="86"/>
    </row>
    <row r="11" spans="1:10">
      <c r="A11" s="83">
        <v>1</v>
      </c>
      <c r="B11" s="87" t="s">
        <v>56</v>
      </c>
      <c r="C11" s="88">
        <v>5279571.7372788899</v>
      </c>
      <c r="D11" s="88">
        <v>3805249.8736278894</v>
      </c>
      <c r="E11" s="88">
        <v>974256.94715386385</v>
      </c>
      <c r="F11" s="88">
        <v>10411.441939357785</v>
      </c>
      <c r="G11" s="89">
        <v>9975354</v>
      </c>
    </row>
    <row r="12" spans="1:10">
      <c r="A12" s="83">
        <f>A11+1</f>
        <v>2</v>
      </c>
      <c r="B12" s="87" t="s">
        <v>57</v>
      </c>
      <c r="C12" s="88">
        <v>90406.06348097416</v>
      </c>
      <c r="D12" s="88">
        <v>64869.934770689913</v>
      </c>
      <c r="E12" s="88">
        <v>16656.719509689359</v>
      </c>
      <c r="F12" s="88">
        <v>178.28223864653518</v>
      </c>
      <c r="G12" s="89">
        <v>481164</v>
      </c>
    </row>
    <row r="13" spans="1:10">
      <c r="A13" s="83">
        <f t="shared" ref="A13:A27" si="0">A12+1</f>
        <v>3</v>
      </c>
      <c r="B13" s="87" t="s">
        <v>58</v>
      </c>
      <c r="C13" s="88">
        <v>561404.40810983384</v>
      </c>
      <c r="D13" s="88">
        <v>435528.4736946511</v>
      </c>
      <c r="E13" s="88">
        <v>103016.8397721525</v>
      </c>
      <c r="F13" s="88">
        <v>1458.2784233623474</v>
      </c>
      <c r="G13" s="89">
        <v>1061250</v>
      </c>
    </row>
    <row r="14" spans="1:10">
      <c r="A14" s="83">
        <f t="shared" si="0"/>
        <v>4</v>
      </c>
      <c r="B14" s="87" t="s">
        <v>59</v>
      </c>
      <c r="C14" s="90">
        <v>5340297.9719731286</v>
      </c>
      <c r="D14" s="90">
        <v>4142916.9396894202</v>
      </c>
      <c r="E14" s="90">
        <v>979936.40298151551</v>
      </c>
      <c r="F14" s="90">
        <v>13871.685355934789</v>
      </c>
      <c r="G14" s="91">
        <v>10463283</v>
      </c>
    </row>
    <row r="15" spans="1:10">
      <c r="A15" s="83">
        <f t="shared" si="0"/>
        <v>5</v>
      </c>
      <c r="B15" s="84" t="s">
        <v>60</v>
      </c>
      <c r="C15" s="92">
        <f>SUM(C11:C14)</f>
        <v>11271680.180842826</v>
      </c>
      <c r="D15" s="92">
        <f>SUM(D11:D14)</f>
        <v>8448565.2217826508</v>
      </c>
      <c r="E15" s="92">
        <f>SUM(E11:E14)</f>
        <v>2073866.9094172213</v>
      </c>
      <c r="F15" s="92">
        <f>SUM(F11:F14)</f>
        <v>25919.687957301459</v>
      </c>
      <c r="G15" s="89">
        <f>SUM(G11:G14)</f>
        <v>21981051</v>
      </c>
    </row>
    <row r="16" spans="1:10">
      <c r="A16" s="83">
        <f t="shared" si="0"/>
        <v>6</v>
      </c>
      <c r="B16" s="93"/>
      <c r="C16" s="94"/>
      <c r="D16" s="94"/>
      <c r="E16" s="94"/>
      <c r="F16" s="94"/>
      <c r="G16" s="95"/>
    </row>
    <row r="17" spans="1:7">
      <c r="A17" s="83">
        <f t="shared" si="0"/>
        <v>7</v>
      </c>
      <c r="B17" s="87" t="s">
        <v>61</v>
      </c>
      <c r="C17" s="88">
        <v>2363087.1248751907</v>
      </c>
      <c r="D17" s="88">
        <v>1833244.8501897487</v>
      </c>
      <c r="E17" s="88">
        <v>433622.84781532304</v>
      </c>
      <c r="F17" s="88">
        <v>52563.177119736836</v>
      </c>
      <c r="G17" s="226">
        <v>5380633</v>
      </c>
    </row>
    <row r="18" spans="1:7">
      <c r="A18" s="83">
        <f t="shared" si="0"/>
        <v>8</v>
      </c>
      <c r="B18" s="87"/>
      <c r="C18" s="88"/>
      <c r="D18" s="88"/>
      <c r="E18" s="88"/>
      <c r="F18" s="88"/>
      <c r="G18" s="332"/>
    </row>
    <row r="19" spans="1:7">
      <c r="A19" s="83">
        <f t="shared" si="0"/>
        <v>9</v>
      </c>
      <c r="B19" s="87" t="s">
        <v>62</v>
      </c>
      <c r="C19" s="88">
        <v>4664724.9140402405</v>
      </c>
      <c r="D19" s="88">
        <v>4533871.9184097052</v>
      </c>
      <c r="E19" s="88">
        <v>1006524.0474800207</v>
      </c>
      <c r="F19" s="88">
        <v>27123.120070034012</v>
      </c>
      <c r="G19" s="89">
        <v>11095951</v>
      </c>
    </row>
    <row r="20" spans="1:7">
      <c r="A20" s="83">
        <f t="shared" si="0"/>
        <v>10</v>
      </c>
      <c r="B20" s="93"/>
      <c r="C20" s="94"/>
      <c r="D20" s="94"/>
      <c r="E20" s="94"/>
      <c r="F20" s="94"/>
      <c r="G20" s="95"/>
    </row>
    <row r="21" spans="1:7">
      <c r="A21" s="83">
        <f t="shared" si="0"/>
        <v>11</v>
      </c>
      <c r="B21" s="87" t="s">
        <v>63</v>
      </c>
      <c r="C21" s="94"/>
      <c r="D21" s="94"/>
      <c r="E21" s="94"/>
      <c r="F21" s="94"/>
      <c r="G21" s="95"/>
    </row>
    <row r="22" spans="1:7">
      <c r="A22" s="83">
        <f t="shared" si="0"/>
        <v>12</v>
      </c>
      <c r="B22" s="87" t="s">
        <v>64</v>
      </c>
      <c r="C22" s="96">
        <v>1097565.0879327203</v>
      </c>
      <c r="D22" s="96">
        <v>915483.08850403759</v>
      </c>
      <c r="E22" s="96">
        <v>212540.86927735357</v>
      </c>
      <c r="F22" s="96">
        <v>5891.9542858890118</v>
      </c>
      <c r="G22" s="89">
        <f>2812212-G23-G24+751509</f>
        <v>3555459</v>
      </c>
    </row>
    <row r="23" spans="1:7">
      <c r="A23" s="83">
        <f t="shared" si="0"/>
        <v>13</v>
      </c>
      <c r="B23" s="87" t="s">
        <v>513</v>
      </c>
      <c r="C23" s="97">
        <v>-45155.184665329863</v>
      </c>
      <c r="D23" s="97">
        <v>-38036.690595807318</v>
      </c>
      <c r="E23" s="97">
        <v>-9133.3315441126379</v>
      </c>
      <c r="F23" s="97">
        <v>-215.79319475018377</v>
      </c>
      <c r="G23" s="89">
        <v>-5576</v>
      </c>
    </row>
    <row r="24" spans="1:7">
      <c r="A24" s="83">
        <f t="shared" si="0"/>
        <v>14</v>
      </c>
      <c r="B24" s="87" t="s">
        <v>514</v>
      </c>
      <c r="C24" s="98">
        <v>34622.341750450942</v>
      </c>
      <c r="D24" s="98">
        <v>29164.298864562821</v>
      </c>
      <c r="E24" s="98">
        <v>7002.9018458036135</v>
      </c>
      <c r="F24" s="98">
        <v>165.45753918262488</v>
      </c>
      <c r="G24" s="99">
        <v>13838</v>
      </c>
    </row>
    <row r="25" spans="1:7">
      <c r="A25" s="83">
        <f t="shared" si="0"/>
        <v>15</v>
      </c>
      <c r="B25" s="84" t="s">
        <v>65</v>
      </c>
      <c r="C25" s="92">
        <f>SUM(C22:C24)</f>
        <v>1087032.2450178415</v>
      </c>
      <c r="D25" s="92">
        <f>SUM(D22:D24)</f>
        <v>906610.69677279308</v>
      </c>
      <c r="E25" s="92">
        <f>SUM(E22:E24)</f>
        <v>210410.43957904453</v>
      </c>
      <c r="F25" s="92">
        <f>SUM(F22:F24)</f>
        <v>5841.6186303214527</v>
      </c>
      <c r="G25" s="226">
        <f>SUM(G22:G24)</f>
        <v>3563721</v>
      </c>
    </row>
    <row r="26" spans="1:7">
      <c r="A26" s="83">
        <f t="shared" si="0"/>
        <v>16</v>
      </c>
      <c r="B26" s="93"/>
      <c r="C26" s="100"/>
      <c r="D26" s="100"/>
      <c r="E26" s="100"/>
      <c r="F26" s="100"/>
      <c r="G26" s="227"/>
    </row>
    <row r="27" spans="1:7">
      <c r="A27" s="83">
        <f t="shared" si="0"/>
        <v>17</v>
      </c>
      <c r="B27" s="84" t="s">
        <v>66</v>
      </c>
      <c r="C27" s="92">
        <f>SUM(C15:C19)+C25</f>
        <v>19386524.464776099</v>
      </c>
      <c r="D27" s="92">
        <f>SUM(D15:D19)+D25</f>
        <v>15722292.687154898</v>
      </c>
      <c r="E27" s="92">
        <f>SUM(E15:E19)+E25</f>
        <v>3724424.2442916096</v>
      </c>
      <c r="F27" s="92">
        <f>SUM(F15:F19)+F25</f>
        <v>111447.60377739376</v>
      </c>
      <c r="G27" s="89">
        <f>SUM(G15:G19)+G25</f>
        <v>42021356</v>
      </c>
    </row>
    <row r="28" spans="1:7">
      <c r="A28" s="101"/>
      <c r="B28" s="102"/>
      <c r="C28" s="103"/>
      <c r="D28" s="103"/>
      <c r="E28" s="103"/>
      <c r="F28" s="103"/>
      <c r="G28" s="104"/>
    </row>
    <row r="29" spans="1:7">
      <c r="A29" s="71"/>
      <c r="G29" s="105"/>
    </row>
    <row r="30" spans="1:7">
      <c r="F30" s="85"/>
      <c r="G30" s="85"/>
    </row>
    <row r="31" spans="1:7">
      <c r="F31" s="85"/>
      <c r="G31" s="85"/>
    </row>
  </sheetData>
  <mergeCells count="3">
    <mergeCell ref="A3:G3"/>
    <mergeCell ref="A4:G4"/>
    <mergeCell ref="A5:G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13 of 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2"/>
  <sheetViews>
    <sheetView showGridLines="0" zoomScale="85" zoomScaleNormal="85" workbookViewId="0">
      <pane xSplit="2" ySplit="10" topLeftCell="F11" activePane="bottomRight" state="frozen"/>
      <selection activeCell="B28" sqref="B28"/>
      <selection pane="topRight" activeCell="B28" sqref="B28"/>
      <selection pane="bottomLeft" activeCell="B28" sqref="B28"/>
      <selection pane="bottomRight" activeCell="R44" sqref="R44"/>
    </sheetView>
  </sheetViews>
  <sheetFormatPr defaultRowHeight="15"/>
  <cols>
    <col min="1" max="1" width="3.88671875" style="343" bestFit="1" customWidth="1"/>
    <col min="2" max="2" width="23.88671875" bestFit="1" customWidth="1"/>
    <col min="3" max="6" width="6.77734375" style="343" customWidth="1"/>
  </cols>
  <sheetData>
    <row r="2" spans="1:20">
      <c r="T2" s="794"/>
    </row>
    <row r="3" spans="1:20">
      <c r="A3" s="828" t="s">
        <v>0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</row>
    <row r="4" spans="1:20">
      <c r="A4" s="828" t="s">
        <v>439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</row>
    <row r="5" spans="1:20">
      <c r="A5" s="829" t="str">
        <f>'Page 9-11 - Funct'!A4:D4</f>
        <v>Budget Year 2013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</row>
    <row r="6" spans="1:20">
      <c r="A6" s="376"/>
      <c r="B6" s="356"/>
      <c r="C6" s="376"/>
      <c r="D6" s="376"/>
      <c r="E6" s="376"/>
      <c r="F6" s="37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</row>
    <row r="7" spans="1:20">
      <c r="A7" s="376"/>
      <c r="B7" s="375" t="s">
        <v>1</v>
      </c>
      <c r="C7" s="376" t="s">
        <v>2</v>
      </c>
      <c r="D7" s="376" t="s">
        <v>3</v>
      </c>
      <c r="E7" s="376" t="s">
        <v>4</v>
      </c>
      <c r="F7" s="376" t="s">
        <v>5</v>
      </c>
      <c r="G7" s="376" t="s">
        <v>7</v>
      </c>
      <c r="H7" s="376" t="s">
        <v>6</v>
      </c>
      <c r="I7" s="376" t="s">
        <v>30</v>
      </c>
      <c r="J7" s="376" t="s">
        <v>31</v>
      </c>
      <c r="K7" s="376" t="s">
        <v>30</v>
      </c>
      <c r="L7" s="376" t="s">
        <v>31</v>
      </c>
      <c r="M7" s="376" t="s">
        <v>32</v>
      </c>
      <c r="N7" s="376" t="s">
        <v>79</v>
      </c>
      <c r="O7" s="376" t="s">
        <v>80</v>
      </c>
      <c r="P7" s="376" t="s">
        <v>81</v>
      </c>
      <c r="Q7" s="376" t="s">
        <v>82</v>
      </c>
      <c r="R7" s="376" t="s">
        <v>83</v>
      </c>
      <c r="S7" s="376" t="s">
        <v>84</v>
      </c>
    </row>
    <row r="8" spans="1:20">
      <c r="A8" s="376"/>
      <c r="B8" s="356"/>
      <c r="C8" s="376"/>
      <c r="D8" s="376"/>
      <c r="E8" s="376"/>
      <c r="F8" s="37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</row>
    <row r="9" spans="1:20" s="378" customFormat="1" ht="15.75">
      <c r="A9" s="345" t="s">
        <v>8</v>
      </c>
      <c r="B9" s="382"/>
      <c r="C9" s="388"/>
      <c r="D9" s="388"/>
      <c r="E9" s="388"/>
      <c r="F9" s="388"/>
      <c r="G9" s="388" t="s">
        <v>424</v>
      </c>
      <c r="H9" s="388" t="str">
        <f>$G9</f>
        <v>Forecast</v>
      </c>
      <c r="I9" s="388" t="str">
        <f t="shared" ref="I9:R9" si="0">$G9</f>
        <v>Forecast</v>
      </c>
      <c r="J9" s="388" t="str">
        <f t="shared" si="0"/>
        <v>Forecast</v>
      </c>
      <c r="K9" s="388" t="str">
        <f t="shared" si="0"/>
        <v>Forecast</v>
      </c>
      <c r="L9" s="388" t="str">
        <f t="shared" si="0"/>
        <v>Forecast</v>
      </c>
      <c r="M9" s="388" t="str">
        <f t="shared" si="0"/>
        <v>Forecast</v>
      </c>
      <c r="N9" s="388" t="str">
        <f t="shared" si="0"/>
        <v>Forecast</v>
      </c>
      <c r="O9" s="388" t="str">
        <f t="shared" si="0"/>
        <v>Forecast</v>
      </c>
      <c r="P9" s="388" t="str">
        <f t="shared" si="0"/>
        <v>Forecast</v>
      </c>
      <c r="Q9" s="388" t="str">
        <f t="shared" si="0"/>
        <v>Forecast</v>
      </c>
      <c r="R9" s="388" t="str">
        <f t="shared" si="0"/>
        <v>Forecast</v>
      </c>
      <c r="S9" s="389"/>
    </row>
    <row r="10" spans="1:20" s="378" customFormat="1" ht="15.75">
      <c r="A10" s="354" t="s">
        <v>10</v>
      </c>
      <c r="B10" s="386" t="s">
        <v>425</v>
      </c>
      <c r="C10" s="390" t="s">
        <v>397</v>
      </c>
      <c r="D10" s="390" t="s">
        <v>426</v>
      </c>
      <c r="E10" s="390" t="s">
        <v>427</v>
      </c>
      <c r="F10" s="390" t="s">
        <v>33</v>
      </c>
      <c r="G10" s="390" t="s">
        <v>428</v>
      </c>
      <c r="H10" s="390" t="s">
        <v>429</v>
      </c>
      <c r="I10" s="390" t="s">
        <v>430</v>
      </c>
      <c r="J10" s="390" t="s">
        <v>431</v>
      </c>
      <c r="K10" s="390" t="s">
        <v>20</v>
      </c>
      <c r="L10" s="390" t="s">
        <v>432</v>
      </c>
      <c r="M10" s="390" t="s">
        <v>433</v>
      </c>
      <c r="N10" s="390" t="s">
        <v>434</v>
      </c>
      <c r="O10" s="390" t="s">
        <v>435</v>
      </c>
      <c r="P10" s="390" t="s">
        <v>436</v>
      </c>
      <c r="Q10" s="390" t="s">
        <v>437</v>
      </c>
      <c r="R10" s="390" t="s">
        <v>438</v>
      </c>
      <c r="S10" s="391" t="s">
        <v>16</v>
      </c>
    </row>
    <row r="11" spans="1:20">
      <c r="A11" s="379">
        <v>1</v>
      </c>
      <c r="B11" s="396" t="s">
        <v>439</v>
      </c>
      <c r="C11" s="355"/>
      <c r="D11" s="350"/>
      <c r="E11" s="355"/>
      <c r="F11" s="355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4">
        <f>SUM(G11:R11)</f>
        <v>0</v>
      </c>
    </row>
    <row r="12" spans="1:20">
      <c r="A12" s="380">
        <f>+A11+1</f>
        <v>2</v>
      </c>
      <c r="B12" s="397" t="s">
        <v>440</v>
      </c>
      <c r="C12" s="350">
        <v>1020</v>
      </c>
      <c r="D12" s="350">
        <v>5230</v>
      </c>
      <c r="E12" s="355">
        <v>4081</v>
      </c>
      <c r="F12" s="355">
        <v>40801</v>
      </c>
      <c r="G12" s="731">
        <v>65096</v>
      </c>
      <c r="H12" s="731">
        <v>65096</v>
      </c>
      <c r="I12" s="731">
        <v>65096</v>
      </c>
      <c r="J12" s="731">
        <v>65096</v>
      </c>
      <c r="K12" s="731">
        <v>65096</v>
      </c>
      <c r="L12" s="731">
        <v>65096</v>
      </c>
      <c r="M12" s="731">
        <v>65096</v>
      </c>
      <c r="N12" s="731">
        <v>65096</v>
      </c>
      <c r="O12" s="731">
        <v>65096</v>
      </c>
      <c r="P12" s="731">
        <v>65096</v>
      </c>
      <c r="Q12" s="731">
        <v>65096</v>
      </c>
      <c r="R12" s="731">
        <v>65096</v>
      </c>
      <c r="S12" s="384">
        <f t="shared" ref="S12:S37" si="1">SUM(G12:R12)</f>
        <v>781152</v>
      </c>
    </row>
    <row r="13" spans="1:20">
      <c r="A13" s="380">
        <f>+A12+1</f>
        <v>3</v>
      </c>
      <c r="B13" s="397" t="s">
        <v>441</v>
      </c>
      <c r="C13" s="355">
        <v>1100</v>
      </c>
      <c r="D13" s="350">
        <v>5230</v>
      </c>
      <c r="E13" s="355">
        <v>4081</v>
      </c>
      <c r="F13" s="355">
        <v>40801</v>
      </c>
      <c r="G13" s="738">
        <v>65386</v>
      </c>
      <c r="H13" s="738">
        <v>65386</v>
      </c>
      <c r="I13" s="738">
        <v>65386</v>
      </c>
      <c r="J13" s="738">
        <v>65386</v>
      </c>
      <c r="K13" s="738">
        <v>65386</v>
      </c>
      <c r="L13" s="738">
        <v>65386</v>
      </c>
      <c r="M13" s="738">
        <v>65386</v>
      </c>
      <c r="N13" s="738">
        <v>65386</v>
      </c>
      <c r="O13" s="738">
        <v>65386</v>
      </c>
      <c r="P13" s="738">
        <v>65386</v>
      </c>
      <c r="Q13" s="738">
        <v>65386</v>
      </c>
      <c r="R13" s="738">
        <v>65386</v>
      </c>
      <c r="S13" s="384">
        <f t="shared" si="1"/>
        <v>784632</v>
      </c>
    </row>
    <row r="14" spans="1:20">
      <c r="A14" s="380">
        <f>+A13+1</f>
        <v>4</v>
      </c>
      <c r="B14" s="397" t="s">
        <v>442</v>
      </c>
      <c r="C14" s="355">
        <v>1200</v>
      </c>
      <c r="D14" s="350">
        <v>5230</v>
      </c>
      <c r="E14" s="355">
        <v>4081</v>
      </c>
      <c r="F14" s="355">
        <v>40801</v>
      </c>
      <c r="G14" s="387">
        <v>682</v>
      </c>
      <c r="H14" s="387">
        <v>682</v>
      </c>
      <c r="I14" s="387">
        <v>682</v>
      </c>
      <c r="J14" s="387">
        <v>682</v>
      </c>
      <c r="K14" s="387">
        <v>682</v>
      </c>
      <c r="L14" s="387">
        <v>682</v>
      </c>
      <c r="M14" s="387">
        <v>682</v>
      </c>
      <c r="N14" s="387">
        <v>682</v>
      </c>
      <c r="O14" s="387">
        <v>682</v>
      </c>
      <c r="P14" s="387">
        <v>682</v>
      </c>
      <c r="Q14" s="387">
        <v>682</v>
      </c>
      <c r="R14" s="387">
        <v>682</v>
      </c>
      <c r="S14" s="384">
        <f>SUM(G14:R14)</f>
        <v>8184</v>
      </c>
    </row>
    <row r="15" spans="1:20">
      <c r="A15" s="380">
        <f t="shared" ref="A15:A40" si="2">+A14+1</f>
        <v>5</v>
      </c>
      <c r="B15" s="397" t="s">
        <v>443</v>
      </c>
      <c r="C15" s="355">
        <v>1200</v>
      </c>
      <c r="D15" s="350">
        <v>5230</v>
      </c>
      <c r="E15" s="355">
        <v>4081</v>
      </c>
      <c r="F15" s="355">
        <v>40801</v>
      </c>
      <c r="G15" s="739">
        <v>67662.428199999995</v>
      </c>
      <c r="H15" s="739">
        <v>63645.4281999999</v>
      </c>
      <c r="I15" s="739">
        <v>63361.4281999999</v>
      </c>
      <c r="J15" s="739">
        <v>63211.4281999999</v>
      </c>
      <c r="K15" s="739">
        <v>60988.9281999999</v>
      </c>
      <c r="L15" s="739">
        <v>60249.9281999999</v>
      </c>
      <c r="M15" s="739">
        <v>66274.928199999995</v>
      </c>
      <c r="N15" s="739">
        <v>66257.178199999995</v>
      </c>
      <c r="O15" s="739">
        <v>60334.6781999999</v>
      </c>
      <c r="P15" s="739">
        <v>61852.1781999999</v>
      </c>
      <c r="Q15" s="739">
        <v>64160.9281999999</v>
      </c>
      <c r="R15" s="739">
        <v>64824.6781999999</v>
      </c>
      <c r="S15" s="384">
        <f>SUM(G15:R15)</f>
        <v>762824.13839999889</v>
      </c>
    </row>
    <row r="16" spans="1:20">
      <c r="A16" s="380">
        <f t="shared" si="2"/>
        <v>6</v>
      </c>
      <c r="B16" s="397" t="s">
        <v>444</v>
      </c>
      <c r="C16" s="355">
        <v>1310</v>
      </c>
      <c r="D16" s="350">
        <v>5230</v>
      </c>
      <c r="E16" s="355">
        <v>4081</v>
      </c>
      <c r="F16" s="355">
        <v>40801</v>
      </c>
      <c r="G16" s="387">
        <v>975</v>
      </c>
      <c r="H16" s="387">
        <v>975</v>
      </c>
      <c r="I16" s="387">
        <v>975</v>
      </c>
      <c r="J16" s="387">
        <v>975</v>
      </c>
      <c r="K16" s="387">
        <v>975</v>
      </c>
      <c r="L16" s="387">
        <v>975</v>
      </c>
      <c r="M16" s="387">
        <v>975</v>
      </c>
      <c r="N16" s="387">
        <v>975</v>
      </c>
      <c r="O16" s="387">
        <v>975</v>
      </c>
      <c r="P16" s="387">
        <v>975</v>
      </c>
      <c r="Q16" s="387">
        <v>975</v>
      </c>
      <c r="R16" s="387">
        <v>975</v>
      </c>
      <c r="S16" s="384">
        <f t="shared" si="1"/>
        <v>11700</v>
      </c>
    </row>
    <row r="17" spans="1:19">
      <c r="A17" s="380">
        <f t="shared" si="2"/>
        <v>7</v>
      </c>
      <c r="B17" s="397" t="s">
        <v>445</v>
      </c>
      <c r="C17" s="355">
        <v>1320</v>
      </c>
      <c r="D17" s="350">
        <v>5230</v>
      </c>
      <c r="E17" s="355">
        <v>4081</v>
      </c>
      <c r="F17" s="355">
        <v>40801</v>
      </c>
      <c r="G17" s="387">
        <v>1346</v>
      </c>
      <c r="H17" s="387">
        <v>1346</v>
      </c>
      <c r="I17" s="387">
        <v>1346</v>
      </c>
      <c r="J17" s="387">
        <v>1346</v>
      </c>
      <c r="K17" s="387">
        <v>1346</v>
      </c>
      <c r="L17" s="387">
        <v>1346</v>
      </c>
      <c r="M17" s="387">
        <v>1346</v>
      </c>
      <c r="N17" s="387">
        <v>1346</v>
      </c>
      <c r="O17" s="387">
        <v>1346</v>
      </c>
      <c r="P17" s="387">
        <v>1346</v>
      </c>
      <c r="Q17" s="387">
        <v>1346</v>
      </c>
      <c r="R17" s="387">
        <v>1346</v>
      </c>
      <c r="S17" s="384">
        <f t="shared" si="1"/>
        <v>16152</v>
      </c>
    </row>
    <row r="18" spans="1:19">
      <c r="A18" s="380">
        <f t="shared" si="2"/>
        <v>8</v>
      </c>
      <c r="B18" s="397" t="s">
        <v>446</v>
      </c>
      <c r="C18" s="355">
        <v>1330</v>
      </c>
      <c r="D18" s="350">
        <v>5230</v>
      </c>
      <c r="E18" s="355">
        <v>4081</v>
      </c>
      <c r="F18" s="355">
        <v>40801</v>
      </c>
      <c r="G18" s="387">
        <v>655</v>
      </c>
      <c r="H18" s="387">
        <v>655</v>
      </c>
      <c r="I18" s="387">
        <v>655</v>
      </c>
      <c r="J18" s="387">
        <v>655</v>
      </c>
      <c r="K18" s="387">
        <v>655</v>
      </c>
      <c r="L18" s="387">
        <v>655</v>
      </c>
      <c r="M18" s="387">
        <v>655</v>
      </c>
      <c r="N18" s="387">
        <v>655</v>
      </c>
      <c r="O18" s="387">
        <v>655</v>
      </c>
      <c r="P18" s="387">
        <v>655</v>
      </c>
      <c r="Q18" s="387">
        <v>655</v>
      </c>
      <c r="R18" s="387">
        <v>655</v>
      </c>
      <c r="S18" s="384">
        <f t="shared" si="1"/>
        <v>7860</v>
      </c>
    </row>
    <row r="19" spans="1:19">
      <c r="A19" s="380">
        <f t="shared" si="2"/>
        <v>9</v>
      </c>
      <c r="B19" s="397" t="s">
        <v>447</v>
      </c>
      <c r="C19" s="355">
        <v>1340</v>
      </c>
      <c r="D19" s="350">
        <v>5230</v>
      </c>
      <c r="E19" s="355">
        <v>4081</v>
      </c>
      <c r="F19" s="355">
        <v>40801</v>
      </c>
      <c r="G19" s="387">
        <v>1348</v>
      </c>
      <c r="H19" s="387">
        <v>1348</v>
      </c>
      <c r="I19" s="387">
        <v>1348</v>
      </c>
      <c r="J19" s="387">
        <v>1348</v>
      </c>
      <c r="K19" s="387">
        <v>1348</v>
      </c>
      <c r="L19" s="387">
        <v>1348</v>
      </c>
      <c r="M19" s="387">
        <v>1348</v>
      </c>
      <c r="N19" s="387">
        <v>1348</v>
      </c>
      <c r="O19" s="387">
        <v>1348</v>
      </c>
      <c r="P19" s="387">
        <v>1348</v>
      </c>
      <c r="Q19" s="387">
        <v>1348</v>
      </c>
      <c r="R19" s="387">
        <v>1348</v>
      </c>
      <c r="S19" s="384">
        <f t="shared" si="1"/>
        <v>16176</v>
      </c>
    </row>
    <row r="20" spans="1:19">
      <c r="A20" s="380">
        <f t="shared" si="2"/>
        <v>10</v>
      </c>
      <c r="B20" s="397" t="s">
        <v>448</v>
      </c>
      <c r="C20" s="355">
        <v>1350</v>
      </c>
      <c r="D20" s="350">
        <v>5230</v>
      </c>
      <c r="E20" s="355">
        <v>4081</v>
      </c>
      <c r="F20" s="355">
        <v>40801</v>
      </c>
      <c r="G20" s="387">
        <v>981</v>
      </c>
      <c r="H20" s="387">
        <v>981</v>
      </c>
      <c r="I20" s="387">
        <v>981</v>
      </c>
      <c r="J20" s="387">
        <v>981</v>
      </c>
      <c r="K20" s="387">
        <v>981</v>
      </c>
      <c r="L20" s="387">
        <v>981</v>
      </c>
      <c r="M20" s="387">
        <v>981</v>
      </c>
      <c r="N20" s="387">
        <v>981</v>
      </c>
      <c r="O20" s="387">
        <v>981</v>
      </c>
      <c r="P20" s="387">
        <v>981</v>
      </c>
      <c r="Q20" s="387">
        <v>981</v>
      </c>
      <c r="R20" s="387">
        <v>981</v>
      </c>
      <c r="S20" s="384">
        <f t="shared" si="1"/>
        <v>11772</v>
      </c>
    </row>
    <row r="21" spans="1:19">
      <c r="A21" s="380">
        <f t="shared" si="2"/>
        <v>11</v>
      </c>
      <c r="B21" s="397" t="s">
        <v>449</v>
      </c>
      <c r="C21" s="355">
        <v>1380</v>
      </c>
      <c r="D21" s="350">
        <v>5230</v>
      </c>
      <c r="E21" s="355">
        <v>4081</v>
      </c>
      <c r="F21" s="355">
        <v>40801</v>
      </c>
      <c r="G21" s="387">
        <v>934</v>
      </c>
      <c r="H21" s="387">
        <v>934</v>
      </c>
      <c r="I21" s="387">
        <v>934</v>
      </c>
      <c r="J21" s="387">
        <v>934</v>
      </c>
      <c r="K21" s="387">
        <v>934</v>
      </c>
      <c r="L21" s="387">
        <v>934</v>
      </c>
      <c r="M21" s="387">
        <v>934</v>
      </c>
      <c r="N21" s="387">
        <v>934</v>
      </c>
      <c r="O21" s="387">
        <v>934</v>
      </c>
      <c r="P21" s="387">
        <v>934</v>
      </c>
      <c r="Q21" s="387">
        <v>934</v>
      </c>
      <c r="R21" s="387">
        <v>934</v>
      </c>
      <c r="S21" s="384">
        <f t="shared" si="1"/>
        <v>11208</v>
      </c>
    </row>
    <row r="22" spans="1:19">
      <c r="A22" s="380">
        <f t="shared" si="2"/>
        <v>12</v>
      </c>
      <c r="B22" s="397" t="s">
        <v>450</v>
      </c>
      <c r="C22" s="355">
        <v>1400</v>
      </c>
      <c r="D22" s="350">
        <v>5230</v>
      </c>
      <c r="E22" s="355">
        <v>4081</v>
      </c>
      <c r="F22" s="355">
        <v>40801</v>
      </c>
      <c r="G22" s="387">
        <v>5240</v>
      </c>
      <c r="H22" s="387">
        <v>5240</v>
      </c>
      <c r="I22" s="387">
        <v>5240</v>
      </c>
      <c r="J22" s="387">
        <v>5240</v>
      </c>
      <c r="K22" s="387">
        <v>5240</v>
      </c>
      <c r="L22" s="387">
        <v>5240</v>
      </c>
      <c r="M22" s="387">
        <v>5240</v>
      </c>
      <c r="N22" s="387">
        <v>5240</v>
      </c>
      <c r="O22" s="387">
        <v>5240</v>
      </c>
      <c r="P22" s="387">
        <v>5240</v>
      </c>
      <c r="Q22" s="387">
        <v>5240</v>
      </c>
      <c r="R22" s="387">
        <v>5240</v>
      </c>
      <c r="S22" s="384">
        <f t="shared" si="1"/>
        <v>62880</v>
      </c>
    </row>
    <row r="23" spans="1:19">
      <c r="A23" s="380">
        <f t="shared" si="2"/>
        <v>13</v>
      </c>
      <c r="B23" s="397" t="s">
        <v>451</v>
      </c>
      <c r="C23" s="355">
        <v>1410</v>
      </c>
      <c r="D23" s="350">
        <v>5230</v>
      </c>
      <c r="E23" s="355">
        <v>4081</v>
      </c>
      <c r="F23" s="355">
        <v>40801</v>
      </c>
      <c r="G23" s="387">
        <v>2726</v>
      </c>
      <c r="H23" s="387">
        <v>2726</v>
      </c>
      <c r="I23" s="387">
        <v>2726</v>
      </c>
      <c r="J23" s="387">
        <v>2726</v>
      </c>
      <c r="K23" s="387">
        <v>2726</v>
      </c>
      <c r="L23" s="387">
        <v>2726</v>
      </c>
      <c r="M23" s="387">
        <v>2726</v>
      </c>
      <c r="N23" s="387">
        <v>2726</v>
      </c>
      <c r="O23" s="387">
        <v>2726</v>
      </c>
      <c r="P23" s="387">
        <v>2726</v>
      </c>
      <c r="Q23" s="387">
        <v>2726</v>
      </c>
      <c r="R23" s="387">
        <v>2726</v>
      </c>
      <c r="S23" s="384">
        <f t="shared" si="1"/>
        <v>32712</v>
      </c>
    </row>
    <row r="24" spans="1:19" ht="25.5">
      <c r="A24" s="380">
        <f t="shared" si="2"/>
        <v>14</v>
      </c>
      <c r="B24" s="397" t="s">
        <v>452</v>
      </c>
      <c r="C24" s="355">
        <v>1430</v>
      </c>
      <c r="D24" s="350">
        <v>5230</v>
      </c>
      <c r="E24" s="355">
        <v>4081</v>
      </c>
      <c r="F24" s="355">
        <v>40801</v>
      </c>
      <c r="G24" s="387">
        <v>991</v>
      </c>
      <c r="H24" s="387">
        <v>991</v>
      </c>
      <c r="I24" s="387">
        <v>991</v>
      </c>
      <c r="J24" s="387">
        <v>991</v>
      </c>
      <c r="K24" s="387">
        <v>991</v>
      </c>
      <c r="L24" s="387">
        <v>991</v>
      </c>
      <c r="M24" s="387">
        <v>991</v>
      </c>
      <c r="N24" s="387">
        <v>991</v>
      </c>
      <c r="O24" s="387">
        <v>991</v>
      </c>
      <c r="P24" s="387">
        <v>991</v>
      </c>
      <c r="Q24" s="387">
        <v>991</v>
      </c>
      <c r="R24" s="387">
        <v>991</v>
      </c>
      <c r="S24" s="384">
        <f t="shared" si="1"/>
        <v>11892</v>
      </c>
    </row>
    <row r="25" spans="1:19">
      <c r="A25" s="380">
        <f t="shared" si="2"/>
        <v>15</v>
      </c>
      <c r="B25" s="397" t="s">
        <v>453</v>
      </c>
      <c r="C25" s="355">
        <v>1440</v>
      </c>
      <c r="D25" s="350">
        <v>5230</v>
      </c>
      <c r="E25" s="355">
        <v>4081</v>
      </c>
      <c r="F25" s="355">
        <v>40801</v>
      </c>
      <c r="G25" s="387">
        <v>4902</v>
      </c>
      <c r="H25" s="387">
        <v>4902</v>
      </c>
      <c r="I25" s="387">
        <v>4902</v>
      </c>
      <c r="J25" s="387">
        <v>4902</v>
      </c>
      <c r="K25" s="387">
        <v>4902</v>
      </c>
      <c r="L25" s="387">
        <v>4902</v>
      </c>
      <c r="M25" s="387">
        <v>4902</v>
      </c>
      <c r="N25" s="387">
        <v>4902</v>
      </c>
      <c r="O25" s="387">
        <v>4902</v>
      </c>
      <c r="P25" s="387">
        <v>4902</v>
      </c>
      <c r="Q25" s="387">
        <v>4902</v>
      </c>
      <c r="R25" s="387">
        <v>4902</v>
      </c>
      <c r="S25" s="384">
        <f t="shared" si="1"/>
        <v>58824</v>
      </c>
    </row>
    <row r="26" spans="1:19">
      <c r="A26" s="380">
        <f t="shared" si="2"/>
        <v>16</v>
      </c>
      <c r="B26" s="397" t="s">
        <v>570</v>
      </c>
      <c r="C26" s="355">
        <v>1500</v>
      </c>
      <c r="D26" s="350">
        <v>5230</v>
      </c>
      <c r="E26" s="355">
        <v>4081</v>
      </c>
      <c r="F26" s="355">
        <v>40801</v>
      </c>
      <c r="G26" s="387">
        <v>2421</v>
      </c>
      <c r="H26" s="387">
        <f t="shared" ref="H26:R26" si="3">G26</f>
        <v>2421</v>
      </c>
      <c r="I26" s="387">
        <f t="shared" si="3"/>
        <v>2421</v>
      </c>
      <c r="J26" s="387">
        <f t="shared" si="3"/>
        <v>2421</v>
      </c>
      <c r="K26" s="387">
        <f t="shared" si="3"/>
        <v>2421</v>
      </c>
      <c r="L26" s="387">
        <f t="shared" si="3"/>
        <v>2421</v>
      </c>
      <c r="M26" s="387">
        <f t="shared" si="3"/>
        <v>2421</v>
      </c>
      <c r="N26" s="387">
        <f t="shared" si="3"/>
        <v>2421</v>
      </c>
      <c r="O26" s="387">
        <f t="shared" si="3"/>
        <v>2421</v>
      </c>
      <c r="P26" s="387">
        <f t="shared" si="3"/>
        <v>2421</v>
      </c>
      <c r="Q26" s="387">
        <f t="shared" si="3"/>
        <v>2421</v>
      </c>
      <c r="R26" s="387">
        <f t="shared" si="3"/>
        <v>2421</v>
      </c>
      <c r="S26" s="384">
        <f>SUM(G26:R26)</f>
        <v>29052</v>
      </c>
    </row>
    <row r="27" spans="1:19">
      <c r="A27" s="380">
        <f t="shared" si="2"/>
        <v>17</v>
      </c>
      <c r="B27" s="397" t="s">
        <v>454</v>
      </c>
      <c r="C27" s="355">
        <v>1600</v>
      </c>
      <c r="D27" s="350">
        <v>5230</v>
      </c>
      <c r="E27" s="355">
        <v>4081</v>
      </c>
      <c r="F27" s="355">
        <v>40801</v>
      </c>
      <c r="G27" s="387">
        <v>17100</v>
      </c>
      <c r="H27" s="387">
        <v>17100</v>
      </c>
      <c r="I27" s="387">
        <v>17100</v>
      </c>
      <c r="J27" s="387">
        <v>17100</v>
      </c>
      <c r="K27" s="387">
        <v>17100</v>
      </c>
      <c r="L27" s="387">
        <v>17100</v>
      </c>
      <c r="M27" s="387">
        <v>17100</v>
      </c>
      <c r="N27" s="387">
        <v>17100</v>
      </c>
      <c r="O27" s="387">
        <v>17100</v>
      </c>
      <c r="P27" s="387">
        <v>17100</v>
      </c>
      <c r="Q27" s="387">
        <v>17100</v>
      </c>
      <c r="R27" s="387">
        <v>17100</v>
      </c>
      <c r="S27" s="384">
        <f t="shared" si="1"/>
        <v>205200</v>
      </c>
    </row>
    <row r="28" spans="1:19">
      <c r="A28" s="380">
        <f t="shared" si="2"/>
        <v>18</v>
      </c>
      <c r="B28" s="397" t="s">
        <v>455</v>
      </c>
      <c r="C28" s="355">
        <v>1610</v>
      </c>
      <c r="D28" s="350">
        <v>5230</v>
      </c>
      <c r="E28" s="355">
        <v>4081</v>
      </c>
      <c r="F28" s="355">
        <v>40801</v>
      </c>
      <c r="G28" s="387">
        <v>28120</v>
      </c>
      <c r="H28" s="387">
        <v>28120</v>
      </c>
      <c r="I28" s="387">
        <v>28120</v>
      </c>
      <c r="J28" s="387">
        <v>28120</v>
      </c>
      <c r="K28" s="387">
        <v>28120</v>
      </c>
      <c r="L28" s="387">
        <v>28120</v>
      </c>
      <c r="M28" s="387">
        <v>28120</v>
      </c>
      <c r="N28" s="387">
        <v>28120</v>
      </c>
      <c r="O28" s="387">
        <v>28120</v>
      </c>
      <c r="P28" s="387">
        <v>28120</v>
      </c>
      <c r="Q28" s="387">
        <v>28120</v>
      </c>
      <c r="R28" s="387">
        <v>28120</v>
      </c>
      <c r="S28" s="384">
        <f t="shared" si="1"/>
        <v>337440</v>
      </c>
    </row>
    <row r="29" spans="1:19">
      <c r="A29" s="380">
        <f t="shared" si="2"/>
        <v>19</v>
      </c>
      <c r="B29" s="397" t="s">
        <v>456</v>
      </c>
      <c r="C29" s="355">
        <v>1620</v>
      </c>
      <c r="D29" s="350">
        <v>5230</v>
      </c>
      <c r="E29" s="355">
        <v>4081</v>
      </c>
      <c r="F29" s="355">
        <v>40801</v>
      </c>
      <c r="G29" s="387">
        <v>19000</v>
      </c>
      <c r="H29" s="387">
        <v>19000</v>
      </c>
      <c r="I29" s="387">
        <v>19000</v>
      </c>
      <c r="J29" s="387">
        <v>19000</v>
      </c>
      <c r="K29" s="387">
        <v>19000</v>
      </c>
      <c r="L29" s="387">
        <v>19000</v>
      </c>
      <c r="M29" s="387">
        <v>19000</v>
      </c>
      <c r="N29" s="387">
        <v>19000</v>
      </c>
      <c r="O29" s="387">
        <v>19000</v>
      </c>
      <c r="P29" s="387">
        <v>19000</v>
      </c>
      <c r="Q29" s="387">
        <v>19000</v>
      </c>
      <c r="R29" s="387">
        <v>19000</v>
      </c>
      <c r="S29" s="384">
        <f t="shared" si="1"/>
        <v>228000</v>
      </c>
    </row>
    <row r="30" spans="1:19">
      <c r="A30" s="380">
        <f t="shared" si="2"/>
        <v>20</v>
      </c>
      <c r="B30" s="397" t="s">
        <v>457</v>
      </c>
      <c r="C30" s="398" t="s">
        <v>414</v>
      </c>
      <c r="D30" s="350">
        <v>5230</v>
      </c>
      <c r="E30" s="355">
        <v>4081</v>
      </c>
      <c r="F30" s="355">
        <v>40801</v>
      </c>
      <c r="G30" s="387">
        <v>597239</v>
      </c>
      <c r="H30" s="387">
        <v>597239</v>
      </c>
      <c r="I30" s="387">
        <v>597239</v>
      </c>
      <c r="J30" s="387">
        <v>597239</v>
      </c>
      <c r="K30" s="387">
        <v>597239</v>
      </c>
      <c r="L30" s="387">
        <v>597239</v>
      </c>
      <c r="M30" s="387">
        <v>597239</v>
      </c>
      <c r="N30" s="387">
        <v>597239</v>
      </c>
      <c r="O30" s="387">
        <v>597239</v>
      </c>
      <c r="P30" s="387">
        <v>597239</v>
      </c>
      <c r="Q30" s="387">
        <v>597239</v>
      </c>
      <c r="R30" s="387">
        <v>597239</v>
      </c>
      <c r="S30" s="384">
        <f t="shared" si="1"/>
        <v>7166868</v>
      </c>
    </row>
    <row r="31" spans="1:19">
      <c r="A31" s="380">
        <f t="shared" si="2"/>
        <v>21</v>
      </c>
      <c r="B31" s="397" t="s">
        <v>458</v>
      </c>
      <c r="C31" s="398" t="s">
        <v>414</v>
      </c>
      <c r="D31" s="350">
        <v>5230</v>
      </c>
      <c r="E31" s="355">
        <v>4081</v>
      </c>
      <c r="F31" s="355">
        <v>40801</v>
      </c>
      <c r="G31" s="387">
        <v>46535</v>
      </c>
      <c r="H31" s="387">
        <v>46535</v>
      </c>
      <c r="I31" s="387">
        <v>46535</v>
      </c>
      <c r="J31" s="387">
        <v>46535</v>
      </c>
      <c r="K31" s="387">
        <v>46535</v>
      </c>
      <c r="L31" s="387">
        <v>46535</v>
      </c>
      <c r="M31" s="387">
        <v>46535</v>
      </c>
      <c r="N31" s="387">
        <v>46535</v>
      </c>
      <c r="O31" s="387">
        <v>46535</v>
      </c>
      <c r="P31" s="387">
        <v>46535</v>
      </c>
      <c r="Q31" s="387">
        <v>46535</v>
      </c>
      <c r="R31" s="387">
        <v>46535</v>
      </c>
      <c r="S31" s="384">
        <f t="shared" si="1"/>
        <v>558420</v>
      </c>
    </row>
    <row r="32" spans="1:19">
      <c r="A32" s="380">
        <f t="shared" si="2"/>
        <v>22</v>
      </c>
      <c r="B32" s="397" t="s">
        <v>569</v>
      </c>
      <c r="C32" s="398" t="s">
        <v>414</v>
      </c>
      <c r="D32" s="350">
        <v>5230</v>
      </c>
      <c r="E32" s="355">
        <v>4081</v>
      </c>
      <c r="F32" s="355">
        <v>40801</v>
      </c>
      <c r="G32" s="387">
        <v>3187</v>
      </c>
      <c r="H32" s="387">
        <v>3187</v>
      </c>
      <c r="I32" s="387">
        <v>3187</v>
      </c>
      <c r="J32" s="387">
        <v>3187</v>
      </c>
      <c r="K32" s="387">
        <v>3187</v>
      </c>
      <c r="L32" s="387">
        <v>3187</v>
      </c>
      <c r="M32" s="387">
        <v>3187</v>
      </c>
      <c r="N32" s="387">
        <v>3187</v>
      </c>
      <c r="O32" s="387">
        <v>3187</v>
      </c>
      <c r="P32" s="387">
        <v>3187</v>
      </c>
      <c r="Q32" s="387">
        <v>3187</v>
      </c>
      <c r="R32" s="387">
        <v>3187</v>
      </c>
      <c r="S32" s="384">
        <f>SUM(G32:R32)</f>
        <v>38244</v>
      </c>
    </row>
    <row r="33" spans="1:19">
      <c r="A33" s="380">
        <f t="shared" si="2"/>
        <v>23</v>
      </c>
      <c r="B33" s="397" t="s">
        <v>509</v>
      </c>
      <c r="C33" s="398" t="s">
        <v>414</v>
      </c>
      <c r="D33" s="350">
        <v>5230</v>
      </c>
      <c r="E33" s="355">
        <v>4081</v>
      </c>
      <c r="F33" s="355">
        <v>40801</v>
      </c>
      <c r="G33" s="387">
        <v>14676</v>
      </c>
      <c r="H33" s="387">
        <v>14676</v>
      </c>
      <c r="I33" s="387">
        <v>14676</v>
      </c>
      <c r="J33" s="387">
        <v>14676</v>
      </c>
      <c r="K33" s="387">
        <v>14676</v>
      </c>
      <c r="L33" s="387">
        <v>14676</v>
      </c>
      <c r="M33" s="387">
        <v>14676</v>
      </c>
      <c r="N33" s="387">
        <v>14676</v>
      </c>
      <c r="O33" s="387">
        <v>14676</v>
      </c>
      <c r="P33" s="387">
        <v>14676</v>
      </c>
      <c r="Q33" s="387">
        <v>14676</v>
      </c>
      <c r="R33" s="387">
        <v>14676</v>
      </c>
      <c r="S33" s="384">
        <f>SUM(G33:R33)</f>
        <v>176112</v>
      </c>
    </row>
    <row r="34" spans="1:19">
      <c r="A34" s="380">
        <f t="shared" si="2"/>
        <v>24</v>
      </c>
      <c r="B34" s="397" t="s">
        <v>459</v>
      </c>
      <c r="C34" s="398" t="s">
        <v>414</v>
      </c>
      <c r="D34" s="350">
        <v>5230</v>
      </c>
      <c r="E34" s="355">
        <v>4081</v>
      </c>
      <c r="F34" s="355">
        <v>40801</v>
      </c>
      <c r="G34" s="387">
        <v>50345</v>
      </c>
      <c r="H34" s="387">
        <v>50345</v>
      </c>
      <c r="I34" s="387">
        <v>50345</v>
      </c>
      <c r="J34" s="387">
        <v>50345</v>
      </c>
      <c r="K34" s="387">
        <v>50345</v>
      </c>
      <c r="L34" s="387">
        <v>50345</v>
      </c>
      <c r="M34" s="387">
        <v>50345</v>
      </c>
      <c r="N34" s="387">
        <v>50345</v>
      </c>
      <c r="O34" s="387">
        <v>50345</v>
      </c>
      <c r="P34" s="387">
        <v>50345</v>
      </c>
      <c r="Q34" s="387">
        <v>50345</v>
      </c>
      <c r="R34" s="387">
        <v>50345</v>
      </c>
      <c r="S34" s="384">
        <f>SUM(G34:R34)</f>
        <v>604140</v>
      </c>
    </row>
    <row r="35" spans="1:19">
      <c r="A35" s="380">
        <f t="shared" si="2"/>
        <v>25</v>
      </c>
      <c r="B35" s="397" t="s">
        <v>460</v>
      </c>
      <c r="C35" s="355">
        <v>1980</v>
      </c>
      <c r="D35" s="350">
        <v>5230</v>
      </c>
      <c r="E35" s="355">
        <v>4081</v>
      </c>
      <c r="F35" s="355">
        <v>40801</v>
      </c>
      <c r="G35" s="387">
        <v>3641</v>
      </c>
      <c r="H35" s="387">
        <v>3641</v>
      </c>
      <c r="I35" s="387">
        <v>3641</v>
      </c>
      <c r="J35" s="387">
        <v>3641</v>
      </c>
      <c r="K35" s="387">
        <v>3641</v>
      </c>
      <c r="L35" s="387">
        <v>3641</v>
      </c>
      <c r="M35" s="387">
        <v>3641</v>
      </c>
      <c r="N35" s="387">
        <v>3641</v>
      </c>
      <c r="O35" s="387">
        <v>3641</v>
      </c>
      <c r="P35" s="387">
        <v>3641</v>
      </c>
      <c r="Q35" s="387">
        <v>3641</v>
      </c>
      <c r="R35" s="387">
        <v>3641</v>
      </c>
      <c r="S35" s="384">
        <f t="shared" si="1"/>
        <v>43692</v>
      </c>
    </row>
    <row r="36" spans="1:19">
      <c r="A36" s="380">
        <f t="shared" si="2"/>
        <v>26</v>
      </c>
      <c r="B36" s="397" t="s">
        <v>461</v>
      </c>
      <c r="C36" s="355">
        <v>1990</v>
      </c>
      <c r="D36" s="350">
        <v>5230</v>
      </c>
      <c r="E36" s="355">
        <v>4081</v>
      </c>
      <c r="F36" s="355">
        <v>40801</v>
      </c>
      <c r="G36" s="387">
        <v>1056</v>
      </c>
      <c r="H36" s="387">
        <v>1056</v>
      </c>
      <c r="I36" s="387">
        <v>1056</v>
      </c>
      <c r="J36" s="387">
        <v>1056</v>
      </c>
      <c r="K36" s="387">
        <v>1056</v>
      </c>
      <c r="L36" s="387">
        <v>1056</v>
      </c>
      <c r="M36" s="387">
        <v>1056</v>
      </c>
      <c r="N36" s="387">
        <v>1056</v>
      </c>
      <c r="O36" s="387">
        <v>1056</v>
      </c>
      <c r="P36" s="387">
        <v>1056</v>
      </c>
      <c r="Q36" s="387">
        <v>1056</v>
      </c>
      <c r="R36" s="387">
        <v>1056</v>
      </c>
      <c r="S36" s="384">
        <f t="shared" si="1"/>
        <v>12672</v>
      </c>
    </row>
    <row r="37" spans="1:19">
      <c r="A37" s="380">
        <f t="shared" si="2"/>
        <v>27</v>
      </c>
      <c r="B37" s="396" t="s">
        <v>462</v>
      </c>
      <c r="C37" s="398" t="s">
        <v>414</v>
      </c>
      <c r="D37" s="350">
        <v>5230</v>
      </c>
      <c r="E37" s="355">
        <v>4082</v>
      </c>
      <c r="F37" s="355">
        <v>40802</v>
      </c>
      <c r="G37" s="393">
        <v>458</v>
      </c>
      <c r="H37" s="393">
        <v>458</v>
      </c>
      <c r="I37" s="393">
        <v>458</v>
      </c>
      <c r="J37" s="393">
        <v>458</v>
      </c>
      <c r="K37" s="393">
        <v>458</v>
      </c>
      <c r="L37" s="393">
        <v>458</v>
      </c>
      <c r="M37" s="393">
        <v>458</v>
      </c>
      <c r="N37" s="393">
        <v>458</v>
      </c>
      <c r="O37" s="393">
        <v>458</v>
      </c>
      <c r="P37" s="393">
        <v>458</v>
      </c>
      <c r="Q37" s="393">
        <v>458</v>
      </c>
      <c r="R37" s="393">
        <v>458</v>
      </c>
      <c r="S37" s="395">
        <f t="shared" si="1"/>
        <v>5496</v>
      </c>
    </row>
    <row r="38" spans="1:19">
      <c r="A38" s="380">
        <f t="shared" si="2"/>
        <v>28</v>
      </c>
      <c r="B38" s="377" t="s">
        <v>463</v>
      </c>
      <c r="C38" s="383"/>
      <c r="D38" s="350"/>
      <c r="E38" s="350"/>
      <c r="G38" s="418">
        <f t="shared" ref="G38:S38" si="4">SUM(G12:G37)</f>
        <v>1002702.4282</v>
      </c>
      <c r="H38" s="418">
        <f t="shared" si="4"/>
        <v>998685.42819999997</v>
      </c>
      <c r="I38" s="418">
        <f t="shared" si="4"/>
        <v>998401.42819999997</v>
      </c>
      <c r="J38" s="418">
        <f t="shared" si="4"/>
        <v>998251.42819999997</v>
      </c>
      <c r="K38" s="418">
        <f t="shared" si="4"/>
        <v>996028.92819999997</v>
      </c>
      <c r="L38" s="418">
        <f t="shared" si="4"/>
        <v>995289.92819999997</v>
      </c>
      <c r="M38" s="418">
        <f t="shared" si="4"/>
        <v>1001314.9282</v>
      </c>
      <c r="N38" s="418">
        <f t="shared" si="4"/>
        <v>1001297.1782</v>
      </c>
      <c r="O38" s="418">
        <f t="shared" si="4"/>
        <v>995374.67819999997</v>
      </c>
      <c r="P38" s="418">
        <f t="shared" si="4"/>
        <v>996892.17819999997</v>
      </c>
      <c r="Q38" s="418">
        <f t="shared" si="4"/>
        <v>999200.92819999997</v>
      </c>
      <c r="R38" s="418">
        <f t="shared" si="4"/>
        <v>999864.67819999997</v>
      </c>
      <c r="S38" s="394">
        <f t="shared" si="4"/>
        <v>11983304.1384</v>
      </c>
    </row>
    <row r="39" spans="1:19">
      <c r="A39" s="380">
        <f t="shared" si="2"/>
        <v>29</v>
      </c>
      <c r="B39" s="360" t="s">
        <v>489</v>
      </c>
      <c r="C39" s="383"/>
      <c r="D39" s="350"/>
      <c r="E39" s="350"/>
      <c r="F39" s="37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33">
        <f>+S15</f>
        <v>762824.13839999889</v>
      </c>
    </row>
    <row r="40" spans="1:19" ht="15.75" thickBot="1">
      <c r="A40" s="380">
        <f t="shared" si="2"/>
        <v>30</v>
      </c>
      <c r="B40" s="365" t="s">
        <v>490</v>
      </c>
      <c r="C40" s="383"/>
      <c r="D40" s="350"/>
      <c r="E40" s="350"/>
      <c r="F40" s="37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34">
        <f>+S38-S39</f>
        <v>11220480</v>
      </c>
    </row>
    <row r="41" spans="1:19" ht="15.75" thickTop="1">
      <c r="A41" s="381"/>
      <c r="B41" s="372"/>
      <c r="C41" s="385"/>
      <c r="D41" s="385"/>
      <c r="E41" s="385"/>
      <c r="F41" s="385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4"/>
    </row>
    <row r="42" spans="1:19">
      <c r="A42" s="383"/>
      <c r="B42" s="366"/>
      <c r="C42" s="383"/>
      <c r="D42" s="383"/>
      <c r="E42" s="383"/>
      <c r="F42" s="383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</row>
  </sheetData>
  <mergeCells count="3">
    <mergeCell ref="A3:S3"/>
    <mergeCell ref="A4:S4"/>
    <mergeCell ref="A5:S5"/>
  </mergeCells>
  <printOptions horizontalCentered="1"/>
  <pageMargins left="0.75" right="0.75" top="0.75" bottom="0.75" header="0.5" footer="0.5"/>
  <pageSetup scale="59" orientation="landscape" r:id="rId1"/>
  <headerFooter>
    <oddHeader>&amp;R&amp;"Arial,Regular"&amp;10Attachment O Work Paper
Page 14 of 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codeName="Sheet11"/>
  <dimension ref="A1:D18"/>
  <sheetViews>
    <sheetView showGridLines="0" zoomScaleNormal="100" workbookViewId="0">
      <selection activeCell="B25" sqref="B25"/>
    </sheetView>
  </sheetViews>
  <sheetFormatPr defaultColWidth="11.77734375" defaultRowHeight="12.75"/>
  <cols>
    <col min="1" max="1" width="3.44140625" style="69" bestFit="1" customWidth="1"/>
    <col min="2" max="2" width="29.21875" style="71" customWidth="1"/>
    <col min="3" max="3" width="11.77734375" style="71" customWidth="1"/>
    <col min="4" max="250" width="8.88671875" style="71" customWidth="1"/>
    <col min="251" max="251" width="3.44140625" style="71" bestFit="1" customWidth="1"/>
    <col min="252" max="252" width="29.21875" style="71" customWidth="1"/>
    <col min="253" max="16384" width="11.77734375" style="71"/>
  </cols>
  <sheetData>
    <row r="1" spans="1:4">
      <c r="B1" s="70"/>
      <c r="C1" s="72"/>
    </row>
    <row r="2" spans="1:4">
      <c r="B2" s="73"/>
      <c r="C2" s="72"/>
    </row>
    <row r="3" spans="1:4" ht="12.75" customHeight="1">
      <c r="A3" s="824" t="s">
        <v>0</v>
      </c>
      <c r="B3" s="825"/>
      <c r="C3" s="825"/>
    </row>
    <row r="4" spans="1:4" ht="12.75" customHeight="1">
      <c r="A4" s="824" t="s">
        <v>347</v>
      </c>
      <c r="B4" s="825"/>
      <c r="C4" s="825"/>
    </row>
    <row r="5" spans="1:4" ht="12.75" customHeight="1">
      <c r="A5" s="827" t="str">
        <f>'Page 13 - Depr Exp'!A5:G5</f>
        <v>Budget Year Ending December 31, 2013</v>
      </c>
      <c r="B5" s="827"/>
      <c r="C5" s="827"/>
      <c r="D5" s="794"/>
    </row>
    <row r="6" spans="1:4">
      <c r="B6" s="75"/>
      <c r="C6" s="77"/>
    </row>
    <row r="7" spans="1:4">
      <c r="B7" s="78" t="s">
        <v>1</v>
      </c>
      <c r="C7" s="69" t="s">
        <v>2</v>
      </c>
    </row>
    <row r="8" spans="1:4">
      <c r="C8" s="74"/>
    </row>
    <row r="9" spans="1:4" ht="25.5">
      <c r="A9" s="79" t="s">
        <v>38</v>
      </c>
      <c r="B9" s="80" t="s">
        <v>347</v>
      </c>
      <c r="C9" s="82" t="s">
        <v>348</v>
      </c>
    </row>
    <row r="10" spans="1:4">
      <c r="A10" s="83">
        <v>1</v>
      </c>
      <c r="B10" s="142" t="s">
        <v>349</v>
      </c>
      <c r="C10" s="89">
        <f>2424951-1864910</f>
        <v>560041</v>
      </c>
      <c r="D10" s="495"/>
    </row>
    <row r="11" spans="1:4">
      <c r="A11" s="83">
        <f>A10+1</f>
        <v>2</v>
      </c>
      <c r="B11" s="87"/>
      <c r="C11" s="89"/>
    </row>
    <row r="12" spans="1:4">
      <c r="A12" s="83">
        <f>A11+1</f>
        <v>3</v>
      </c>
      <c r="B12" s="87" t="s">
        <v>350</v>
      </c>
      <c r="C12" s="104">
        <v>1371419</v>
      </c>
      <c r="D12" s="495"/>
    </row>
    <row r="13" spans="1:4">
      <c r="A13" s="83">
        <f>A12+1</f>
        <v>4</v>
      </c>
      <c r="B13" s="87"/>
      <c r="C13" s="95"/>
    </row>
    <row r="14" spans="1:4" ht="13.5" thickBot="1">
      <c r="A14" s="83">
        <f>A13+1</f>
        <v>5</v>
      </c>
      <c r="B14" s="84" t="s">
        <v>16</v>
      </c>
      <c r="C14" s="414">
        <f>+C10+C12</f>
        <v>1931460</v>
      </c>
    </row>
    <row r="15" spans="1:4" ht="13.5" thickTop="1">
      <c r="A15" s="101"/>
      <c r="B15" s="102"/>
      <c r="C15" s="104"/>
    </row>
    <row r="16" spans="1:4">
      <c r="A16" s="71"/>
      <c r="C16" s="105"/>
    </row>
    <row r="17" spans="2:3">
      <c r="B17" s="160"/>
      <c r="C17" s="85"/>
    </row>
    <row r="18" spans="2:3">
      <c r="B18" s="510"/>
      <c r="C18" s="85"/>
    </row>
  </sheetData>
  <mergeCells count="3">
    <mergeCell ref="A3:C3"/>
    <mergeCell ref="A4:C4"/>
    <mergeCell ref="A5:C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15 of 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1"/>
  <sheetViews>
    <sheetView showGridLines="0" workbookViewId="0">
      <pane ySplit="9" topLeftCell="A28" activePane="bottomLeft" state="frozen"/>
      <selection pane="bottomLeft" activeCell="L54" sqref="L54"/>
    </sheetView>
  </sheetViews>
  <sheetFormatPr defaultRowHeight="12.75"/>
  <cols>
    <col min="1" max="1" width="3.44140625" style="376" bestFit="1" customWidth="1"/>
    <col min="2" max="2" width="10.6640625" style="376" customWidth="1"/>
    <col min="3" max="6" width="6.77734375" style="376" customWidth="1"/>
    <col min="7" max="7" width="10" style="356" bestFit="1" customWidth="1"/>
    <col min="8" max="8" width="2.44140625" style="356" bestFit="1" customWidth="1"/>
    <col min="9" max="9" width="10" style="356" bestFit="1" customWidth="1"/>
    <col min="10" max="16384" width="8.88671875" style="356"/>
  </cols>
  <sheetData>
    <row r="2" spans="1:9">
      <c r="A2" s="824" t="s">
        <v>0</v>
      </c>
      <c r="B2" s="824"/>
      <c r="C2" s="824"/>
      <c r="D2" s="824"/>
      <c r="E2" s="824"/>
      <c r="F2" s="824"/>
      <c r="G2" s="824"/>
    </row>
    <row r="3" spans="1:9">
      <c r="A3" s="824" t="s">
        <v>478</v>
      </c>
      <c r="B3" s="824"/>
      <c r="C3" s="824"/>
      <c r="D3" s="824"/>
      <c r="E3" s="824"/>
      <c r="F3" s="824"/>
      <c r="G3" s="824"/>
    </row>
    <row r="4" spans="1:9">
      <c r="A4" s="827" t="str">
        <f>'Page 13 - Depr Exp'!A5:G5</f>
        <v>Budget Year Ending December 31, 2013</v>
      </c>
      <c r="B4" s="827"/>
      <c r="C4" s="827"/>
      <c r="D4" s="827"/>
      <c r="E4" s="827"/>
      <c r="F4" s="827"/>
      <c r="G4" s="827"/>
      <c r="I4" s="794"/>
    </row>
    <row r="6" spans="1:9">
      <c r="B6" s="375" t="s">
        <v>1</v>
      </c>
      <c r="C6" s="376" t="s">
        <v>2</v>
      </c>
      <c r="D6" s="376" t="s">
        <v>3</v>
      </c>
      <c r="E6" s="376" t="s">
        <v>4</v>
      </c>
      <c r="F6" s="376" t="s">
        <v>5</v>
      </c>
      <c r="G6" s="376" t="s">
        <v>7</v>
      </c>
    </row>
    <row r="8" spans="1:9">
      <c r="A8" s="379" t="s">
        <v>8</v>
      </c>
      <c r="B8" s="382"/>
      <c r="C8" s="388"/>
      <c r="D8" s="388"/>
      <c r="E8" s="388"/>
      <c r="F8" s="388"/>
      <c r="G8" s="413"/>
    </row>
    <row r="9" spans="1:9">
      <c r="A9" s="381" t="s">
        <v>10</v>
      </c>
      <c r="B9" s="405" t="s">
        <v>466</v>
      </c>
      <c r="C9" s="406" t="s">
        <v>397</v>
      </c>
      <c r="D9" s="406" t="s">
        <v>467</v>
      </c>
      <c r="E9" s="406" t="s">
        <v>398</v>
      </c>
      <c r="F9" s="406" t="s">
        <v>33</v>
      </c>
      <c r="G9" s="407" t="s">
        <v>16</v>
      </c>
    </row>
    <row r="10" spans="1:9">
      <c r="A10" s="379">
        <v>1</v>
      </c>
      <c r="B10" s="400" t="s">
        <v>565</v>
      </c>
      <c r="C10" s="469" t="s">
        <v>464</v>
      </c>
      <c r="D10" s="401">
        <v>5100</v>
      </c>
      <c r="E10" s="401">
        <v>1100</v>
      </c>
      <c r="F10" s="401">
        <v>5611</v>
      </c>
      <c r="G10" s="733">
        <v>65590</v>
      </c>
    </row>
    <row r="11" spans="1:9">
      <c r="A11" s="380">
        <f>+A10+1</f>
        <v>2</v>
      </c>
      <c r="B11" s="402" t="str">
        <f>$B$10</f>
        <v>Budget 2013</v>
      </c>
      <c r="C11" s="470" t="s">
        <v>464</v>
      </c>
      <c r="D11" s="403">
        <v>5101</v>
      </c>
      <c r="E11" s="403">
        <v>2500</v>
      </c>
      <c r="F11" s="403">
        <v>5611</v>
      </c>
      <c r="G11" s="737">
        <v>2400</v>
      </c>
    </row>
    <row r="12" spans="1:9">
      <c r="A12" s="380">
        <f t="shared" ref="A12:A13" si="0">+A11+1</f>
        <v>3</v>
      </c>
      <c r="B12" s="402" t="str">
        <f>$B$10</f>
        <v>Budget 2013</v>
      </c>
      <c r="C12" s="470" t="s">
        <v>464</v>
      </c>
      <c r="D12" s="403">
        <v>5101</v>
      </c>
      <c r="E12" s="403">
        <v>2600</v>
      </c>
      <c r="F12" s="403">
        <v>5611</v>
      </c>
      <c r="G12" s="737">
        <v>120</v>
      </c>
    </row>
    <row r="13" spans="1:9">
      <c r="A13" s="380">
        <f t="shared" si="0"/>
        <v>4</v>
      </c>
      <c r="B13" s="402" t="str">
        <f>$B$10</f>
        <v>Budget 2013</v>
      </c>
      <c r="C13" s="470" t="s">
        <v>464</v>
      </c>
      <c r="D13" s="403">
        <v>5103</v>
      </c>
      <c r="E13" s="470" t="s">
        <v>414</v>
      </c>
      <c r="F13" s="403">
        <v>5611</v>
      </c>
      <c r="G13" s="735">
        <v>1200</v>
      </c>
    </row>
    <row r="14" spans="1:9">
      <c r="A14" s="380">
        <f t="shared" ref="A14:A58" si="1">+A13+1</f>
        <v>5</v>
      </c>
      <c r="B14" s="402"/>
      <c r="C14" s="403"/>
      <c r="D14" s="403"/>
      <c r="E14" s="403"/>
      <c r="F14" s="403"/>
      <c r="G14" s="737">
        <f>+SUM(G10:G13)</f>
        <v>69310</v>
      </c>
      <c r="I14" s="408"/>
    </row>
    <row r="15" spans="1:9">
      <c r="A15" s="380">
        <f t="shared" si="1"/>
        <v>6</v>
      </c>
      <c r="B15" s="402"/>
      <c r="C15" s="403"/>
      <c r="D15" s="403"/>
      <c r="E15" s="403"/>
      <c r="F15" s="403"/>
      <c r="G15" s="737"/>
    </row>
    <row r="16" spans="1:9">
      <c r="A16" s="380">
        <f t="shared" si="1"/>
        <v>7</v>
      </c>
      <c r="B16" s="402" t="str">
        <f t="shared" ref="B16:B32" si="2">$B$10</f>
        <v>Budget 2013</v>
      </c>
      <c r="C16" s="470" t="s">
        <v>571</v>
      </c>
      <c r="D16" s="403">
        <v>5100</v>
      </c>
      <c r="E16" s="403">
        <v>1100</v>
      </c>
      <c r="F16" s="403">
        <v>5612</v>
      </c>
      <c r="G16" s="737">
        <v>978</v>
      </c>
    </row>
    <row r="17" spans="1:7">
      <c r="A17" s="380">
        <f t="shared" si="1"/>
        <v>8</v>
      </c>
      <c r="B17" s="402" t="str">
        <f t="shared" si="2"/>
        <v>Budget 2013</v>
      </c>
      <c r="C17" s="470" t="s">
        <v>572</v>
      </c>
      <c r="D17" s="403">
        <v>5100</v>
      </c>
      <c r="E17" s="403">
        <v>1100</v>
      </c>
      <c r="F17" s="403">
        <v>5612</v>
      </c>
      <c r="G17" s="737">
        <v>25800</v>
      </c>
    </row>
    <row r="18" spans="1:7">
      <c r="A18" s="380">
        <f t="shared" si="1"/>
        <v>9</v>
      </c>
      <c r="B18" s="402" t="str">
        <f t="shared" si="2"/>
        <v>Budget 2013</v>
      </c>
      <c r="C18" s="403" t="s">
        <v>464</v>
      </c>
      <c r="D18" s="403">
        <v>5100</v>
      </c>
      <c r="E18" s="403">
        <v>1100</v>
      </c>
      <c r="F18" s="403">
        <v>5612</v>
      </c>
      <c r="G18" s="732">
        <v>2491715</v>
      </c>
    </row>
    <row r="19" spans="1:7">
      <c r="A19" s="380">
        <f t="shared" si="1"/>
        <v>10</v>
      </c>
      <c r="B19" s="402" t="str">
        <f t="shared" si="2"/>
        <v>Budget 2013</v>
      </c>
      <c r="C19" s="470" t="s">
        <v>465</v>
      </c>
      <c r="D19" s="403">
        <v>5100</v>
      </c>
      <c r="E19" s="403">
        <v>1100</v>
      </c>
      <c r="F19" s="403">
        <v>5612</v>
      </c>
      <c r="G19" s="732">
        <v>6869</v>
      </c>
    </row>
    <row r="20" spans="1:7">
      <c r="A20" s="380">
        <f t="shared" si="1"/>
        <v>11</v>
      </c>
      <c r="B20" s="402" t="str">
        <f t="shared" si="2"/>
        <v>Budget 2013</v>
      </c>
      <c r="C20" s="403">
        <v>1690</v>
      </c>
      <c r="D20" s="403">
        <v>5100</v>
      </c>
      <c r="E20" s="403">
        <v>1100</v>
      </c>
      <c r="F20" s="403">
        <v>5612</v>
      </c>
      <c r="G20" s="732">
        <v>22430</v>
      </c>
    </row>
    <row r="21" spans="1:7">
      <c r="A21" s="380">
        <f t="shared" si="1"/>
        <v>12</v>
      </c>
      <c r="B21" s="402" t="str">
        <f t="shared" si="2"/>
        <v>Budget 2013</v>
      </c>
      <c r="C21" s="470" t="s">
        <v>464</v>
      </c>
      <c r="D21" s="403">
        <v>5101</v>
      </c>
      <c r="E21" s="403">
        <v>2500</v>
      </c>
      <c r="F21" s="403">
        <v>5612</v>
      </c>
      <c r="G21" s="732">
        <v>20400</v>
      </c>
    </row>
    <row r="22" spans="1:7">
      <c r="A22" s="404">
        <f t="shared" si="1"/>
        <v>13</v>
      </c>
      <c r="B22" s="402" t="str">
        <f t="shared" si="2"/>
        <v>Budget 2013</v>
      </c>
      <c r="C22" s="403" t="s">
        <v>464</v>
      </c>
      <c r="D22" s="403">
        <v>5101</v>
      </c>
      <c r="E22" s="403">
        <v>2600</v>
      </c>
      <c r="F22" s="403">
        <v>5612</v>
      </c>
      <c r="G22" s="732">
        <v>18000</v>
      </c>
    </row>
    <row r="23" spans="1:7">
      <c r="A23" s="404">
        <f t="shared" si="1"/>
        <v>14</v>
      </c>
      <c r="B23" s="402" t="str">
        <f t="shared" si="2"/>
        <v>Budget 2013</v>
      </c>
      <c r="C23" s="470" t="s">
        <v>464</v>
      </c>
      <c r="D23" s="403">
        <v>5101</v>
      </c>
      <c r="E23" s="403">
        <v>2700</v>
      </c>
      <c r="F23" s="403">
        <v>5612</v>
      </c>
      <c r="G23" s="732">
        <v>3600</v>
      </c>
    </row>
    <row r="24" spans="1:7">
      <c r="A24" s="404">
        <f t="shared" si="1"/>
        <v>15</v>
      </c>
      <c r="B24" s="402" t="str">
        <f t="shared" si="2"/>
        <v>Budget 2013</v>
      </c>
      <c r="C24" s="403" t="s">
        <v>464</v>
      </c>
      <c r="D24" s="403">
        <v>5102</v>
      </c>
      <c r="E24" s="470" t="s">
        <v>414</v>
      </c>
      <c r="F24" s="403">
        <v>5612</v>
      </c>
      <c r="G24" s="732">
        <v>38400</v>
      </c>
    </row>
    <row r="25" spans="1:7">
      <c r="A25" s="404">
        <f t="shared" si="1"/>
        <v>16</v>
      </c>
      <c r="B25" s="402" t="str">
        <f t="shared" si="2"/>
        <v>Budget 2013</v>
      </c>
      <c r="C25" s="470" t="s">
        <v>464</v>
      </c>
      <c r="D25" s="403">
        <v>5103</v>
      </c>
      <c r="E25" s="470" t="s">
        <v>414</v>
      </c>
      <c r="F25" s="403">
        <v>5612</v>
      </c>
      <c r="G25" s="732">
        <v>12000</v>
      </c>
    </row>
    <row r="26" spans="1:7">
      <c r="A26" s="404">
        <f t="shared" si="1"/>
        <v>17</v>
      </c>
      <c r="B26" s="402" t="str">
        <f t="shared" si="2"/>
        <v>Budget 2013</v>
      </c>
      <c r="C26" s="403" t="s">
        <v>464</v>
      </c>
      <c r="D26" s="403">
        <v>5105</v>
      </c>
      <c r="E26" s="470" t="s">
        <v>414</v>
      </c>
      <c r="F26" s="403">
        <v>5612</v>
      </c>
      <c r="G26" s="732">
        <v>13200</v>
      </c>
    </row>
    <row r="27" spans="1:7">
      <c r="A27" s="404">
        <f t="shared" si="1"/>
        <v>18</v>
      </c>
      <c r="B27" s="402" t="str">
        <f t="shared" si="2"/>
        <v>Budget 2013</v>
      </c>
      <c r="C27" s="470" t="s">
        <v>464</v>
      </c>
      <c r="D27" s="403">
        <v>5106</v>
      </c>
      <c r="E27" s="403">
        <v>4000</v>
      </c>
      <c r="F27" s="403">
        <v>5612</v>
      </c>
      <c r="G27" s="732">
        <v>600</v>
      </c>
    </row>
    <row r="28" spans="1:7">
      <c r="A28" s="404">
        <f t="shared" si="1"/>
        <v>19</v>
      </c>
      <c r="B28" s="402" t="str">
        <f t="shared" si="2"/>
        <v>Budget 2013</v>
      </c>
      <c r="C28" s="403" t="s">
        <v>464</v>
      </c>
      <c r="D28" s="403">
        <v>5107</v>
      </c>
      <c r="E28" s="470" t="s">
        <v>414</v>
      </c>
      <c r="F28" s="403">
        <v>5612</v>
      </c>
      <c r="G28" s="732">
        <v>1200</v>
      </c>
    </row>
    <row r="29" spans="1:7">
      <c r="A29" s="404">
        <f t="shared" si="1"/>
        <v>20</v>
      </c>
      <c r="B29" s="402" t="str">
        <f t="shared" si="2"/>
        <v>Budget 2013</v>
      </c>
      <c r="C29" s="470" t="s">
        <v>464</v>
      </c>
      <c r="D29" s="403">
        <v>5109</v>
      </c>
      <c r="E29" s="470" t="s">
        <v>414</v>
      </c>
      <c r="F29" s="403">
        <v>5612</v>
      </c>
      <c r="G29" s="732">
        <v>-300744</v>
      </c>
    </row>
    <row r="30" spans="1:7">
      <c r="A30" s="404">
        <f t="shared" si="1"/>
        <v>21</v>
      </c>
      <c r="B30" s="402" t="str">
        <f t="shared" si="2"/>
        <v>Budget 2013</v>
      </c>
      <c r="C30" s="403" t="s">
        <v>464</v>
      </c>
      <c r="D30" s="403">
        <v>5110</v>
      </c>
      <c r="E30" s="403">
        <v>1000</v>
      </c>
      <c r="F30" s="403">
        <v>5612</v>
      </c>
      <c r="G30" s="732">
        <v>72000</v>
      </c>
    </row>
    <row r="31" spans="1:7">
      <c r="A31" s="404">
        <f t="shared" si="1"/>
        <v>22</v>
      </c>
      <c r="B31" s="402" t="str">
        <f t="shared" si="2"/>
        <v>Budget 2013</v>
      </c>
      <c r="C31" s="403" t="s">
        <v>464</v>
      </c>
      <c r="D31" s="403">
        <v>5116</v>
      </c>
      <c r="E31" s="470" t="s">
        <v>414</v>
      </c>
      <c r="F31" s="403">
        <v>5612</v>
      </c>
      <c r="G31" s="732">
        <v>9600</v>
      </c>
    </row>
    <row r="32" spans="1:7">
      <c r="A32" s="404">
        <f t="shared" si="1"/>
        <v>23</v>
      </c>
      <c r="B32" s="402" t="str">
        <f t="shared" si="2"/>
        <v>Budget 2013</v>
      </c>
      <c r="C32" s="470" t="s">
        <v>464</v>
      </c>
      <c r="D32" s="403">
        <v>5240</v>
      </c>
      <c r="E32" s="403">
        <v>3000</v>
      </c>
      <c r="F32" s="403">
        <v>5612</v>
      </c>
      <c r="G32" s="732">
        <v>2400</v>
      </c>
    </row>
    <row r="33" spans="1:7">
      <c r="A33" s="380">
        <f t="shared" si="1"/>
        <v>24</v>
      </c>
      <c r="G33" s="423">
        <f>+SUM(G16:G32)</f>
        <v>2438448</v>
      </c>
    </row>
    <row r="34" spans="1:7">
      <c r="A34" s="380">
        <f t="shared" si="1"/>
        <v>25</v>
      </c>
      <c r="G34" s="427"/>
    </row>
    <row r="35" spans="1:7">
      <c r="A35" s="380">
        <f t="shared" si="1"/>
        <v>26</v>
      </c>
      <c r="B35" s="402" t="str">
        <f>$B$10</f>
        <v>Budget 2013</v>
      </c>
      <c r="C35" s="403" t="s">
        <v>471</v>
      </c>
      <c r="D35" s="403" t="s">
        <v>406</v>
      </c>
      <c r="E35" s="403" t="s">
        <v>407</v>
      </c>
      <c r="F35" s="403" t="s">
        <v>472</v>
      </c>
      <c r="G35" s="732">
        <v>511761</v>
      </c>
    </row>
    <row r="36" spans="1:7">
      <c r="A36" s="380">
        <f t="shared" si="1"/>
        <v>27</v>
      </c>
      <c r="B36" s="402" t="str">
        <f t="shared" ref="B36:B38" si="3">$B$10</f>
        <v>Budget 2013</v>
      </c>
      <c r="C36" s="470" t="s">
        <v>473</v>
      </c>
      <c r="D36" s="403" t="s">
        <v>406</v>
      </c>
      <c r="E36" s="403" t="s">
        <v>407</v>
      </c>
      <c r="F36" s="403" t="s">
        <v>472</v>
      </c>
      <c r="G36" s="732">
        <v>103163</v>
      </c>
    </row>
    <row r="37" spans="1:7">
      <c r="A37" s="380">
        <f t="shared" si="1"/>
        <v>28</v>
      </c>
      <c r="B37" s="402" t="str">
        <f t="shared" si="3"/>
        <v>Budget 2013</v>
      </c>
      <c r="C37" s="470" t="s">
        <v>465</v>
      </c>
      <c r="D37" s="403" t="s">
        <v>406</v>
      </c>
      <c r="E37" s="403" t="s">
        <v>407</v>
      </c>
      <c r="F37" s="403" t="s">
        <v>472</v>
      </c>
      <c r="G37" s="732">
        <v>9077</v>
      </c>
    </row>
    <row r="38" spans="1:7">
      <c r="A38" s="380">
        <f t="shared" si="1"/>
        <v>29</v>
      </c>
      <c r="B38" s="402" t="str">
        <f t="shared" si="3"/>
        <v>Budget 2013</v>
      </c>
      <c r="C38" s="470" t="s">
        <v>573</v>
      </c>
      <c r="D38" s="403" t="s">
        <v>406</v>
      </c>
      <c r="E38" s="403" t="s">
        <v>407</v>
      </c>
      <c r="F38" s="403" t="s">
        <v>472</v>
      </c>
      <c r="G38" s="732">
        <v>73299</v>
      </c>
    </row>
    <row r="39" spans="1:7">
      <c r="A39" s="380">
        <f t="shared" si="1"/>
        <v>30</v>
      </c>
      <c r="B39" s="402" t="str">
        <f>$B$10</f>
        <v>Budget 2013</v>
      </c>
      <c r="C39" s="403" t="s">
        <v>471</v>
      </c>
      <c r="D39" s="403">
        <v>5101</v>
      </c>
      <c r="E39" s="403">
        <v>2500</v>
      </c>
      <c r="F39" s="403" t="s">
        <v>472</v>
      </c>
      <c r="G39" s="732">
        <v>5604</v>
      </c>
    </row>
    <row r="40" spans="1:7">
      <c r="A40" s="380">
        <f t="shared" si="1"/>
        <v>31</v>
      </c>
      <c r="B40" s="402" t="str">
        <f t="shared" ref="B40:B46" si="4">$B$10</f>
        <v>Budget 2013</v>
      </c>
      <c r="C40" s="470" t="s">
        <v>465</v>
      </c>
      <c r="D40" s="403">
        <v>5101</v>
      </c>
      <c r="E40" s="403">
        <v>2500</v>
      </c>
      <c r="F40" s="403" t="s">
        <v>472</v>
      </c>
      <c r="G40" s="732">
        <v>807</v>
      </c>
    </row>
    <row r="41" spans="1:7">
      <c r="A41" s="380">
        <f t="shared" si="1"/>
        <v>32</v>
      </c>
      <c r="B41" s="402" t="str">
        <f t="shared" si="4"/>
        <v>Budget 2013</v>
      </c>
      <c r="C41" s="470" t="s">
        <v>573</v>
      </c>
      <c r="D41" s="403">
        <v>5101</v>
      </c>
      <c r="E41" s="403">
        <v>2500</v>
      </c>
      <c r="F41" s="403" t="s">
        <v>472</v>
      </c>
      <c r="G41" s="732">
        <v>80</v>
      </c>
    </row>
    <row r="42" spans="1:7">
      <c r="A42" s="380">
        <f t="shared" si="1"/>
        <v>33</v>
      </c>
      <c r="B42" s="402" t="str">
        <f t="shared" si="4"/>
        <v>Budget 2013</v>
      </c>
      <c r="C42" s="470" t="s">
        <v>465</v>
      </c>
      <c r="D42" s="403">
        <v>5101</v>
      </c>
      <c r="E42" s="403">
        <v>2600</v>
      </c>
      <c r="F42" s="403" t="s">
        <v>472</v>
      </c>
      <c r="G42" s="732">
        <v>202</v>
      </c>
    </row>
    <row r="43" spans="1:7">
      <c r="A43" s="380">
        <f t="shared" si="1"/>
        <v>34</v>
      </c>
      <c r="B43" s="402" t="str">
        <f t="shared" si="4"/>
        <v>Budget 2013</v>
      </c>
      <c r="C43" s="470" t="s">
        <v>573</v>
      </c>
      <c r="D43" s="403">
        <v>5101</v>
      </c>
      <c r="E43" s="403">
        <v>2600</v>
      </c>
      <c r="F43" s="403" t="s">
        <v>472</v>
      </c>
      <c r="G43" s="732">
        <v>106</v>
      </c>
    </row>
    <row r="44" spans="1:7">
      <c r="A44" s="380">
        <f t="shared" si="1"/>
        <v>35</v>
      </c>
      <c r="B44" s="402" t="str">
        <f t="shared" si="4"/>
        <v>Budget 2013</v>
      </c>
      <c r="C44" s="470" t="s">
        <v>465</v>
      </c>
      <c r="D44" s="403">
        <v>5102</v>
      </c>
      <c r="E44" s="470" t="s">
        <v>414</v>
      </c>
      <c r="F44" s="403" t="s">
        <v>472</v>
      </c>
      <c r="G44" s="732">
        <v>1995</v>
      </c>
    </row>
    <row r="45" spans="1:7">
      <c r="A45" s="380">
        <f t="shared" si="1"/>
        <v>36</v>
      </c>
      <c r="B45" s="402" t="str">
        <f t="shared" si="4"/>
        <v>Budget 2013</v>
      </c>
      <c r="C45" s="470" t="s">
        <v>465</v>
      </c>
      <c r="D45" s="403">
        <v>5103</v>
      </c>
      <c r="E45" s="470" t="s">
        <v>414</v>
      </c>
      <c r="F45" s="403" t="s">
        <v>472</v>
      </c>
      <c r="G45" s="732">
        <v>25</v>
      </c>
    </row>
    <row r="46" spans="1:7">
      <c r="A46" s="380">
        <f t="shared" si="1"/>
        <v>37</v>
      </c>
      <c r="B46" s="402" t="str">
        <f t="shared" si="4"/>
        <v>Budget 2013</v>
      </c>
      <c r="C46" s="470" t="s">
        <v>573</v>
      </c>
      <c r="D46" s="403">
        <v>5103</v>
      </c>
      <c r="E46" s="470" t="s">
        <v>414</v>
      </c>
      <c r="F46" s="403" t="s">
        <v>472</v>
      </c>
      <c r="G46" s="732">
        <v>157</v>
      </c>
    </row>
    <row r="47" spans="1:7">
      <c r="A47" s="380">
        <f t="shared" si="1"/>
        <v>38</v>
      </c>
      <c r="B47" s="402" t="str">
        <f>$B$10</f>
        <v>Budget 2013</v>
      </c>
      <c r="C47" s="403" t="s">
        <v>471</v>
      </c>
      <c r="D47" s="403">
        <v>5105</v>
      </c>
      <c r="E47" s="470" t="s">
        <v>414</v>
      </c>
      <c r="F47" s="403" t="s">
        <v>472</v>
      </c>
      <c r="G47" s="732">
        <v>5580</v>
      </c>
    </row>
    <row r="48" spans="1:7">
      <c r="A48" s="380">
        <f t="shared" si="1"/>
        <v>39</v>
      </c>
      <c r="B48" s="402" t="str">
        <f>$B$10</f>
        <v>Budget 2013</v>
      </c>
      <c r="C48" s="470" t="s">
        <v>465</v>
      </c>
      <c r="D48" s="403">
        <v>5110</v>
      </c>
      <c r="E48" s="403">
        <v>2000</v>
      </c>
      <c r="F48" s="403" t="s">
        <v>472</v>
      </c>
      <c r="G48" s="732">
        <v>5630</v>
      </c>
    </row>
    <row r="49" spans="1:8">
      <c r="A49" s="380">
        <f t="shared" si="1"/>
        <v>40</v>
      </c>
      <c r="B49" s="402" t="str">
        <f>$B$10</f>
        <v>Budget 2013</v>
      </c>
      <c r="C49" s="403" t="s">
        <v>465</v>
      </c>
      <c r="D49" s="403">
        <v>5116</v>
      </c>
      <c r="E49" s="470" t="s">
        <v>414</v>
      </c>
      <c r="F49" s="403" t="s">
        <v>472</v>
      </c>
      <c r="G49" s="736">
        <v>46</v>
      </c>
    </row>
    <row r="50" spans="1:8">
      <c r="A50" s="380">
        <f t="shared" si="1"/>
        <v>41</v>
      </c>
      <c r="G50" s="423">
        <f>+SUM(G35:G49)</f>
        <v>717532</v>
      </c>
    </row>
    <row r="51" spans="1:8">
      <c r="A51" s="380">
        <f t="shared" si="1"/>
        <v>42</v>
      </c>
      <c r="G51" s="427"/>
    </row>
    <row r="52" spans="1:8">
      <c r="A52" s="380">
        <f t="shared" si="1"/>
        <v>43</v>
      </c>
      <c r="B52" s="402" t="str">
        <f>$B$10</f>
        <v>Budget 2013</v>
      </c>
      <c r="C52" s="470" t="s">
        <v>465</v>
      </c>
      <c r="D52" s="403">
        <v>5100</v>
      </c>
      <c r="E52" s="403">
        <v>1100</v>
      </c>
      <c r="F52" s="403">
        <v>5616</v>
      </c>
      <c r="G52" s="732">
        <v>562</v>
      </c>
    </row>
    <row r="53" spans="1:8">
      <c r="A53" s="380">
        <f t="shared" si="1"/>
        <v>44</v>
      </c>
      <c r="G53" s="427"/>
    </row>
    <row r="54" spans="1:8" ht="15" customHeight="1">
      <c r="A54" s="380">
        <f t="shared" si="1"/>
        <v>45</v>
      </c>
      <c r="B54" s="409"/>
      <c r="E54" s="468"/>
      <c r="F54" s="468" t="s">
        <v>475</v>
      </c>
      <c r="G54" s="427">
        <f>+G14+G33+G50+G52</f>
        <v>3225852</v>
      </c>
    </row>
    <row r="55" spans="1:8">
      <c r="A55" s="380">
        <f t="shared" si="1"/>
        <v>46</v>
      </c>
      <c r="G55" s="427"/>
    </row>
    <row r="56" spans="1:8" ht="15" customHeight="1">
      <c r="A56" s="380">
        <f t="shared" si="1"/>
        <v>47</v>
      </c>
      <c r="D56" s="467"/>
      <c r="E56" s="467"/>
      <c r="F56" s="467" t="s">
        <v>474</v>
      </c>
      <c r="G56" s="412">
        <f>(G50)</f>
        <v>717532</v>
      </c>
      <c r="H56" s="411" t="s">
        <v>384</v>
      </c>
    </row>
    <row r="57" spans="1:8">
      <c r="A57" s="380">
        <f t="shared" si="1"/>
        <v>48</v>
      </c>
      <c r="G57" s="427"/>
    </row>
    <row r="58" spans="1:8" ht="13.5" thickBot="1">
      <c r="A58" s="380">
        <f t="shared" si="1"/>
        <v>49</v>
      </c>
      <c r="G58" s="438">
        <f>+G54-G56</f>
        <v>2508320</v>
      </c>
    </row>
    <row r="59" spans="1:8" ht="13.5" thickTop="1">
      <c r="A59" s="381"/>
      <c r="B59" s="410"/>
      <c r="C59" s="385"/>
      <c r="D59" s="385"/>
      <c r="E59" s="385"/>
      <c r="F59" s="385"/>
      <c r="G59" s="412"/>
    </row>
    <row r="60" spans="1:8">
      <c r="G60" s="419"/>
    </row>
    <row r="61" spans="1:8">
      <c r="B61" s="830" t="s">
        <v>477</v>
      </c>
      <c r="C61" s="830"/>
      <c r="D61" s="830"/>
      <c r="E61" s="830"/>
      <c r="F61" s="830"/>
      <c r="G61" s="830"/>
    </row>
  </sheetData>
  <mergeCells count="4">
    <mergeCell ref="A2:G2"/>
    <mergeCell ref="A3:G3"/>
    <mergeCell ref="A4:G4"/>
    <mergeCell ref="B61:G61"/>
  </mergeCells>
  <printOptions horizontalCentered="1"/>
  <pageMargins left="0.75" right="0.75" top="0.75" bottom="0.75" header="0.5" footer="0.5"/>
  <pageSetup scale="86" orientation="portrait" r:id="rId1"/>
  <headerFooter>
    <oddHeader>&amp;R&amp;"Arial,Regular"&amp;10Attachment O Work Paper
Page 16 of 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codeName="Sheet7"/>
  <dimension ref="A1:J33"/>
  <sheetViews>
    <sheetView showGridLines="0" zoomScaleNormal="100" workbookViewId="0">
      <selection activeCell="B29" sqref="B29"/>
    </sheetView>
  </sheetViews>
  <sheetFormatPr defaultColWidth="27" defaultRowHeight="12.75"/>
  <cols>
    <col min="1" max="1" width="3.44140625" style="29" bestFit="1" customWidth="1"/>
    <col min="2" max="2" width="29.77734375" style="31" customWidth="1"/>
    <col min="3" max="3" width="14" style="31" hidden="1" customWidth="1"/>
    <col min="4" max="4" width="8.5546875" style="31" hidden="1" customWidth="1"/>
    <col min="5" max="6" width="13.77734375" style="31" customWidth="1"/>
    <col min="7" max="7" width="3.21875" style="31" customWidth="1"/>
    <col min="8" max="8" width="12.33203125" style="31" customWidth="1"/>
    <col min="9" max="9" width="11.5546875" style="31" customWidth="1"/>
    <col min="10" max="10" width="10" style="31" customWidth="1"/>
    <col min="11" max="254" width="8.5546875" style="31" customWidth="1"/>
    <col min="255" max="255" width="3.44140625" style="31" bestFit="1" customWidth="1"/>
    <col min="256" max="16384" width="27" style="31"/>
  </cols>
  <sheetData>
    <row r="1" spans="1:10">
      <c r="B1" s="30"/>
      <c r="F1" s="109"/>
    </row>
    <row r="2" spans="1:10">
      <c r="B2" s="110"/>
      <c r="F2" s="109"/>
    </row>
    <row r="3" spans="1:10" ht="12.75" customHeight="1">
      <c r="A3" s="805" t="s">
        <v>0</v>
      </c>
      <c r="B3" s="831"/>
      <c r="C3" s="831"/>
      <c r="D3" s="831"/>
      <c r="E3" s="831"/>
      <c r="F3" s="831"/>
    </row>
    <row r="4" spans="1:10" ht="12.75" customHeight="1">
      <c r="A4" s="805" t="s">
        <v>67</v>
      </c>
      <c r="B4" s="831"/>
      <c r="C4" s="831"/>
      <c r="D4" s="831"/>
      <c r="E4" s="831"/>
      <c r="F4" s="831"/>
    </row>
    <row r="5" spans="1:10" ht="12.75" customHeight="1">
      <c r="A5" s="832" t="str">
        <f>'Page 9-11 - Funct'!A4:D4</f>
        <v>Budget Year 2013</v>
      </c>
      <c r="B5" s="831"/>
      <c r="C5" s="831"/>
      <c r="D5" s="831"/>
      <c r="E5" s="831"/>
      <c r="F5" s="831"/>
      <c r="H5" s="794"/>
    </row>
    <row r="6" spans="1:10">
      <c r="C6" s="43"/>
      <c r="D6" s="43"/>
      <c r="E6" s="43"/>
      <c r="F6" s="43"/>
    </row>
    <row r="7" spans="1:10">
      <c r="B7" s="111" t="s">
        <v>1</v>
      </c>
      <c r="E7" s="29" t="s">
        <v>2</v>
      </c>
      <c r="F7" s="29" t="s">
        <v>3</v>
      </c>
      <c r="G7" s="112"/>
      <c r="H7" s="29"/>
      <c r="I7" s="29"/>
      <c r="J7" s="29"/>
    </row>
    <row r="9" spans="1:10" ht="12.75" customHeight="1">
      <c r="A9" s="37"/>
      <c r="B9" s="113"/>
      <c r="C9" s="833" t="s">
        <v>75</v>
      </c>
      <c r="D9" s="834"/>
      <c r="E9" s="835" t="s">
        <v>565</v>
      </c>
      <c r="F9" s="834"/>
    </row>
    <row r="10" spans="1:10" ht="25.5">
      <c r="A10" s="115" t="s">
        <v>38</v>
      </c>
      <c r="B10" s="116" t="s">
        <v>68</v>
      </c>
      <c r="C10" s="117" t="s">
        <v>69</v>
      </c>
      <c r="D10" s="117" t="s">
        <v>70</v>
      </c>
      <c r="E10" s="117" t="s">
        <v>69</v>
      </c>
      <c r="F10" s="117" t="s">
        <v>70</v>
      </c>
    </row>
    <row r="11" spans="1:10">
      <c r="A11" s="37"/>
      <c r="B11" s="118"/>
      <c r="C11" s="119"/>
      <c r="D11" s="119"/>
      <c r="E11" s="119"/>
      <c r="F11" s="114"/>
      <c r="G11" s="30" t="s">
        <v>71</v>
      </c>
    </row>
    <row r="12" spans="1:10">
      <c r="A12" s="39">
        <v>1</v>
      </c>
      <c r="B12" s="38" t="s">
        <v>11</v>
      </c>
      <c r="C12" s="120">
        <v>15642742.080000002</v>
      </c>
      <c r="D12" s="121">
        <f>1-SUM(D16:D23)</f>
        <v>0.38540000000000008</v>
      </c>
      <c r="E12" s="333">
        <v>17760938</v>
      </c>
      <c r="F12" s="121">
        <f>1-SUM(F16:F22)</f>
        <v>0.34350000000000003</v>
      </c>
    </row>
    <row r="13" spans="1:10">
      <c r="A13" s="39">
        <f>A12+1</f>
        <v>2</v>
      </c>
      <c r="B13" s="133" t="s">
        <v>76</v>
      </c>
      <c r="C13" s="122"/>
      <c r="D13" s="123"/>
      <c r="E13" s="159">
        <v>1394341</v>
      </c>
      <c r="F13" s="121"/>
    </row>
    <row r="14" spans="1:10">
      <c r="A14" s="39">
        <f>A13+1</f>
        <v>3</v>
      </c>
      <c r="B14" s="137" t="s">
        <v>77</v>
      </c>
      <c r="C14" s="136">
        <f>+C12-C13</f>
        <v>15642742.080000002</v>
      </c>
      <c r="D14" s="134"/>
      <c r="E14" s="435">
        <f>+E12-E13</f>
        <v>16366597</v>
      </c>
      <c r="F14" s="135"/>
    </row>
    <row r="15" spans="1:10">
      <c r="A15" s="39">
        <f>A14+1</f>
        <v>4</v>
      </c>
      <c r="B15" s="38"/>
      <c r="C15" s="122"/>
      <c r="D15" s="123"/>
      <c r="E15" s="124"/>
      <c r="F15" s="121"/>
    </row>
    <row r="16" spans="1:10">
      <c r="A16" s="39">
        <f>A15+1</f>
        <v>5</v>
      </c>
      <c r="B16" s="38" t="s">
        <v>12</v>
      </c>
      <c r="C16" s="122">
        <v>5597348.9699999997</v>
      </c>
      <c r="D16" s="121">
        <f>ROUND(C16/C$25,4)</f>
        <v>0.13789999999999999</v>
      </c>
      <c r="E16" s="436">
        <v>7263376</v>
      </c>
      <c r="F16" s="121">
        <f>ROUND(E16/E$25,4)</f>
        <v>0.15240000000000001</v>
      </c>
    </row>
    <row r="17" spans="1:7">
      <c r="A17" s="39">
        <f t="shared" ref="A17:A25" si="0">A16+1</f>
        <v>6</v>
      </c>
      <c r="B17" s="38"/>
      <c r="C17" s="122"/>
      <c r="D17" s="123"/>
      <c r="E17" s="122"/>
      <c r="F17" s="121"/>
    </row>
    <row r="18" spans="1:7">
      <c r="A18" s="39">
        <f t="shared" si="0"/>
        <v>7</v>
      </c>
      <c r="B18" s="38" t="s">
        <v>13</v>
      </c>
      <c r="C18" s="120">
        <v>9715532.8300000001</v>
      </c>
      <c r="D18" s="121">
        <f>ROUND(C18/C$25,4)</f>
        <v>0.2394</v>
      </c>
      <c r="E18" s="436">
        <v>13307488</v>
      </c>
      <c r="F18" s="121">
        <f>ROUND(E18/E$25,4)</f>
        <v>0.2792</v>
      </c>
    </row>
    <row r="19" spans="1:7">
      <c r="A19" s="39">
        <f t="shared" si="0"/>
        <v>8</v>
      </c>
      <c r="B19" s="38"/>
      <c r="C19" s="122"/>
      <c r="D19" s="123"/>
      <c r="E19" s="122"/>
      <c r="F19" s="121"/>
    </row>
    <row r="20" spans="1:7">
      <c r="A20" s="39">
        <f t="shared" si="0"/>
        <v>9</v>
      </c>
      <c r="B20" s="38" t="s">
        <v>365</v>
      </c>
      <c r="C20" s="122"/>
      <c r="D20" s="123"/>
      <c r="E20" s="122"/>
      <c r="F20" s="121"/>
    </row>
    <row r="21" spans="1:7">
      <c r="A21" s="39">
        <f t="shared" si="0"/>
        <v>10</v>
      </c>
      <c r="B21" s="133" t="s">
        <v>72</v>
      </c>
      <c r="C21" s="120">
        <v>7086030.0099999998</v>
      </c>
      <c r="D21" s="121">
        <f>ROUND(C21/C$25,4)</f>
        <v>0.17460000000000001</v>
      </c>
      <c r="E21" s="120">
        <v>8588199</v>
      </c>
      <c r="F21" s="121">
        <f>ROUND(E21/E$25,4)</f>
        <v>0.1802</v>
      </c>
    </row>
    <row r="22" spans="1:7">
      <c r="A22" s="39">
        <f t="shared" si="0"/>
        <v>11</v>
      </c>
      <c r="B22" s="158" t="s">
        <v>73</v>
      </c>
      <c r="C22" s="156">
        <v>2545336.13</v>
      </c>
      <c r="D22" s="157">
        <f>ROUND(C22/C$25,4)</f>
        <v>6.2700000000000006E-2</v>
      </c>
      <c r="E22" s="156">
        <v>2129552</v>
      </c>
      <c r="F22" s="157">
        <f>ROUND(E22/E$25,4)</f>
        <v>4.4699999999999997E-2</v>
      </c>
    </row>
    <row r="23" spans="1:7">
      <c r="A23" s="39">
        <f t="shared" si="0"/>
        <v>12</v>
      </c>
      <c r="B23" s="38" t="s">
        <v>364</v>
      </c>
      <c r="C23" s="122"/>
      <c r="D23" s="123"/>
      <c r="E23" s="437">
        <f>+E21+E22</f>
        <v>10717751</v>
      </c>
      <c r="F23" s="121">
        <f>ROUND(E23/E$25,4)</f>
        <v>0.22489999999999999</v>
      </c>
    </row>
    <row r="24" spans="1:7">
      <c r="A24" s="39">
        <f>A23+1</f>
        <v>13</v>
      </c>
      <c r="B24" s="38"/>
      <c r="C24" s="120"/>
      <c r="D24" s="121"/>
      <c r="E24" s="120"/>
      <c r="F24" s="123"/>
      <c r="G24" s="30" t="s">
        <v>71</v>
      </c>
    </row>
    <row r="25" spans="1:7" ht="13.5" thickBot="1">
      <c r="A25" s="39">
        <f t="shared" si="0"/>
        <v>14</v>
      </c>
      <c r="B25" s="38" t="s">
        <v>16</v>
      </c>
      <c r="C25" s="125">
        <f>SUM(C14:C23)</f>
        <v>40586990.020000003</v>
      </c>
      <c r="D25" s="126">
        <f>SUM(D12:D23)</f>
        <v>1.0000000000000002</v>
      </c>
      <c r="E25" s="155">
        <f>SUM(E14:E19)+E23</f>
        <v>47655212</v>
      </c>
      <c r="F25" s="126">
        <f>SUM(F12:F19)+F23</f>
        <v>1</v>
      </c>
    </row>
    <row r="26" spans="1:7" ht="13.5" thickTop="1">
      <c r="A26" s="127"/>
      <c r="B26" s="128"/>
      <c r="C26" s="130"/>
      <c r="D26" s="129"/>
      <c r="E26" s="130"/>
      <c r="F26" s="129"/>
    </row>
    <row r="27" spans="1:7">
      <c r="B27" s="41"/>
      <c r="C27" s="131"/>
      <c r="D27" s="131"/>
      <c r="E27" s="131"/>
      <c r="F27" s="131"/>
    </row>
    <row r="28" spans="1:7">
      <c r="C28" s="132"/>
      <c r="D28" s="132"/>
      <c r="E28" s="132"/>
      <c r="F28" s="132"/>
    </row>
    <row r="29" spans="1:7">
      <c r="C29" s="43"/>
      <c r="D29" s="43"/>
      <c r="E29" s="43"/>
      <c r="F29" s="43"/>
    </row>
    <row r="30" spans="1:7">
      <c r="C30" s="43"/>
      <c r="D30" s="43"/>
      <c r="E30" s="43"/>
      <c r="F30" s="43"/>
    </row>
    <row r="31" spans="1:7">
      <c r="C31" s="43"/>
      <c r="D31" s="43"/>
      <c r="E31" s="43"/>
      <c r="F31" s="43"/>
    </row>
    <row r="32" spans="1:7">
      <c r="C32" s="43"/>
      <c r="D32" s="43"/>
      <c r="E32" s="43"/>
      <c r="F32" s="43"/>
    </row>
    <row r="33" spans="3:6">
      <c r="C33" s="43"/>
      <c r="D33" s="43"/>
      <c r="E33" s="43"/>
      <c r="F33" s="43"/>
    </row>
  </sheetData>
  <mergeCells count="5">
    <mergeCell ref="A3:F3"/>
    <mergeCell ref="A4:F4"/>
    <mergeCell ref="A5:F5"/>
    <mergeCell ref="C9:D9"/>
    <mergeCell ref="E9:F9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17 of 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codeName="Sheet9">
    <pageSetUpPr fitToPage="1"/>
  </sheetPr>
  <dimension ref="A1:Q33"/>
  <sheetViews>
    <sheetView showGridLines="0" defaultGridColor="0" colorId="22" zoomScaleNormal="100" workbookViewId="0">
      <pane xSplit="2" topLeftCell="C1" activePane="topRight" state="frozen"/>
      <selection activeCell="B28" sqref="B28"/>
      <selection pane="topRight" activeCell="I10" sqref="I10"/>
    </sheetView>
  </sheetViews>
  <sheetFormatPr defaultColWidth="3.5546875" defaultRowHeight="12.75"/>
  <cols>
    <col min="1" max="1" width="3.5546875" style="356" bestFit="1" customWidth="1"/>
    <col min="2" max="2" width="39.44140625" style="356" customWidth="1"/>
    <col min="3" max="5" width="12.109375" style="356" customWidth="1"/>
    <col min="6" max="13" width="13.109375" style="356" customWidth="1"/>
    <col min="14" max="16" width="13.109375" style="356" bestFit="1" customWidth="1"/>
    <col min="17" max="255" width="9.77734375" style="356" customWidth="1"/>
    <col min="256" max="256" width="3.5546875" style="356" bestFit="1"/>
    <col min="257" max="16384" width="3.5546875" style="356"/>
  </cols>
  <sheetData>
    <row r="1" spans="1:17">
      <c r="B1" s="533"/>
      <c r="O1" s="366"/>
      <c r="P1" s="366"/>
    </row>
    <row r="2" spans="1:17">
      <c r="B2" s="517"/>
      <c r="O2" s="366"/>
      <c r="P2" s="366"/>
    </row>
    <row r="3" spans="1:17" ht="15">
      <c r="A3" s="828"/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</row>
    <row r="4" spans="1:17" ht="15">
      <c r="A4" s="837"/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</row>
    <row r="5" spans="1:17" ht="15">
      <c r="A5" s="838" t="s">
        <v>0</v>
      </c>
      <c r="B5" s="836"/>
      <c r="C5" s="836"/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836"/>
      <c r="O5" s="836"/>
    </row>
    <row r="6" spans="1:17" ht="12.75" customHeight="1">
      <c r="A6" s="838" t="s">
        <v>100</v>
      </c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794"/>
    </row>
    <row r="7" spans="1:17" ht="12.75" customHeight="1">
      <c r="A7" s="839" t="str">
        <f>'Page 13 - Depr Exp'!A5:G5</f>
        <v>Budget Year Ending December 31, 2013</v>
      </c>
      <c r="B7" s="840"/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840"/>
    </row>
    <row r="9" spans="1:17">
      <c r="C9" s="520"/>
    </row>
    <row r="10" spans="1:17" s="376" customFormat="1">
      <c r="B10" s="496" t="s">
        <v>1</v>
      </c>
      <c r="C10" s="496" t="s">
        <v>2</v>
      </c>
      <c r="D10" s="496" t="s">
        <v>3</v>
      </c>
      <c r="E10" s="496" t="s">
        <v>4</v>
      </c>
      <c r="F10" s="496" t="s">
        <v>5</v>
      </c>
      <c r="G10" s="496" t="s">
        <v>7</v>
      </c>
      <c r="H10" s="496" t="s">
        <v>6</v>
      </c>
      <c r="I10" s="496" t="s">
        <v>30</v>
      </c>
      <c r="J10" s="496" t="s">
        <v>31</v>
      </c>
      <c r="K10" s="496" t="s">
        <v>32</v>
      </c>
      <c r="L10" s="496" t="s">
        <v>79</v>
      </c>
      <c r="M10" s="496" t="s">
        <v>80</v>
      </c>
      <c r="N10" s="496" t="s">
        <v>81</v>
      </c>
      <c r="O10" s="496" t="s">
        <v>82</v>
      </c>
      <c r="P10" s="496" t="s">
        <v>83</v>
      </c>
      <c r="Q10" s="496"/>
    </row>
    <row r="11" spans="1:17">
      <c r="D11" s="376"/>
      <c r="E11" s="376"/>
      <c r="F11" s="376"/>
      <c r="G11" s="376"/>
      <c r="H11" s="376"/>
      <c r="I11" s="376"/>
      <c r="J11" s="376"/>
      <c r="N11" s="444"/>
    </row>
    <row r="12" spans="1:17">
      <c r="A12" s="383"/>
      <c r="B12" s="509" t="s">
        <v>91</v>
      </c>
      <c r="D12" s="1"/>
      <c r="E12" s="509"/>
      <c r="F12" s="514"/>
      <c r="G12" s="138"/>
      <c r="H12" s="138"/>
      <c r="I12" s="138"/>
      <c r="J12" s="138"/>
      <c r="K12" s="138"/>
      <c r="L12" s="509"/>
      <c r="M12" s="509"/>
      <c r="N12" s="509"/>
      <c r="O12" s="509"/>
      <c r="P12" s="509"/>
    </row>
    <row r="13" spans="1:17" ht="25.5">
      <c r="A13" s="501" t="s">
        <v>38</v>
      </c>
      <c r="B13" s="503" t="s">
        <v>101</v>
      </c>
      <c r="C13" s="140" t="s">
        <v>27</v>
      </c>
      <c r="D13" s="140" t="s">
        <v>34</v>
      </c>
      <c r="E13" s="140" t="s">
        <v>17</v>
      </c>
      <c r="F13" s="140" t="s">
        <v>18</v>
      </c>
      <c r="G13" s="140" t="s">
        <v>19</v>
      </c>
      <c r="H13" s="140" t="s">
        <v>20</v>
      </c>
      <c r="I13" s="140" t="s">
        <v>21</v>
      </c>
      <c r="J13" s="140" t="s">
        <v>22</v>
      </c>
      <c r="K13" s="140" t="s">
        <v>23</v>
      </c>
      <c r="L13" s="140" t="s">
        <v>24</v>
      </c>
      <c r="M13" s="140" t="s">
        <v>25</v>
      </c>
      <c r="N13" s="140" t="s">
        <v>26</v>
      </c>
      <c r="O13" s="140" t="s">
        <v>27</v>
      </c>
      <c r="P13" s="491" t="s">
        <v>28</v>
      </c>
    </row>
    <row r="14" spans="1:17" ht="19.899999999999999" customHeight="1">
      <c r="A14" s="512">
        <v>1</v>
      </c>
      <c r="B14" s="523" t="s">
        <v>102</v>
      </c>
      <c r="C14" s="498">
        <v>251361891</v>
      </c>
      <c r="D14" s="498">
        <f>C18</f>
        <v>251361891</v>
      </c>
      <c r="E14" s="498">
        <f>D14</f>
        <v>251361891</v>
      </c>
      <c r="F14" s="498">
        <f>E14</f>
        <v>251361891</v>
      </c>
      <c r="G14" s="498">
        <f t="shared" ref="G14:O14" si="0">F18</f>
        <v>251361891</v>
      </c>
      <c r="H14" s="498">
        <f t="shared" si="0"/>
        <v>251361891</v>
      </c>
      <c r="I14" s="498">
        <f t="shared" si="0"/>
        <v>251361891</v>
      </c>
      <c r="J14" s="498">
        <f t="shared" si="0"/>
        <v>251361891</v>
      </c>
      <c r="K14" s="498">
        <f t="shared" si="0"/>
        <v>260828702</v>
      </c>
      <c r="L14" s="498">
        <f t="shared" si="0"/>
        <v>260828702</v>
      </c>
      <c r="M14" s="498">
        <f t="shared" si="0"/>
        <v>260828702</v>
      </c>
      <c r="N14" s="498">
        <f t="shared" si="0"/>
        <v>260828702</v>
      </c>
      <c r="O14" s="498">
        <f t="shared" si="0"/>
        <v>260828702</v>
      </c>
      <c r="P14" s="498">
        <f>SUM(C14:O14)/13</f>
        <v>255002972.15384614</v>
      </c>
    </row>
    <row r="15" spans="1:17" ht="19.899999999999999" customHeight="1">
      <c r="A15" s="512">
        <v>2</v>
      </c>
      <c r="B15" s="523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</row>
    <row r="16" spans="1:17" ht="19.899999999999999" customHeight="1">
      <c r="A16" s="512">
        <v>3</v>
      </c>
      <c r="B16" s="523" t="s">
        <v>103</v>
      </c>
      <c r="C16" s="498"/>
      <c r="D16" s="498"/>
      <c r="E16" s="498"/>
      <c r="F16" s="498"/>
      <c r="G16" s="498"/>
      <c r="H16" s="498"/>
      <c r="I16" s="498"/>
      <c r="J16" s="498">
        <v>9466811</v>
      </c>
      <c r="K16" s="498"/>
      <c r="L16" s="498"/>
      <c r="M16" s="528"/>
      <c r="N16" s="498"/>
      <c r="O16" s="528"/>
      <c r="P16" s="498">
        <f>SUM(C16:O16)/13</f>
        <v>728216.23076923075</v>
      </c>
    </row>
    <row r="17" spans="1:16" ht="19.899999999999999" customHeight="1">
      <c r="A17" s="512">
        <v>4</v>
      </c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</row>
    <row r="18" spans="1:16" ht="24" customHeight="1">
      <c r="A18" s="512">
        <v>5</v>
      </c>
      <c r="B18" s="139" t="s">
        <v>104</v>
      </c>
      <c r="C18" s="484">
        <f t="shared" ref="C18:O18" si="1">SUM(C14:C17)</f>
        <v>251361891</v>
      </c>
      <c r="D18" s="484">
        <f t="shared" si="1"/>
        <v>251361891</v>
      </c>
      <c r="E18" s="484">
        <f t="shared" si="1"/>
        <v>251361891</v>
      </c>
      <c r="F18" s="484">
        <f t="shared" si="1"/>
        <v>251361891</v>
      </c>
      <c r="G18" s="484">
        <f t="shared" si="1"/>
        <v>251361891</v>
      </c>
      <c r="H18" s="484">
        <f t="shared" si="1"/>
        <v>251361891</v>
      </c>
      <c r="I18" s="484">
        <f t="shared" si="1"/>
        <v>251361891</v>
      </c>
      <c r="J18" s="484">
        <f t="shared" si="1"/>
        <v>260828702</v>
      </c>
      <c r="K18" s="484">
        <f t="shared" si="1"/>
        <v>260828702</v>
      </c>
      <c r="L18" s="484">
        <f t="shared" si="1"/>
        <v>260828702</v>
      </c>
      <c r="M18" s="484">
        <f t="shared" si="1"/>
        <v>260828702</v>
      </c>
      <c r="N18" s="484">
        <f t="shared" si="1"/>
        <v>260828702</v>
      </c>
      <c r="O18" s="484">
        <f t="shared" si="1"/>
        <v>260828702</v>
      </c>
      <c r="P18" s="484">
        <f>SUM(P14:P17)</f>
        <v>255731188.38461536</v>
      </c>
    </row>
    <row r="19" spans="1:16" ht="22.9" customHeight="1">
      <c r="A19" s="512">
        <v>6</v>
      </c>
      <c r="B19" s="490" t="s">
        <v>105</v>
      </c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</row>
    <row r="20" spans="1:16" ht="19.899999999999999" customHeight="1">
      <c r="A20" s="512">
        <v>7</v>
      </c>
      <c r="B20" s="523" t="s">
        <v>106</v>
      </c>
      <c r="C20" s="522">
        <v>135635612</v>
      </c>
      <c r="D20" s="498">
        <f t="shared" ref="D20:O20" si="2">C24</f>
        <v>132205176</v>
      </c>
      <c r="E20" s="498">
        <f t="shared" si="2"/>
        <v>137644838.98585269</v>
      </c>
      <c r="F20" s="498">
        <f t="shared" si="2"/>
        <v>141645058.87038642</v>
      </c>
      <c r="G20" s="498">
        <f t="shared" si="2"/>
        <v>135411788.76169226</v>
      </c>
      <c r="H20" s="498">
        <f t="shared" si="2"/>
        <v>137467662.68819994</v>
      </c>
      <c r="I20" s="498">
        <f t="shared" si="2"/>
        <v>138449874.09136817</v>
      </c>
      <c r="J20" s="498">
        <f t="shared" si="2"/>
        <v>132057951.8281686</v>
      </c>
      <c r="K20" s="498">
        <f t="shared" si="2"/>
        <v>136310669.41855153</v>
      </c>
      <c r="L20" s="498">
        <f t="shared" si="2"/>
        <v>139566545.42610586</v>
      </c>
      <c r="M20" s="498">
        <f t="shared" si="2"/>
        <v>133677741.16429013</v>
      </c>
      <c r="N20" s="498">
        <f t="shared" si="2"/>
        <v>136253126.63749546</v>
      </c>
      <c r="O20" s="498">
        <f t="shared" si="2"/>
        <v>140167106.791949</v>
      </c>
      <c r="P20" s="498">
        <f t="shared" ref="P20:P24" si="3">SUM(C20:O20)/13</f>
        <v>136653319.43569693</v>
      </c>
    </row>
    <row r="21" spans="1:16" ht="19.899999999999999" customHeight="1">
      <c r="A21" s="512">
        <v>8</v>
      </c>
      <c r="B21" s="523" t="s">
        <v>110</v>
      </c>
      <c r="C21" s="528">
        <v>5192468</v>
      </c>
      <c r="D21" s="742">
        <v>5439662.9858526802</v>
      </c>
      <c r="E21" s="742">
        <v>4000219.8845337299</v>
      </c>
      <c r="F21" s="742">
        <v>2387616.8913058401</v>
      </c>
      <c r="G21" s="742">
        <v>2055873.92650767</v>
      </c>
      <c r="H21" s="742">
        <v>982211.40316823497</v>
      </c>
      <c r="I21" s="742">
        <v>2228964.7368004401</v>
      </c>
      <c r="J21" s="742">
        <v>4252717.5903829196</v>
      </c>
      <c r="K21" s="742">
        <v>3255876.0075543202</v>
      </c>
      <c r="L21" s="742">
        <v>2732082.7381842602</v>
      </c>
      <c r="M21" s="742">
        <v>2575385.4732053299</v>
      </c>
      <c r="N21" s="742">
        <v>3913980.15445355</v>
      </c>
      <c r="O21" s="742">
        <v>7221494.1488439096</v>
      </c>
      <c r="P21" s="498">
        <f t="shared" si="3"/>
        <v>3556811.8415994523</v>
      </c>
    </row>
    <row r="22" spans="1:16" ht="19.899999999999999" customHeight="1">
      <c r="A22" s="512">
        <v>9</v>
      </c>
      <c r="B22" s="523" t="s">
        <v>111</v>
      </c>
      <c r="C22" s="528">
        <v>-8622904</v>
      </c>
      <c r="D22" s="528"/>
      <c r="E22" s="528"/>
      <c r="F22" s="528">
        <v>-8620887</v>
      </c>
      <c r="G22" s="528"/>
      <c r="H22" s="528"/>
      <c r="I22" s="528">
        <v>-8620887</v>
      </c>
      <c r="J22" s="528"/>
      <c r="K22" s="528"/>
      <c r="L22" s="528">
        <v>-8620887</v>
      </c>
      <c r="M22" s="528">
        <v>0</v>
      </c>
      <c r="N22" s="528">
        <v>0</v>
      </c>
      <c r="O22" s="528">
        <v>-8620887</v>
      </c>
      <c r="P22" s="498">
        <f t="shared" si="3"/>
        <v>-3315880.923076923</v>
      </c>
    </row>
    <row r="23" spans="1:16" ht="19.899999999999999" customHeight="1">
      <c r="A23" s="512">
        <v>10</v>
      </c>
      <c r="B23" s="523" t="s">
        <v>112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>
        <v>0</v>
      </c>
      <c r="P23" s="498">
        <f t="shared" si="3"/>
        <v>0</v>
      </c>
    </row>
    <row r="24" spans="1:16" ht="26.25" customHeight="1">
      <c r="A24" s="512">
        <v>11</v>
      </c>
      <c r="B24" s="523" t="s">
        <v>107</v>
      </c>
      <c r="C24" s="522">
        <f t="shared" ref="C24:O24" si="4">SUM(C20:C23)</f>
        <v>132205176</v>
      </c>
      <c r="D24" s="522">
        <f t="shared" si="4"/>
        <v>137644838.98585269</v>
      </c>
      <c r="E24" s="522">
        <f t="shared" si="4"/>
        <v>141645058.87038642</v>
      </c>
      <c r="F24" s="522">
        <f t="shared" si="4"/>
        <v>135411788.76169226</v>
      </c>
      <c r="G24" s="522">
        <f t="shared" si="4"/>
        <v>137467662.68819994</v>
      </c>
      <c r="H24" s="522">
        <f t="shared" si="4"/>
        <v>138449874.09136817</v>
      </c>
      <c r="I24" s="511">
        <f t="shared" si="4"/>
        <v>132057951.8281686</v>
      </c>
      <c r="J24" s="511">
        <f t="shared" si="4"/>
        <v>136310669.41855153</v>
      </c>
      <c r="K24" s="522">
        <f t="shared" si="4"/>
        <v>139566545.42610586</v>
      </c>
      <c r="L24" s="522">
        <f t="shared" si="4"/>
        <v>133677741.16429013</v>
      </c>
      <c r="M24" s="522">
        <f t="shared" si="4"/>
        <v>136253126.63749546</v>
      </c>
      <c r="N24" s="522">
        <f t="shared" si="4"/>
        <v>140167106.791949</v>
      </c>
      <c r="O24" s="522">
        <f t="shared" si="4"/>
        <v>138767713.94079292</v>
      </c>
      <c r="P24" s="498">
        <f t="shared" si="3"/>
        <v>136894250.35421947</v>
      </c>
    </row>
    <row r="25" spans="1:16" ht="20.25" customHeight="1">
      <c r="A25" s="512">
        <v>12</v>
      </c>
      <c r="B25" s="523" t="s">
        <v>108</v>
      </c>
      <c r="C25" s="511">
        <f>-1401661+23017</f>
        <v>-1378644</v>
      </c>
      <c r="D25" s="522">
        <f>C25+C23</f>
        <v>-1378644</v>
      </c>
      <c r="E25" s="522">
        <f t="shared" ref="E25:P25" si="5">D25+D23</f>
        <v>-1378644</v>
      </c>
      <c r="F25" s="522">
        <f>E25+E23+23017</f>
        <v>-1355627</v>
      </c>
      <c r="G25" s="522">
        <f t="shared" si="5"/>
        <v>-1355627</v>
      </c>
      <c r="H25" s="522">
        <f t="shared" si="5"/>
        <v>-1355627</v>
      </c>
      <c r="I25" s="511">
        <f>H25+H23+23017</f>
        <v>-1332610</v>
      </c>
      <c r="J25" s="511">
        <f t="shared" si="5"/>
        <v>-1332610</v>
      </c>
      <c r="K25" s="522">
        <f t="shared" si="5"/>
        <v>-1332610</v>
      </c>
      <c r="L25" s="522">
        <f>K25+K23+23017</f>
        <v>-1309593</v>
      </c>
      <c r="M25" s="522">
        <f t="shared" si="5"/>
        <v>-1309593</v>
      </c>
      <c r="N25" s="522">
        <f t="shared" si="5"/>
        <v>-1309593</v>
      </c>
      <c r="O25" s="522">
        <f>N25+N23+23017</f>
        <v>-1286576</v>
      </c>
      <c r="P25" s="522">
        <f t="shared" si="5"/>
        <v>-1286576</v>
      </c>
    </row>
    <row r="26" spans="1:16" ht="33" customHeight="1">
      <c r="A26" s="508">
        <v>13</v>
      </c>
      <c r="B26" s="139" t="s">
        <v>109</v>
      </c>
      <c r="C26" s="484">
        <f t="shared" ref="C26:O26" si="6">C18+C24+C25</f>
        <v>382188423</v>
      </c>
      <c r="D26" s="484">
        <f t="shared" si="6"/>
        <v>387628085.98585272</v>
      </c>
      <c r="E26" s="484">
        <f t="shared" si="6"/>
        <v>391628305.87038642</v>
      </c>
      <c r="F26" s="484">
        <f t="shared" si="6"/>
        <v>385418052.76169229</v>
      </c>
      <c r="G26" s="484">
        <f t="shared" si="6"/>
        <v>387473926.68819994</v>
      </c>
      <c r="H26" s="484">
        <f t="shared" si="6"/>
        <v>388456138.0913682</v>
      </c>
      <c r="I26" s="484">
        <f t="shared" si="6"/>
        <v>382087232.82816863</v>
      </c>
      <c r="J26" s="484">
        <f t="shared" si="6"/>
        <v>395806761.41855156</v>
      </c>
      <c r="K26" s="484">
        <f t="shared" si="6"/>
        <v>399062637.42610586</v>
      </c>
      <c r="L26" s="484">
        <f t="shared" si="6"/>
        <v>393196850.16429013</v>
      </c>
      <c r="M26" s="484">
        <f t="shared" si="6"/>
        <v>395772235.63749546</v>
      </c>
      <c r="N26" s="484">
        <f t="shared" si="6"/>
        <v>399686215.79194903</v>
      </c>
      <c r="O26" s="516">
        <f t="shared" si="6"/>
        <v>398309839.94079292</v>
      </c>
      <c r="P26" s="504">
        <f>P18+P24+P25</f>
        <v>391338862.73883486</v>
      </c>
    </row>
    <row r="27" spans="1:16">
      <c r="A27" s="376"/>
      <c r="C27" s="533"/>
    </row>
    <row r="28" spans="1:16">
      <c r="A28" s="376"/>
      <c r="B28" s="734"/>
      <c r="C28" s="520"/>
      <c r="D28" s="483"/>
      <c r="E28" s="520"/>
      <c r="I28" s="520"/>
      <c r="O28" s="520"/>
      <c r="P28" s="520"/>
    </row>
    <row r="29" spans="1:16">
      <c r="A29" s="376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</row>
    <row r="30" spans="1:16">
      <c r="A30" s="376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</row>
    <row r="31" spans="1:16">
      <c r="B31" s="411"/>
    </row>
    <row r="32" spans="1:16" s="483" customFormat="1">
      <c r="M32" s="356"/>
      <c r="O32" s="520"/>
      <c r="P32" s="520"/>
    </row>
    <row r="33" spans="3:3">
      <c r="C33" s="68"/>
    </row>
  </sheetData>
  <mergeCells count="5">
    <mergeCell ref="A3:O3"/>
    <mergeCell ref="A4:O4"/>
    <mergeCell ref="A5:O5"/>
    <mergeCell ref="A6:O6"/>
    <mergeCell ref="A7:O7"/>
  </mergeCells>
  <printOptions horizontalCentered="1"/>
  <pageMargins left="0.5" right="0.5" top="0.75" bottom="0.5" header="0.5" footer="0.5"/>
  <pageSetup scale="47" orientation="landscape" horizontalDpi="300" verticalDpi="300" r:id="rId1"/>
  <headerFooter alignWithMargins="0">
    <oddHeader>&amp;R&amp;"Arial,Regular"&amp;10Attachment O Work Paper
Page 18 of 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 codeName="Sheet8">
    <pageSetUpPr fitToPage="1"/>
  </sheetPr>
  <dimension ref="A1:V55"/>
  <sheetViews>
    <sheetView showGridLines="0" zoomScaleNormal="100" workbookViewId="0">
      <pane xSplit="6" ySplit="13" topLeftCell="K26" activePane="bottomRight" state="frozen"/>
      <selection pane="topRight" activeCell="G1" sqref="G1"/>
      <selection pane="bottomLeft" activeCell="A14" sqref="A14"/>
      <selection pane="bottomRight" activeCell="C45" sqref="C45:F45"/>
    </sheetView>
  </sheetViews>
  <sheetFormatPr defaultColWidth="3.5546875" defaultRowHeight="12.75" customHeight="1"/>
  <cols>
    <col min="1" max="1" width="3.5546875" style="356" bestFit="1" customWidth="1"/>
    <col min="2" max="2" width="6.21875" style="356" customWidth="1"/>
    <col min="3" max="3" width="10.77734375" style="356" customWidth="1"/>
    <col min="4" max="18" width="11.88671875" style="356" customWidth="1"/>
    <col min="19" max="19" width="11.21875" style="356" customWidth="1"/>
    <col min="20" max="25" width="15.77734375" style="356" customWidth="1"/>
    <col min="26" max="26" width="7.77734375" style="356" customWidth="1"/>
    <col min="27" max="30" width="15.77734375" style="356" customWidth="1"/>
    <col min="31" max="255" width="9.77734375" style="356" customWidth="1"/>
    <col min="256" max="256" width="3.5546875" style="356" bestFit="1"/>
    <col min="257" max="16384" width="3.5546875" style="356"/>
  </cols>
  <sheetData>
    <row r="1" spans="1:21" ht="12.75" customHeight="1">
      <c r="B1" s="533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546"/>
    </row>
    <row r="2" spans="1:21" ht="12.75" customHeight="1">
      <c r="B2" s="533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546"/>
    </row>
    <row r="3" spans="1:21" ht="12.75" customHeight="1">
      <c r="A3" s="828"/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</row>
    <row r="4" spans="1:21" ht="12.75" customHeight="1">
      <c r="B4" s="609"/>
      <c r="C4" s="68"/>
      <c r="D4" s="610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21" ht="12.75" customHeight="1">
      <c r="A5" s="838" t="s">
        <v>0</v>
      </c>
      <c r="B5" s="836"/>
      <c r="C5" s="836"/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836"/>
      <c r="R5" s="836"/>
      <c r="U5" s="794"/>
    </row>
    <row r="6" spans="1:21" ht="12.75" customHeight="1">
      <c r="A6" s="828" t="s">
        <v>78</v>
      </c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836"/>
      <c r="Q6" s="836"/>
      <c r="R6" s="836"/>
    </row>
    <row r="7" spans="1:21" ht="12.75" customHeight="1">
      <c r="A7" s="838" t="s">
        <v>561</v>
      </c>
      <c r="B7" s="836"/>
      <c r="C7" s="83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836"/>
    </row>
    <row r="8" spans="1:21" ht="12.75" customHeight="1">
      <c r="B8" s="611"/>
      <c r="C8" s="138"/>
      <c r="D8" s="138"/>
      <c r="E8" s="138"/>
      <c r="F8" s="138"/>
      <c r="G8" s="547"/>
      <c r="H8" s="547"/>
      <c r="I8" s="547"/>
      <c r="J8" s="547"/>
      <c r="K8" s="547"/>
      <c r="L8" s="547"/>
      <c r="M8" s="138"/>
      <c r="N8" s="138"/>
      <c r="O8" s="138"/>
      <c r="P8" s="138"/>
      <c r="Q8" s="138"/>
      <c r="R8" s="138"/>
    </row>
    <row r="9" spans="1:21" ht="12.75" customHeight="1">
      <c r="A9" s="376"/>
      <c r="B9" s="849" t="s">
        <v>1</v>
      </c>
      <c r="C9" s="849"/>
      <c r="D9" s="849"/>
      <c r="E9" s="849"/>
      <c r="F9" s="496" t="s">
        <v>2</v>
      </c>
      <c r="G9" s="496" t="s">
        <v>3</v>
      </c>
      <c r="H9" s="496" t="s">
        <v>4</v>
      </c>
      <c r="I9" s="496" t="s">
        <v>5</v>
      </c>
      <c r="J9" s="496" t="s">
        <v>7</v>
      </c>
      <c r="K9" s="496" t="s">
        <v>6</v>
      </c>
      <c r="L9" s="496" t="s">
        <v>30</v>
      </c>
      <c r="M9" s="496" t="s">
        <v>31</v>
      </c>
      <c r="N9" s="496" t="s">
        <v>32</v>
      </c>
      <c r="O9" s="496" t="s">
        <v>79</v>
      </c>
      <c r="P9" s="496" t="s">
        <v>80</v>
      </c>
      <c r="Q9" s="496" t="s">
        <v>81</v>
      </c>
      <c r="R9" s="496" t="s">
        <v>82</v>
      </c>
      <c r="S9" s="496" t="s">
        <v>83</v>
      </c>
      <c r="T9" s="496" t="s">
        <v>84</v>
      </c>
      <c r="U9" s="496" t="s">
        <v>85</v>
      </c>
    </row>
    <row r="10" spans="1:21" ht="12.75" customHeight="1">
      <c r="B10" s="68"/>
      <c r="C10" s="624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489"/>
      <c r="R10" s="489"/>
    </row>
    <row r="11" spans="1:21" ht="12.75" customHeight="1">
      <c r="A11" s="612"/>
      <c r="B11" s="68"/>
      <c r="C11" s="477"/>
      <c r="D11" s="477"/>
      <c r="E11" s="477"/>
      <c r="F11" s="544" t="s">
        <v>86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548" t="s">
        <v>515</v>
      </c>
      <c r="U11" s="548" t="s">
        <v>87</v>
      </c>
    </row>
    <row r="12" spans="1:21" ht="12.75" customHeight="1">
      <c r="A12" s="379" t="s">
        <v>8</v>
      </c>
      <c r="B12" s="593"/>
      <c r="C12" s="595"/>
      <c r="D12" s="595"/>
      <c r="E12" s="580"/>
      <c r="F12" s="578" t="s">
        <v>88</v>
      </c>
      <c r="G12" s="841" t="s">
        <v>91</v>
      </c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3"/>
      <c r="T12" s="549" t="s">
        <v>89</v>
      </c>
      <c r="U12" s="549" t="s">
        <v>90</v>
      </c>
    </row>
    <row r="13" spans="1:21" ht="12.75" customHeight="1">
      <c r="A13" s="381" t="s">
        <v>10</v>
      </c>
      <c r="B13" s="859" t="s">
        <v>35</v>
      </c>
      <c r="C13" s="860"/>
      <c r="D13" s="860"/>
      <c r="E13" s="861"/>
      <c r="F13" s="579" t="s">
        <v>87</v>
      </c>
      <c r="G13" s="548" t="s">
        <v>27</v>
      </c>
      <c r="H13" s="548" t="s">
        <v>34</v>
      </c>
      <c r="I13" s="548" t="s">
        <v>17</v>
      </c>
      <c r="J13" s="548" t="s">
        <v>18</v>
      </c>
      <c r="K13" s="548" t="s">
        <v>19</v>
      </c>
      <c r="L13" s="548" t="s">
        <v>20</v>
      </c>
      <c r="M13" s="548" t="s">
        <v>21</v>
      </c>
      <c r="N13" s="548" t="s">
        <v>22</v>
      </c>
      <c r="O13" s="548" t="s">
        <v>23</v>
      </c>
      <c r="P13" s="548" t="s">
        <v>24</v>
      </c>
      <c r="Q13" s="548" t="s">
        <v>25</v>
      </c>
      <c r="R13" s="548" t="s">
        <v>26</v>
      </c>
      <c r="S13" s="548" t="s">
        <v>27</v>
      </c>
      <c r="T13" s="545" t="s">
        <v>92</v>
      </c>
      <c r="U13" s="545" t="s">
        <v>589</v>
      </c>
    </row>
    <row r="14" spans="1:21" ht="12.75" customHeight="1">
      <c r="A14" s="380"/>
      <c r="B14" s="357"/>
      <c r="C14" s="358"/>
      <c r="D14" s="358"/>
      <c r="E14" s="359"/>
      <c r="F14" s="602"/>
      <c r="G14" s="561"/>
      <c r="H14" s="562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61"/>
    </row>
    <row r="15" spans="1:21" ht="12.75" customHeight="1">
      <c r="A15" s="380"/>
      <c r="B15" s="846" t="s">
        <v>93</v>
      </c>
      <c r="C15" s="847"/>
      <c r="D15" s="847"/>
      <c r="E15" s="848"/>
      <c r="F15" s="613"/>
      <c r="G15" s="614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</row>
    <row r="16" spans="1:21" ht="12.75" customHeight="1">
      <c r="A16" s="380">
        <v>1</v>
      </c>
      <c r="B16" s="587">
        <v>5.9499999999999997E-2</v>
      </c>
      <c r="C16" s="590" t="s">
        <v>516</v>
      </c>
      <c r="D16" s="590"/>
      <c r="E16" s="586"/>
      <c r="F16" s="615">
        <v>5.9499999999999997E-2</v>
      </c>
      <c r="G16" s="552">
        <v>33000000</v>
      </c>
      <c r="H16" s="552">
        <v>33000000</v>
      </c>
      <c r="I16" s="552">
        <v>33000000</v>
      </c>
      <c r="J16" s="552">
        <v>33000000</v>
      </c>
      <c r="K16" s="552">
        <v>33000000</v>
      </c>
      <c r="L16" s="552">
        <v>33000000</v>
      </c>
      <c r="M16" s="552">
        <v>33000000</v>
      </c>
      <c r="N16" s="552">
        <v>33000000</v>
      </c>
      <c r="O16" s="552">
        <v>33000000</v>
      </c>
      <c r="P16" s="552">
        <v>33000000</v>
      </c>
      <c r="Q16" s="552">
        <v>33000000</v>
      </c>
      <c r="R16" s="552">
        <v>33000000</v>
      </c>
      <c r="S16" s="552">
        <v>33000000</v>
      </c>
      <c r="T16" s="552">
        <f>AVERAGE(G16:S16)</f>
        <v>33000000</v>
      </c>
      <c r="U16" s="552">
        <f>T16*F16</f>
        <v>1963500</v>
      </c>
    </row>
    <row r="17" spans="1:21" ht="12.75" customHeight="1">
      <c r="A17" s="380">
        <v>2</v>
      </c>
      <c r="B17" s="587">
        <v>6.1499999999999999E-2</v>
      </c>
      <c r="C17" s="590" t="s">
        <v>517</v>
      </c>
      <c r="D17" s="590"/>
      <c r="E17" s="586"/>
      <c r="F17" s="615">
        <v>6.1499999999999999E-2</v>
      </c>
      <c r="G17" s="552">
        <v>30000000</v>
      </c>
      <c r="H17" s="552">
        <v>30000000</v>
      </c>
      <c r="I17" s="552">
        <v>30000000</v>
      </c>
      <c r="J17" s="552">
        <v>30000000</v>
      </c>
      <c r="K17" s="552">
        <v>30000000</v>
      </c>
      <c r="L17" s="552">
        <v>30000000</v>
      </c>
      <c r="M17" s="552">
        <v>30000000</v>
      </c>
      <c r="N17" s="552">
        <v>30000000</v>
      </c>
      <c r="O17" s="552">
        <v>30000000</v>
      </c>
      <c r="P17" s="552">
        <v>30000000</v>
      </c>
      <c r="Q17" s="552">
        <v>30000000</v>
      </c>
      <c r="R17" s="552">
        <v>30000000</v>
      </c>
      <c r="S17" s="552">
        <v>30000000</v>
      </c>
      <c r="T17" s="552">
        <f t="shared" ref="T17:T20" si="0">AVERAGE(G17:S17)</f>
        <v>30000000</v>
      </c>
      <c r="U17" s="552">
        <f t="shared" ref="U17:U20" si="1">T17*F17</f>
        <v>1845000</v>
      </c>
    </row>
    <row r="18" spans="1:21" ht="12.75" customHeight="1">
      <c r="A18" s="380">
        <v>3</v>
      </c>
      <c r="B18" s="587">
        <v>6.3700000000000007E-2</v>
      </c>
      <c r="C18" s="590" t="s">
        <v>518</v>
      </c>
      <c r="D18" s="590"/>
      <c r="E18" s="586"/>
      <c r="F18" s="615">
        <v>6.3700000000000007E-2</v>
      </c>
      <c r="G18" s="552">
        <v>42000000</v>
      </c>
      <c r="H18" s="552">
        <v>42000000</v>
      </c>
      <c r="I18" s="552">
        <v>42000000</v>
      </c>
      <c r="J18" s="552">
        <v>42000000</v>
      </c>
      <c r="K18" s="552">
        <v>42000000</v>
      </c>
      <c r="L18" s="552">
        <v>42000000</v>
      </c>
      <c r="M18" s="552">
        <v>42000000</v>
      </c>
      <c r="N18" s="552">
        <v>42000000</v>
      </c>
      <c r="O18" s="552">
        <v>42000000</v>
      </c>
      <c r="P18" s="552">
        <v>42000000</v>
      </c>
      <c r="Q18" s="552">
        <v>42000000</v>
      </c>
      <c r="R18" s="552">
        <v>42000000</v>
      </c>
      <c r="S18" s="552">
        <v>42000000</v>
      </c>
      <c r="T18" s="552">
        <f t="shared" si="0"/>
        <v>42000000</v>
      </c>
      <c r="U18" s="552">
        <f t="shared" si="1"/>
        <v>2675400.0000000005</v>
      </c>
    </row>
    <row r="19" spans="1:21" ht="12.75" customHeight="1">
      <c r="A19" s="404">
        <v>4</v>
      </c>
      <c r="B19" s="587">
        <v>6.4699999999999994E-2</v>
      </c>
      <c r="C19" s="590" t="s">
        <v>519</v>
      </c>
      <c r="D19" s="590"/>
      <c r="E19" s="586"/>
      <c r="F19" s="615">
        <v>6.4699999999999994E-2</v>
      </c>
      <c r="G19" s="552">
        <v>50000000</v>
      </c>
      <c r="H19" s="552">
        <v>50000000</v>
      </c>
      <c r="I19" s="552">
        <v>50000000</v>
      </c>
      <c r="J19" s="552">
        <v>50000000</v>
      </c>
      <c r="K19" s="552">
        <v>50000000</v>
      </c>
      <c r="L19" s="552">
        <v>50000000</v>
      </c>
      <c r="M19" s="552">
        <v>50000000</v>
      </c>
      <c r="N19" s="552">
        <v>50000000</v>
      </c>
      <c r="O19" s="552">
        <v>50000000</v>
      </c>
      <c r="P19" s="552">
        <v>50000000</v>
      </c>
      <c r="Q19" s="552">
        <v>50000000</v>
      </c>
      <c r="R19" s="552">
        <v>50000000</v>
      </c>
      <c r="S19" s="552">
        <v>50000000</v>
      </c>
      <c r="T19" s="552">
        <f t="shared" si="0"/>
        <v>50000000</v>
      </c>
      <c r="U19" s="552">
        <f t="shared" si="1"/>
        <v>3234999.9999999995</v>
      </c>
    </row>
    <row r="20" spans="1:21" ht="12.75" customHeight="1">
      <c r="A20" s="404">
        <v>5</v>
      </c>
      <c r="B20" s="587">
        <v>4.6300000000000001E-2</v>
      </c>
      <c r="C20" s="590" t="s">
        <v>520</v>
      </c>
      <c r="D20" s="590"/>
      <c r="E20" s="586"/>
      <c r="F20" s="615">
        <v>4.6300000000000001E-2</v>
      </c>
      <c r="G20" s="552">
        <v>140000000</v>
      </c>
      <c r="H20" s="552">
        <v>140000000</v>
      </c>
      <c r="I20" s="552">
        <v>140000000</v>
      </c>
      <c r="J20" s="552">
        <v>140000000</v>
      </c>
      <c r="K20" s="552">
        <v>140000000</v>
      </c>
      <c r="L20" s="552">
        <v>140000000</v>
      </c>
      <c r="M20" s="552">
        <v>140000000</v>
      </c>
      <c r="N20" s="552">
        <v>140000000</v>
      </c>
      <c r="O20" s="552">
        <v>140000000</v>
      </c>
      <c r="P20" s="552">
        <v>140000000</v>
      </c>
      <c r="Q20" s="552">
        <v>140000000</v>
      </c>
      <c r="R20" s="552">
        <v>140000000</v>
      </c>
      <c r="S20" s="552">
        <v>140000000</v>
      </c>
      <c r="T20" s="552">
        <f t="shared" si="0"/>
        <v>140000000</v>
      </c>
      <c r="U20" s="552">
        <f t="shared" si="1"/>
        <v>6482000</v>
      </c>
    </row>
    <row r="21" spans="1:21" ht="12.75" customHeight="1">
      <c r="A21" s="404">
        <v>6</v>
      </c>
      <c r="B21" s="857" t="s">
        <v>94</v>
      </c>
      <c r="C21" s="858"/>
      <c r="D21" s="526"/>
      <c r="E21" s="581"/>
      <c r="F21" s="616"/>
      <c r="G21" s="563">
        <f>SUM(G16:G20)</f>
        <v>295000000</v>
      </c>
      <c r="H21" s="563">
        <f t="shared" ref="H21:T21" si="2">SUM(H16:H20)</f>
        <v>295000000</v>
      </c>
      <c r="I21" s="563">
        <f t="shared" si="2"/>
        <v>295000000</v>
      </c>
      <c r="J21" s="563">
        <f t="shared" si="2"/>
        <v>295000000</v>
      </c>
      <c r="K21" s="563">
        <f t="shared" si="2"/>
        <v>295000000</v>
      </c>
      <c r="L21" s="563">
        <f t="shared" si="2"/>
        <v>295000000</v>
      </c>
      <c r="M21" s="563">
        <f t="shared" si="2"/>
        <v>295000000</v>
      </c>
      <c r="N21" s="563">
        <f t="shared" si="2"/>
        <v>295000000</v>
      </c>
      <c r="O21" s="563">
        <f t="shared" si="2"/>
        <v>295000000</v>
      </c>
      <c r="P21" s="563">
        <f t="shared" si="2"/>
        <v>295000000</v>
      </c>
      <c r="Q21" s="563">
        <f t="shared" si="2"/>
        <v>295000000</v>
      </c>
      <c r="R21" s="563">
        <f t="shared" si="2"/>
        <v>295000000</v>
      </c>
      <c r="S21" s="563">
        <f t="shared" si="2"/>
        <v>295000000</v>
      </c>
      <c r="T21" s="563">
        <f t="shared" si="2"/>
        <v>295000000</v>
      </c>
      <c r="U21" s="563">
        <f>SUM(U16:U20)</f>
        <v>16200900</v>
      </c>
    </row>
    <row r="22" spans="1:21" ht="12.75" customHeight="1">
      <c r="A22" s="380">
        <v>7</v>
      </c>
      <c r="B22" s="582"/>
      <c r="C22" s="589"/>
      <c r="D22" s="589"/>
      <c r="E22" s="583"/>
      <c r="F22" s="617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</row>
    <row r="23" spans="1:21" ht="12.75" customHeight="1">
      <c r="A23" s="380">
        <v>8</v>
      </c>
      <c r="B23" s="864" t="s">
        <v>95</v>
      </c>
      <c r="C23" s="865"/>
      <c r="D23" s="592"/>
      <c r="E23" s="573"/>
      <c r="F23" s="617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</row>
    <row r="24" spans="1:21" ht="12.75" customHeight="1">
      <c r="A24" s="380">
        <v>9</v>
      </c>
      <c r="B24" s="862" t="s">
        <v>96</v>
      </c>
      <c r="C24" s="863"/>
      <c r="D24" s="607"/>
      <c r="E24" s="571"/>
      <c r="F24" s="615">
        <v>4.65E-2</v>
      </c>
      <c r="G24" s="567">
        <v>5090000</v>
      </c>
      <c r="H24" s="567">
        <v>5090000</v>
      </c>
      <c r="I24" s="567">
        <v>5090000</v>
      </c>
      <c r="J24" s="567">
        <v>5090000</v>
      </c>
      <c r="K24" s="567">
        <v>5090000</v>
      </c>
      <c r="L24" s="567">
        <v>5090000</v>
      </c>
      <c r="M24" s="567">
        <v>5090000</v>
      </c>
      <c r="N24" s="567">
        <v>5090000</v>
      </c>
      <c r="O24" s="567">
        <v>5090000</v>
      </c>
      <c r="P24" s="567">
        <v>5090000</v>
      </c>
      <c r="Q24" s="567">
        <v>5090000</v>
      </c>
      <c r="R24" s="567">
        <v>5090000</v>
      </c>
      <c r="S24" s="567">
        <v>5090000</v>
      </c>
      <c r="T24" s="552">
        <f>AVERAGE(G24:S24)</f>
        <v>5090000</v>
      </c>
      <c r="U24" s="552">
        <f t="shared" ref="U24" si="3">T24*F24</f>
        <v>236685</v>
      </c>
    </row>
    <row r="25" spans="1:21" ht="12.75" customHeight="1">
      <c r="A25" s="380">
        <v>10</v>
      </c>
      <c r="B25" s="862" t="s">
        <v>97</v>
      </c>
      <c r="C25" s="863"/>
      <c r="D25" s="607"/>
      <c r="E25" s="571"/>
      <c r="F25" s="615">
        <v>4.8500000000000001E-2</v>
      </c>
      <c r="G25" s="567">
        <v>20105000</v>
      </c>
      <c r="H25" s="567">
        <v>20105000</v>
      </c>
      <c r="I25" s="567">
        <v>20105000</v>
      </c>
      <c r="J25" s="567">
        <v>20105000</v>
      </c>
      <c r="K25" s="567">
        <v>20105000</v>
      </c>
      <c r="L25" s="567">
        <v>20105000</v>
      </c>
      <c r="M25" s="567">
        <v>20105000</v>
      </c>
      <c r="N25" s="567">
        <v>20105000</v>
      </c>
      <c r="O25" s="567">
        <v>20105000</v>
      </c>
      <c r="P25" s="567">
        <v>20105000</v>
      </c>
      <c r="Q25" s="567">
        <v>20105000</v>
      </c>
      <c r="R25" s="567">
        <v>20105000</v>
      </c>
      <c r="S25" s="567">
        <v>20105000</v>
      </c>
      <c r="T25" s="552">
        <f>AVERAGE(G25:S25)</f>
        <v>20105000</v>
      </c>
      <c r="U25" s="552">
        <f t="shared" ref="U25" si="4">T25*F25</f>
        <v>975092.5</v>
      </c>
    </row>
    <row r="26" spans="1:21" ht="12.75" customHeight="1">
      <c r="A26" s="380">
        <v>11</v>
      </c>
      <c r="B26" s="855" t="s">
        <v>98</v>
      </c>
      <c r="C26" s="856"/>
      <c r="D26" s="606"/>
      <c r="E26" s="572"/>
      <c r="F26" s="618"/>
      <c r="G26" s="564">
        <f>SUM(G24:G25)</f>
        <v>25195000</v>
      </c>
      <c r="H26" s="564">
        <f t="shared" ref="H26:S26" si="5">SUM(H24:H25)</f>
        <v>25195000</v>
      </c>
      <c r="I26" s="564">
        <f t="shared" si="5"/>
        <v>25195000</v>
      </c>
      <c r="J26" s="564">
        <f t="shared" si="5"/>
        <v>25195000</v>
      </c>
      <c r="K26" s="564">
        <f t="shared" si="5"/>
        <v>25195000</v>
      </c>
      <c r="L26" s="564">
        <f t="shared" si="5"/>
        <v>25195000</v>
      </c>
      <c r="M26" s="564">
        <f t="shared" si="5"/>
        <v>25195000</v>
      </c>
      <c r="N26" s="564">
        <f t="shared" si="5"/>
        <v>25195000</v>
      </c>
      <c r="O26" s="564">
        <f t="shared" si="5"/>
        <v>25195000</v>
      </c>
      <c r="P26" s="564">
        <f t="shared" si="5"/>
        <v>25195000</v>
      </c>
      <c r="Q26" s="564">
        <f t="shared" si="5"/>
        <v>25195000</v>
      </c>
      <c r="R26" s="564">
        <f t="shared" si="5"/>
        <v>25195000</v>
      </c>
      <c r="S26" s="564">
        <f t="shared" si="5"/>
        <v>25195000</v>
      </c>
      <c r="T26" s="564">
        <f>SUM(T24:T25)</f>
        <v>25195000</v>
      </c>
      <c r="U26" s="563">
        <f>SUM(U24:U25)</f>
        <v>1211777.5</v>
      </c>
    </row>
    <row r="27" spans="1:21" ht="12.75" customHeight="1">
      <c r="A27" s="380">
        <v>12</v>
      </c>
      <c r="B27" s="594"/>
      <c r="C27" s="592"/>
      <c r="D27" s="592"/>
      <c r="E27" s="573"/>
      <c r="F27" s="613"/>
      <c r="G27" s="568"/>
      <c r="H27" s="568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68"/>
    </row>
    <row r="28" spans="1:21" ht="12.75" customHeight="1">
      <c r="A28" s="380">
        <v>13</v>
      </c>
      <c r="B28" s="476"/>
      <c r="C28" s="477"/>
      <c r="D28" s="477"/>
      <c r="E28" s="570"/>
      <c r="F28" s="570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</row>
    <row r="29" spans="1:21" ht="12.75" customHeight="1">
      <c r="A29" s="380">
        <v>14</v>
      </c>
      <c r="B29" s="868" t="s">
        <v>521</v>
      </c>
      <c r="C29" s="869"/>
      <c r="D29" s="543"/>
      <c r="E29" s="591"/>
      <c r="F29" s="613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68"/>
      <c r="R29" s="568"/>
      <c r="S29" s="568"/>
      <c r="T29" s="552"/>
      <c r="U29" s="552"/>
    </row>
    <row r="30" spans="1:21" ht="12.75" customHeight="1">
      <c r="A30" s="380">
        <v>15</v>
      </c>
      <c r="B30" s="604">
        <v>5.33E-2</v>
      </c>
      <c r="C30" s="597" t="s">
        <v>522</v>
      </c>
      <c r="D30" s="597"/>
      <c r="E30" s="599"/>
      <c r="F30" s="619">
        <v>5.33E-2</v>
      </c>
      <c r="G30" s="567">
        <v>6000000</v>
      </c>
      <c r="H30" s="620">
        <v>6000000</v>
      </c>
      <c r="I30" s="620">
        <v>6000000</v>
      </c>
      <c r="J30" s="620">
        <v>6000000</v>
      </c>
      <c r="K30" s="620">
        <v>6000000</v>
      </c>
      <c r="L30" s="620">
        <v>6000000</v>
      </c>
      <c r="M30" s="620">
        <v>6000000</v>
      </c>
      <c r="N30" s="620">
        <v>6000000</v>
      </c>
      <c r="O30" s="620">
        <v>6000000</v>
      </c>
      <c r="P30" s="620">
        <v>6000000</v>
      </c>
      <c r="Q30" s="620">
        <v>6000000</v>
      </c>
      <c r="R30" s="620">
        <v>6000000</v>
      </c>
      <c r="S30" s="620">
        <v>6000000</v>
      </c>
      <c r="T30" s="552">
        <f>AVERAGE(G30:S30)</f>
        <v>6000000</v>
      </c>
      <c r="U30" s="552">
        <f t="shared" ref="U30:U33" si="6">T30*F30</f>
        <v>319800</v>
      </c>
    </row>
    <row r="31" spans="1:21" ht="12.75" customHeight="1">
      <c r="A31" s="380">
        <v>16</v>
      </c>
      <c r="B31" s="604">
        <v>7.2099999999999997E-2</v>
      </c>
      <c r="C31" s="597" t="s">
        <v>523</v>
      </c>
      <c r="D31" s="597"/>
      <c r="E31" s="599"/>
      <c r="F31" s="619">
        <v>7.2099999999999997E-2</v>
      </c>
      <c r="G31" s="567">
        <v>2500000</v>
      </c>
      <c r="H31" s="620">
        <v>2500000</v>
      </c>
      <c r="I31" s="620">
        <v>2500000</v>
      </c>
      <c r="J31" s="620">
        <v>2500000</v>
      </c>
      <c r="K31" s="620">
        <v>2500000</v>
      </c>
      <c r="L31" s="620">
        <v>2500000</v>
      </c>
      <c r="M31" s="620">
        <v>2500000</v>
      </c>
      <c r="N31" s="620">
        <v>2500000</v>
      </c>
      <c r="O31" s="620">
        <v>2500000</v>
      </c>
      <c r="P31" s="620">
        <v>2500000</v>
      </c>
      <c r="Q31" s="620">
        <v>2500000</v>
      </c>
      <c r="R31" s="620">
        <v>2500000</v>
      </c>
      <c r="S31" s="620">
        <v>2500000</v>
      </c>
      <c r="T31" s="552">
        <f t="shared" ref="T31:T32" si="7">AVERAGE(G31:S31)</f>
        <v>2500000</v>
      </c>
      <c r="U31" s="552">
        <f t="shared" si="6"/>
        <v>180250</v>
      </c>
    </row>
    <row r="32" spans="1:21" ht="12.75" customHeight="1">
      <c r="A32" s="380">
        <v>17</v>
      </c>
      <c r="B32" s="604">
        <v>7.6200000000000004E-2</v>
      </c>
      <c r="C32" s="597" t="s">
        <v>524</v>
      </c>
      <c r="D32" s="597"/>
      <c r="E32" s="599"/>
      <c r="F32" s="619">
        <v>7.6200000000000004E-2</v>
      </c>
      <c r="G32" s="567">
        <v>3000000</v>
      </c>
      <c r="H32" s="620">
        <v>3000000</v>
      </c>
      <c r="I32" s="620">
        <v>3000000</v>
      </c>
      <c r="J32" s="620">
        <v>3000000</v>
      </c>
      <c r="K32" s="620">
        <v>3000000</v>
      </c>
      <c r="L32" s="620">
        <v>3000000</v>
      </c>
      <c r="M32" s="620">
        <v>3000000</v>
      </c>
      <c r="N32" s="620">
        <v>3000000</v>
      </c>
      <c r="O32" s="620">
        <v>3000000</v>
      </c>
      <c r="P32" s="620">
        <v>3000000</v>
      </c>
      <c r="Q32" s="620">
        <v>3000000</v>
      </c>
      <c r="R32" s="620">
        <v>3000000</v>
      </c>
      <c r="S32" s="620">
        <v>3000000</v>
      </c>
      <c r="T32" s="552">
        <f t="shared" si="7"/>
        <v>3000000</v>
      </c>
      <c r="U32" s="552">
        <f t="shared" si="6"/>
        <v>228600</v>
      </c>
    </row>
    <row r="33" spans="1:22" ht="12.75" customHeight="1">
      <c r="A33" s="380">
        <v>18</v>
      </c>
      <c r="B33" s="604">
        <v>9.35E-2</v>
      </c>
      <c r="C33" s="597" t="s">
        <v>525</v>
      </c>
      <c r="D33" s="597"/>
      <c r="E33" s="599"/>
      <c r="F33" s="619">
        <v>9.35E-2</v>
      </c>
      <c r="G33" s="567">
        <v>4000000</v>
      </c>
      <c r="H33" s="621">
        <v>4000000</v>
      </c>
      <c r="I33" s="621">
        <v>4000000</v>
      </c>
      <c r="J33" s="621">
        <v>4000000</v>
      </c>
      <c r="K33" s="621">
        <v>4000000</v>
      </c>
      <c r="L33" s="621">
        <v>4000000</v>
      </c>
      <c r="M33" s="621">
        <v>4000000</v>
      </c>
      <c r="N33" s="621">
        <v>4000000</v>
      </c>
      <c r="O33" s="621">
        <v>4000000</v>
      </c>
      <c r="P33" s="621">
        <v>4000000</v>
      </c>
      <c r="Q33" s="621">
        <v>4000000</v>
      </c>
      <c r="R33" s="621">
        <v>4000000</v>
      </c>
      <c r="S33" s="621">
        <v>4000000</v>
      </c>
      <c r="T33" s="598">
        <f>AVERAGE(G33:S33)</f>
        <v>4000000</v>
      </c>
      <c r="U33" s="552">
        <f t="shared" si="6"/>
        <v>374000</v>
      </c>
    </row>
    <row r="34" spans="1:22" ht="12.75" customHeight="1">
      <c r="A34" s="380">
        <v>19</v>
      </c>
      <c r="B34" s="844" t="s">
        <v>526</v>
      </c>
      <c r="C34" s="845"/>
      <c r="D34" s="515"/>
      <c r="E34" s="601"/>
      <c r="F34" s="603"/>
      <c r="G34" s="564">
        <v>15500000</v>
      </c>
      <c r="H34" s="564">
        <v>15500000</v>
      </c>
      <c r="I34" s="564">
        <v>15500000</v>
      </c>
      <c r="J34" s="564">
        <v>15500000</v>
      </c>
      <c r="K34" s="564">
        <v>15500000</v>
      </c>
      <c r="L34" s="564">
        <v>15500000</v>
      </c>
      <c r="M34" s="564">
        <v>15500000</v>
      </c>
      <c r="N34" s="564">
        <v>15500000</v>
      </c>
      <c r="O34" s="564">
        <v>15500000</v>
      </c>
      <c r="P34" s="564">
        <v>15500000</v>
      </c>
      <c r="Q34" s="564">
        <v>15500000</v>
      </c>
      <c r="R34" s="564">
        <v>15500000</v>
      </c>
      <c r="S34" s="564">
        <v>15500000</v>
      </c>
      <c r="T34" s="564">
        <v>15500000.022699999</v>
      </c>
      <c r="U34" s="563">
        <f>SUM(U29:U33)</f>
        <v>1102650</v>
      </c>
    </row>
    <row r="35" spans="1:22" ht="12.75" customHeight="1">
      <c r="A35" s="380">
        <v>20</v>
      </c>
      <c r="B35" s="584"/>
      <c r="C35" s="585"/>
      <c r="D35" s="585"/>
      <c r="E35" s="605"/>
      <c r="F35" s="574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</row>
    <row r="36" spans="1:22" ht="12.75" customHeight="1">
      <c r="A36" s="380">
        <v>21</v>
      </c>
      <c r="B36" s="866" t="s">
        <v>74</v>
      </c>
      <c r="C36" s="867"/>
      <c r="D36" s="506"/>
      <c r="E36" s="575"/>
      <c r="F36" s="622"/>
      <c r="G36" s="566">
        <f>G34+G26+G21</f>
        <v>335695000</v>
      </c>
      <c r="H36" s="566">
        <f t="shared" ref="H36:T36" si="8">H34+H26+H21</f>
        <v>335695000</v>
      </c>
      <c r="I36" s="566">
        <f t="shared" si="8"/>
        <v>335695000</v>
      </c>
      <c r="J36" s="566">
        <f t="shared" si="8"/>
        <v>335695000</v>
      </c>
      <c r="K36" s="566">
        <f t="shared" si="8"/>
        <v>335695000</v>
      </c>
      <c r="L36" s="566">
        <f t="shared" si="8"/>
        <v>335695000</v>
      </c>
      <c r="M36" s="566">
        <f t="shared" si="8"/>
        <v>335695000</v>
      </c>
      <c r="N36" s="566">
        <f t="shared" si="8"/>
        <v>335695000</v>
      </c>
      <c r="O36" s="566">
        <f t="shared" si="8"/>
        <v>335695000</v>
      </c>
      <c r="P36" s="566">
        <f t="shared" si="8"/>
        <v>335695000</v>
      </c>
      <c r="Q36" s="566">
        <f t="shared" si="8"/>
        <v>335695000</v>
      </c>
      <c r="R36" s="566">
        <f t="shared" si="8"/>
        <v>335695000</v>
      </c>
      <c r="S36" s="566">
        <f t="shared" si="8"/>
        <v>335695000</v>
      </c>
      <c r="T36" s="566">
        <f t="shared" si="8"/>
        <v>335695000.02270001</v>
      </c>
      <c r="U36" s="566">
        <f>U34+U26+U21</f>
        <v>18515327.5</v>
      </c>
    </row>
    <row r="37" spans="1:22" ht="12.75" customHeight="1">
      <c r="A37" s="380">
        <v>22</v>
      </c>
      <c r="B37" s="596"/>
      <c r="C37" s="588"/>
      <c r="D37" s="588"/>
      <c r="E37" s="576"/>
      <c r="F37" s="576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64"/>
      <c r="S37" s="564"/>
      <c r="T37" s="551"/>
      <c r="U37" s="551"/>
    </row>
    <row r="38" spans="1:22" ht="12.75" customHeight="1">
      <c r="A38" s="404">
        <f t="shared" ref="A38:A43" si="9">A37+1</f>
        <v>23</v>
      </c>
      <c r="B38" s="853" t="s">
        <v>527</v>
      </c>
      <c r="C38" s="854"/>
      <c r="D38" s="854"/>
      <c r="E38" s="597"/>
      <c r="F38" s="680"/>
      <c r="G38" s="744">
        <v>-5628775.7422642196</v>
      </c>
      <c r="H38" s="747">
        <v>-5569274.7988537196</v>
      </c>
      <c r="I38" s="747">
        <v>-5509773.8554432103</v>
      </c>
      <c r="J38" s="747">
        <v>-5450272.9120327001</v>
      </c>
      <c r="K38" s="747">
        <v>-5390771.9686221899</v>
      </c>
      <c r="L38" s="747">
        <v>-5331271.02521169</v>
      </c>
      <c r="M38" s="747">
        <v>-5271770.0818011798</v>
      </c>
      <c r="N38" s="747">
        <v>-5212269.1383906696</v>
      </c>
      <c r="O38" s="747">
        <v>-5152768.1949801603</v>
      </c>
      <c r="P38" s="747">
        <v>-5093267.2515696604</v>
      </c>
      <c r="Q38" s="747">
        <v>-5033766.3081591502</v>
      </c>
      <c r="R38" s="747">
        <v>-4974265.36474864</v>
      </c>
      <c r="S38" s="747">
        <v>-4914764.4213381298</v>
      </c>
      <c r="T38" s="552">
        <f>AVERAGE(G38:S38)</f>
        <v>-5271770.0818011779</v>
      </c>
      <c r="U38" s="679">
        <v>714011</v>
      </c>
      <c r="V38" s="722"/>
    </row>
    <row r="39" spans="1:22" ht="12.75" customHeight="1">
      <c r="A39" s="380">
        <f t="shared" si="9"/>
        <v>24</v>
      </c>
      <c r="B39" s="675"/>
      <c r="C39" s="597"/>
      <c r="D39" s="597"/>
      <c r="E39" s="599"/>
      <c r="F39" s="676"/>
      <c r="G39" s="677"/>
      <c r="H39" s="677"/>
      <c r="I39" s="677"/>
      <c r="J39" s="677"/>
      <c r="K39" s="677"/>
      <c r="L39" s="677"/>
      <c r="M39" s="677"/>
      <c r="N39" s="365"/>
      <c r="O39" s="678"/>
      <c r="P39" s="369"/>
      <c r="Q39" s="678"/>
      <c r="R39" s="678"/>
      <c r="S39" s="678"/>
      <c r="T39" s="678"/>
      <c r="U39" s="678"/>
    </row>
    <row r="40" spans="1:22" ht="12.75" customHeight="1">
      <c r="A40" s="380">
        <f t="shared" si="9"/>
        <v>25</v>
      </c>
      <c r="B40" s="675" t="s">
        <v>535</v>
      </c>
      <c r="C40" s="597"/>
      <c r="D40" s="597"/>
      <c r="E40" s="599"/>
      <c r="F40" s="676"/>
      <c r="G40" s="681">
        <f>-G38</f>
        <v>5628775.7422642196</v>
      </c>
      <c r="H40" s="681">
        <f t="shared" ref="H40:T40" si="10">-H38</f>
        <v>5569274.7988537196</v>
      </c>
      <c r="I40" s="681">
        <f t="shared" si="10"/>
        <v>5509773.8554432103</v>
      </c>
      <c r="J40" s="681">
        <f t="shared" si="10"/>
        <v>5450272.9120327001</v>
      </c>
      <c r="K40" s="681">
        <f t="shared" si="10"/>
        <v>5390771.9686221899</v>
      </c>
      <c r="L40" s="681">
        <f t="shared" si="10"/>
        <v>5331271.02521169</v>
      </c>
      <c r="M40" s="681">
        <f t="shared" si="10"/>
        <v>5271770.0818011798</v>
      </c>
      <c r="N40" s="681">
        <f t="shared" si="10"/>
        <v>5212269.1383906696</v>
      </c>
      <c r="O40" s="681">
        <f t="shared" si="10"/>
        <v>5152768.1949801603</v>
      </c>
      <c r="P40" s="681">
        <f t="shared" si="10"/>
        <v>5093267.2515696604</v>
      </c>
      <c r="Q40" s="681">
        <f t="shared" si="10"/>
        <v>5033766.3081591502</v>
      </c>
      <c r="R40" s="681">
        <f t="shared" si="10"/>
        <v>4974265.36474864</v>
      </c>
      <c r="S40" s="681">
        <f t="shared" si="10"/>
        <v>4914764.4213381298</v>
      </c>
      <c r="T40" s="681">
        <f t="shared" si="10"/>
        <v>5271770.0818011779</v>
      </c>
      <c r="U40" s="681">
        <v>0</v>
      </c>
    </row>
    <row r="41" spans="1:22" ht="12.75" customHeight="1">
      <c r="A41" s="380">
        <f t="shared" si="9"/>
        <v>26</v>
      </c>
      <c r="B41" s="675"/>
      <c r="C41" s="597"/>
      <c r="D41" s="597"/>
      <c r="E41" s="599"/>
      <c r="F41" s="676"/>
      <c r="G41" s="677"/>
      <c r="H41" s="677"/>
      <c r="I41" s="677"/>
      <c r="J41" s="677"/>
      <c r="K41" s="677"/>
      <c r="L41" s="677"/>
      <c r="M41" s="677"/>
      <c r="N41" s="678"/>
      <c r="O41" s="678"/>
      <c r="P41" s="678"/>
      <c r="Q41" s="678"/>
      <c r="R41" s="678"/>
      <c r="S41" s="678"/>
      <c r="T41" s="678"/>
      <c r="U41" s="678"/>
    </row>
    <row r="42" spans="1:22" ht="12.75" customHeight="1">
      <c r="A42" s="380">
        <f t="shared" si="9"/>
        <v>27</v>
      </c>
      <c r="B42" s="569"/>
      <c r="C42" s="600"/>
      <c r="D42" s="600"/>
      <c r="E42" s="577"/>
      <c r="F42" s="577"/>
      <c r="G42" s="558"/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9"/>
      <c r="T42" s="560"/>
      <c r="U42" s="557"/>
    </row>
    <row r="43" spans="1:22" ht="12.75" customHeight="1">
      <c r="A43" s="380">
        <f t="shared" si="9"/>
        <v>28</v>
      </c>
      <c r="B43" s="850" t="s">
        <v>99</v>
      </c>
      <c r="C43" s="851"/>
      <c r="D43" s="851"/>
      <c r="E43" s="852"/>
      <c r="F43" s="623"/>
      <c r="G43" s="608">
        <f>G36+G38+G40</f>
        <v>335695000</v>
      </c>
      <c r="H43" s="608">
        <f t="shared" ref="H43:T43" si="11">H36+H38+H40</f>
        <v>335695000</v>
      </c>
      <c r="I43" s="608">
        <f t="shared" si="11"/>
        <v>335695000</v>
      </c>
      <c r="J43" s="608">
        <f t="shared" si="11"/>
        <v>335695000</v>
      </c>
      <c r="K43" s="608">
        <f t="shared" si="11"/>
        <v>335695000</v>
      </c>
      <c r="L43" s="608">
        <f t="shared" si="11"/>
        <v>335695000</v>
      </c>
      <c r="M43" s="608">
        <f t="shared" si="11"/>
        <v>335695000</v>
      </c>
      <c r="N43" s="608">
        <f t="shared" si="11"/>
        <v>335695000</v>
      </c>
      <c r="O43" s="608">
        <f t="shared" si="11"/>
        <v>335695000</v>
      </c>
      <c r="P43" s="608">
        <f t="shared" si="11"/>
        <v>335695000</v>
      </c>
      <c r="Q43" s="608">
        <f t="shared" si="11"/>
        <v>335695000</v>
      </c>
      <c r="R43" s="608">
        <f t="shared" si="11"/>
        <v>335695000</v>
      </c>
      <c r="S43" s="608">
        <f t="shared" si="11"/>
        <v>335695000</v>
      </c>
      <c r="T43" s="627">
        <f t="shared" si="11"/>
        <v>335695000.02270001</v>
      </c>
      <c r="U43" s="627">
        <f>U36+U38+U40</f>
        <v>19229338.5</v>
      </c>
    </row>
    <row r="44" spans="1:22" ht="12.75" customHeight="1">
      <c r="I44" s="520"/>
    </row>
    <row r="45" spans="1:22" ht="12.75" customHeight="1">
      <c r="I45" s="520"/>
    </row>
    <row r="46" spans="1:22" ht="12.75" customHeight="1">
      <c r="I46" s="520"/>
      <c r="O46" s="550"/>
    </row>
    <row r="55" spans="19:19" ht="12.75" customHeight="1">
      <c r="S55" s="533"/>
    </row>
  </sheetData>
  <mergeCells count="18">
    <mergeCell ref="B34:C34"/>
    <mergeCell ref="B15:E15"/>
    <mergeCell ref="B9:E9"/>
    <mergeCell ref="B43:E43"/>
    <mergeCell ref="B38:D38"/>
    <mergeCell ref="B26:C26"/>
    <mergeCell ref="B21:C21"/>
    <mergeCell ref="B13:E13"/>
    <mergeCell ref="B25:C25"/>
    <mergeCell ref="B24:C24"/>
    <mergeCell ref="B23:C23"/>
    <mergeCell ref="B36:C36"/>
    <mergeCell ref="B29:C29"/>
    <mergeCell ref="A3:R3"/>
    <mergeCell ref="A5:R5"/>
    <mergeCell ref="A6:R6"/>
    <mergeCell ref="A7:R7"/>
    <mergeCell ref="G12:S12"/>
  </mergeCells>
  <printOptions horizontalCentered="1"/>
  <pageMargins left="0.25" right="0.25" top="0.5" bottom="0.5" header="0.5" footer="0.36"/>
  <pageSetup scale="46" orientation="landscape" r:id="rId1"/>
  <headerFooter alignWithMargins="0">
    <oddHeader>&amp;R&amp;"Arial,Regular"&amp;10Attachment O Work Paper
Page 19 of 20</oddHeader>
  </headerFooter>
  <colBreaks count="1" manualBreakCount="1">
    <brk id="18" max="104857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S31"/>
  <sheetViews>
    <sheetView showGridLines="0" workbookViewId="0">
      <selection activeCell="K28" sqref="K28"/>
    </sheetView>
  </sheetViews>
  <sheetFormatPr defaultRowHeight="12.75"/>
  <cols>
    <col min="1" max="1" width="3.6640625" style="376" customWidth="1"/>
    <col min="2" max="2" width="3.88671875" style="356" bestFit="1" customWidth="1"/>
    <col min="3" max="3" width="4.109375" style="376" customWidth="1"/>
    <col min="4" max="4" width="3.33203125" style="376" customWidth="1"/>
    <col min="5" max="5" width="4.109375" style="376" customWidth="1"/>
    <col min="6" max="6" width="4.21875" style="376" customWidth="1"/>
    <col min="7" max="7" width="3.88671875" style="376" bestFit="1" customWidth="1"/>
    <col min="8" max="8" width="4.44140625" style="376" customWidth="1"/>
    <col min="9" max="9" width="5.44140625" style="376" bestFit="1" customWidth="1"/>
    <col min="10" max="10" width="5" style="376" customWidth="1"/>
    <col min="11" max="11" width="10" style="419" bestFit="1" customWidth="1"/>
    <col min="12" max="12" width="2.44140625" style="356" bestFit="1" customWidth="1"/>
    <col min="13" max="16384" width="8.88671875" style="356"/>
  </cols>
  <sheetData>
    <row r="3" spans="1:19">
      <c r="A3" s="824" t="s">
        <v>0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421"/>
      <c r="M3" s="421"/>
      <c r="N3" s="421"/>
      <c r="O3" s="421"/>
      <c r="P3" s="421"/>
      <c r="Q3" s="421"/>
      <c r="R3" s="421"/>
      <c r="S3" s="421"/>
    </row>
    <row r="4" spans="1:19">
      <c r="A4" s="824" t="s">
        <v>479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421"/>
      <c r="M4" s="421"/>
      <c r="N4" s="421"/>
      <c r="O4" s="421"/>
      <c r="P4" s="421"/>
      <c r="Q4" s="421"/>
      <c r="R4" s="421"/>
      <c r="S4" s="421"/>
    </row>
    <row r="5" spans="1:19">
      <c r="A5" s="827" t="str">
        <f>'Page 13 - Depr Exp'!A5:G5</f>
        <v>Budget Year Ending December 31, 2013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422"/>
      <c r="M5" s="422"/>
      <c r="N5" s="422"/>
      <c r="O5" s="422"/>
      <c r="P5" s="422"/>
      <c r="Q5" s="422"/>
      <c r="R5" s="422"/>
      <c r="S5" s="422"/>
    </row>
    <row r="6" spans="1:19">
      <c r="B6" s="376"/>
      <c r="K6" s="420"/>
      <c r="L6" s="376"/>
      <c r="M6" s="376"/>
      <c r="N6" s="376"/>
      <c r="O6" s="376"/>
      <c r="P6" s="376"/>
      <c r="Q6" s="376"/>
      <c r="R6" s="376"/>
    </row>
    <row r="7" spans="1:19">
      <c r="B7" s="870" t="s">
        <v>1</v>
      </c>
      <c r="C7" s="870"/>
      <c r="D7" s="870"/>
      <c r="E7" s="870"/>
      <c r="F7" s="870"/>
      <c r="G7" s="870"/>
      <c r="H7" s="870"/>
      <c r="I7" s="870"/>
      <c r="J7" s="870"/>
      <c r="K7" s="376" t="s">
        <v>2</v>
      </c>
      <c r="M7" s="794"/>
    </row>
    <row r="9" spans="1:19">
      <c r="A9" s="379" t="s">
        <v>8</v>
      </c>
      <c r="B9" s="357"/>
      <c r="C9" s="425"/>
      <c r="D9" s="425"/>
      <c r="E9" s="425"/>
      <c r="F9" s="425"/>
      <c r="G9" s="425"/>
      <c r="H9" s="425"/>
      <c r="I9" s="425"/>
      <c r="J9" s="425"/>
      <c r="K9" s="423"/>
    </row>
    <row r="10" spans="1:19">
      <c r="A10" s="381" t="s">
        <v>10</v>
      </c>
      <c r="B10" s="372"/>
      <c r="C10" s="385"/>
      <c r="D10" s="385"/>
      <c r="E10" s="385"/>
      <c r="F10" s="385"/>
      <c r="G10" s="385"/>
      <c r="H10" s="385"/>
      <c r="I10" s="385"/>
      <c r="J10" s="385"/>
      <c r="K10" s="424" t="s">
        <v>69</v>
      </c>
    </row>
    <row r="11" spans="1:19">
      <c r="A11" s="379">
        <v>1</v>
      </c>
      <c r="B11" s="876" t="s">
        <v>485</v>
      </c>
      <c r="C11" s="877"/>
      <c r="D11" s="877"/>
      <c r="E11" s="877"/>
      <c r="F11" s="877"/>
      <c r="G11" s="877"/>
      <c r="H11" s="877"/>
      <c r="I11" s="877"/>
      <c r="J11" s="877"/>
      <c r="K11" s="359"/>
    </row>
    <row r="12" spans="1:19">
      <c r="A12" s="380">
        <f t="shared" ref="A12:A28" si="0">+A11+1</f>
        <v>2</v>
      </c>
      <c r="B12" s="429" t="s">
        <v>466</v>
      </c>
      <c r="C12" s="430" t="s">
        <v>470</v>
      </c>
      <c r="D12" s="430" t="s">
        <v>396</v>
      </c>
      <c r="E12" s="430" t="s">
        <v>397</v>
      </c>
      <c r="F12" s="430" t="s">
        <v>467</v>
      </c>
      <c r="G12" s="430" t="s">
        <v>398</v>
      </c>
      <c r="H12" s="430" t="s">
        <v>468</v>
      </c>
      <c r="I12" s="430" t="s">
        <v>469</v>
      </c>
      <c r="J12" s="430" t="s">
        <v>33</v>
      </c>
      <c r="K12" s="428"/>
    </row>
    <row r="13" spans="1:19" ht="13.5" thickBot="1">
      <c r="A13" s="380">
        <f t="shared" si="0"/>
        <v>3</v>
      </c>
      <c r="B13" s="632">
        <v>2012</v>
      </c>
      <c r="C13" s="426" t="s">
        <v>400</v>
      </c>
      <c r="D13" s="383" t="s">
        <v>405</v>
      </c>
      <c r="E13" s="383" t="s">
        <v>414</v>
      </c>
      <c r="F13" s="383" t="s">
        <v>483</v>
      </c>
      <c r="G13" s="383" t="s">
        <v>484</v>
      </c>
      <c r="H13" s="383" t="s">
        <v>414</v>
      </c>
      <c r="I13" s="383" t="s">
        <v>404</v>
      </c>
      <c r="J13" s="383" t="s">
        <v>484</v>
      </c>
      <c r="K13" s="438">
        <v>87404</v>
      </c>
    </row>
    <row r="14" spans="1:19" ht="13.5" thickTop="1">
      <c r="A14" s="380">
        <f t="shared" si="0"/>
        <v>4</v>
      </c>
      <c r="B14" s="365"/>
      <c r="C14" s="426"/>
      <c r="D14" s="426"/>
      <c r="E14" s="426"/>
      <c r="F14" s="426"/>
      <c r="G14" s="426"/>
      <c r="H14" s="426"/>
      <c r="I14" s="426"/>
      <c r="J14" s="426"/>
      <c r="K14" s="369"/>
    </row>
    <row r="15" spans="1:19">
      <c r="A15" s="380">
        <f t="shared" si="0"/>
        <v>5</v>
      </c>
      <c r="B15" s="878" t="s">
        <v>487</v>
      </c>
      <c r="C15" s="879"/>
      <c r="D15" s="879"/>
      <c r="E15" s="879"/>
      <c r="F15" s="879"/>
      <c r="G15" s="879"/>
      <c r="H15" s="879"/>
      <c r="I15" s="879"/>
      <c r="J15" s="879"/>
      <c r="K15" s="369"/>
    </row>
    <row r="16" spans="1:19">
      <c r="A16" s="380">
        <f t="shared" si="0"/>
        <v>6</v>
      </c>
      <c r="B16" s="871" t="s">
        <v>480</v>
      </c>
      <c r="C16" s="872"/>
      <c r="D16" s="872"/>
      <c r="E16" s="872"/>
      <c r="F16" s="872"/>
      <c r="G16" s="872"/>
      <c r="H16" s="872"/>
      <c r="I16" s="872"/>
      <c r="J16" s="872"/>
      <c r="K16" s="427">
        <v>3790190</v>
      </c>
    </row>
    <row r="17" spans="1:12">
      <c r="A17" s="380">
        <f t="shared" si="0"/>
        <v>7</v>
      </c>
      <c r="B17" s="871" t="s">
        <v>481</v>
      </c>
      <c r="C17" s="872"/>
      <c r="D17" s="872"/>
      <c r="E17" s="872"/>
      <c r="F17" s="872"/>
      <c r="G17" s="872"/>
      <c r="H17" s="872"/>
      <c r="I17" s="872"/>
      <c r="J17" s="872"/>
      <c r="K17" s="427">
        <v>381118</v>
      </c>
    </row>
    <row r="18" spans="1:12">
      <c r="A18" s="380">
        <f t="shared" si="0"/>
        <v>8</v>
      </c>
      <c r="B18" s="871" t="s">
        <v>482</v>
      </c>
      <c r="C18" s="872"/>
      <c r="D18" s="872"/>
      <c r="E18" s="872"/>
      <c r="F18" s="872"/>
      <c r="G18" s="872"/>
      <c r="H18" s="872"/>
      <c r="I18" s="872"/>
      <c r="J18" s="872"/>
      <c r="K18" s="628">
        <f>23759226</f>
        <v>23759226</v>
      </c>
    </row>
    <row r="19" spans="1:12">
      <c r="A19" s="380">
        <f t="shared" si="0"/>
        <v>9</v>
      </c>
      <c r="B19" s="871" t="s">
        <v>486</v>
      </c>
      <c r="C19" s="872"/>
      <c r="D19" s="872"/>
      <c r="E19" s="872"/>
      <c r="F19" s="872"/>
      <c r="G19" s="872"/>
      <c r="H19" s="872"/>
      <c r="I19" s="872"/>
      <c r="J19" s="872"/>
      <c r="K19" s="412">
        <f>305114+526528</f>
        <v>831642</v>
      </c>
      <c r="L19" s="411"/>
    </row>
    <row r="20" spans="1:12">
      <c r="A20" s="380">
        <f t="shared" si="0"/>
        <v>10</v>
      </c>
      <c r="B20" s="874" t="s">
        <v>488</v>
      </c>
      <c r="C20" s="875"/>
      <c r="D20" s="875"/>
      <c r="E20" s="875"/>
      <c r="F20" s="875"/>
      <c r="G20" s="875"/>
      <c r="H20" s="875"/>
      <c r="I20" s="875"/>
      <c r="J20" s="875"/>
      <c r="K20" s="439">
        <f>+SUM(K16:K18)-K19</f>
        <v>27098892</v>
      </c>
    </row>
    <row r="21" spans="1:12">
      <c r="A21" s="380">
        <f t="shared" si="0"/>
        <v>11</v>
      </c>
      <c r="B21" s="365"/>
      <c r="C21" s="383"/>
      <c r="D21" s="383"/>
      <c r="E21" s="383"/>
      <c r="F21" s="383"/>
      <c r="G21" s="383"/>
      <c r="H21" s="383"/>
      <c r="I21" s="383"/>
      <c r="J21" s="383"/>
      <c r="K21" s="427"/>
    </row>
    <row r="22" spans="1:12">
      <c r="A22" s="380">
        <f t="shared" si="0"/>
        <v>12</v>
      </c>
      <c r="B22" s="365" t="s">
        <v>528</v>
      </c>
      <c r="C22" s="383"/>
      <c r="D22" s="383"/>
      <c r="E22" s="383"/>
      <c r="F22" s="383"/>
      <c r="G22" s="383"/>
      <c r="H22" s="383"/>
      <c r="I22" s="383"/>
      <c r="J22" s="383"/>
      <c r="K22" s="427"/>
    </row>
    <row r="23" spans="1:12">
      <c r="A23" s="380">
        <f>+A25+1</f>
        <v>15</v>
      </c>
      <c r="B23" s="871" t="s">
        <v>481</v>
      </c>
      <c r="C23" s="872"/>
      <c r="D23" s="872"/>
      <c r="E23" s="872"/>
      <c r="F23" s="872"/>
      <c r="G23" s="872"/>
      <c r="H23" s="872"/>
      <c r="I23" s="872"/>
      <c r="J23" s="872"/>
      <c r="K23" s="439">
        <f>+K17</f>
        <v>381118</v>
      </c>
    </row>
    <row r="24" spans="1:12">
      <c r="A24" s="380">
        <f>+A22+1</f>
        <v>13</v>
      </c>
      <c r="B24" s="360" t="s">
        <v>529</v>
      </c>
      <c r="C24" s="383"/>
      <c r="D24" s="383"/>
      <c r="E24" s="383"/>
      <c r="F24" s="383"/>
      <c r="G24" s="383"/>
      <c r="H24" s="383"/>
      <c r="I24" s="383"/>
      <c r="J24" s="383"/>
      <c r="K24" s="629">
        <v>15886668</v>
      </c>
      <c r="L24" s="781"/>
    </row>
    <row r="25" spans="1:12">
      <c r="A25" s="380">
        <f t="shared" si="0"/>
        <v>14</v>
      </c>
      <c r="B25" s="740" t="s">
        <v>578</v>
      </c>
      <c r="C25" s="383"/>
      <c r="D25" s="383"/>
      <c r="E25" s="383"/>
      <c r="F25" s="383"/>
      <c r="G25" s="383"/>
      <c r="H25" s="383"/>
      <c r="I25" s="383"/>
      <c r="J25" s="383"/>
      <c r="K25" s="783">
        <v>3590106</v>
      </c>
      <c r="L25" s="771"/>
    </row>
    <row r="26" spans="1:12">
      <c r="A26" s="380">
        <f>+A23+1</f>
        <v>16</v>
      </c>
      <c r="B26" s="360"/>
      <c r="C26" s="361"/>
      <c r="D26" s="361"/>
      <c r="E26" s="361"/>
      <c r="F26" s="361"/>
      <c r="G26" s="361"/>
      <c r="H26" s="361"/>
      <c r="I26" s="361"/>
      <c r="J26" s="361"/>
      <c r="K26" s="628">
        <f>SUM(K23:K25)</f>
        <v>19857892</v>
      </c>
    </row>
    <row r="27" spans="1:12">
      <c r="A27" s="380">
        <f t="shared" si="0"/>
        <v>17</v>
      </c>
      <c r="B27" s="365"/>
      <c r="C27" s="383"/>
      <c r="D27" s="383"/>
      <c r="E27" s="383"/>
      <c r="F27" s="383"/>
      <c r="G27" s="383"/>
      <c r="H27" s="383"/>
      <c r="I27" s="383"/>
      <c r="J27" s="383"/>
      <c r="K27" s="427"/>
    </row>
    <row r="28" spans="1:12" ht="13.5" thickBot="1">
      <c r="A28" s="380">
        <f t="shared" si="0"/>
        <v>18</v>
      </c>
      <c r="B28" s="874" t="s">
        <v>530</v>
      </c>
      <c r="C28" s="875"/>
      <c r="D28" s="875"/>
      <c r="E28" s="875"/>
      <c r="F28" s="875"/>
      <c r="G28" s="875"/>
      <c r="H28" s="875"/>
      <c r="I28" s="875"/>
      <c r="J28" s="875"/>
      <c r="K28" s="431">
        <f>+K20-K26</f>
        <v>7241000</v>
      </c>
    </row>
    <row r="29" spans="1:12" ht="13.5" thickTop="1">
      <c r="A29" s="381"/>
      <c r="B29" s="372"/>
      <c r="C29" s="385"/>
      <c r="D29" s="385"/>
      <c r="E29" s="385"/>
      <c r="F29" s="385"/>
      <c r="G29" s="385"/>
      <c r="H29" s="385"/>
      <c r="I29" s="385"/>
      <c r="J29" s="385"/>
      <c r="K29" s="412"/>
    </row>
    <row r="31" spans="1:12">
      <c r="B31" s="873"/>
      <c r="C31" s="873"/>
      <c r="D31" s="873"/>
      <c r="E31" s="873"/>
      <c r="F31" s="873"/>
      <c r="G31" s="873"/>
      <c r="H31" s="873"/>
      <c r="I31" s="873"/>
      <c r="J31" s="873"/>
      <c r="K31" s="873"/>
    </row>
  </sheetData>
  <mergeCells count="14">
    <mergeCell ref="B31:K31"/>
    <mergeCell ref="B20:J20"/>
    <mergeCell ref="B28:J28"/>
    <mergeCell ref="B11:J11"/>
    <mergeCell ref="B15:J15"/>
    <mergeCell ref="B16:J16"/>
    <mergeCell ref="B17:J17"/>
    <mergeCell ref="B18:J18"/>
    <mergeCell ref="B19:J19"/>
    <mergeCell ref="A3:K3"/>
    <mergeCell ref="A4:K4"/>
    <mergeCell ref="A5:K5"/>
    <mergeCell ref="B7:J7"/>
    <mergeCell ref="B23:J23"/>
  </mergeCells>
  <printOptions horizontalCentered="1"/>
  <pageMargins left="0.75" right="0.75" top="0.75" bottom="0.75" header="0.5" footer="0.5"/>
  <pageSetup orientation="portrait" r:id="rId1"/>
  <headerFooter>
    <oddHeader>&amp;R&amp;"Arial,Regular"&amp;10Attachment O Work Paper
Page 20 of 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workbookViewId="0">
      <pane xSplit="4" ySplit="8" topLeftCell="G9" activePane="bottomRight" state="frozen"/>
      <selection pane="topRight" activeCell="E1" sqref="E1"/>
      <selection pane="bottomLeft" activeCell="A9" sqref="A9"/>
      <selection pane="bottomRight" activeCell="O51" sqref="O51"/>
    </sheetView>
  </sheetViews>
  <sheetFormatPr defaultRowHeight="12.75"/>
  <cols>
    <col min="1" max="1" width="3.44140625" style="356" bestFit="1" customWidth="1"/>
    <col min="2" max="2" width="6.21875" style="356" bestFit="1" customWidth="1"/>
    <col min="3" max="3" width="6.77734375" style="356" customWidth="1"/>
    <col min="4" max="4" width="36.109375" style="356" customWidth="1"/>
    <col min="5" max="17" width="11.21875" style="356" customWidth="1"/>
    <col min="18" max="18" width="13" style="356" customWidth="1"/>
    <col min="19" max="19" width="12.33203125" style="356" bestFit="1" customWidth="1"/>
    <col min="20" max="16384" width="8.88671875" style="356"/>
  </cols>
  <sheetData>
    <row r="1" spans="1:18">
      <c r="A1" s="880" t="s">
        <v>536</v>
      </c>
      <c r="B1" s="880"/>
      <c r="C1" s="880"/>
      <c r="D1" s="880"/>
      <c r="R1" s="682"/>
    </row>
    <row r="2" spans="1:18">
      <c r="A2" s="880" t="s">
        <v>537</v>
      </c>
      <c r="B2" s="880"/>
      <c r="C2" s="880"/>
      <c r="D2" s="880"/>
      <c r="R2" s="682"/>
    </row>
    <row r="3" spans="1:18">
      <c r="A3" s="880" t="s">
        <v>562</v>
      </c>
      <c r="B3" s="880"/>
      <c r="C3" s="880"/>
      <c r="D3" s="880"/>
      <c r="R3" s="682"/>
    </row>
    <row r="4" spans="1:18">
      <c r="A4" s="880"/>
      <c r="B4" s="880"/>
      <c r="C4" s="880"/>
      <c r="D4" s="880"/>
      <c r="Q4" s="794"/>
      <c r="R4" s="682"/>
    </row>
    <row r="7" spans="1:18">
      <c r="A7" s="379" t="s">
        <v>8</v>
      </c>
      <c r="B7" s="357"/>
      <c r="C7" s="358"/>
      <c r="D7" s="359"/>
      <c r="E7" s="683">
        <v>2013</v>
      </c>
      <c r="F7" s="684">
        <f t="shared" ref="F7:P7" si="0">$E$7</f>
        <v>2013</v>
      </c>
      <c r="G7" s="684">
        <f t="shared" si="0"/>
        <v>2013</v>
      </c>
      <c r="H7" s="684">
        <f t="shared" si="0"/>
        <v>2013</v>
      </c>
      <c r="I7" s="684">
        <f t="shared" si="0"/>
        <v>2013</v>
      </c>
      <c r="J7" s="684">
        <f t="shared" si="0"/>
        <v>2013</v>
      </c>
      <c r="K7" s="684">
        <f t="shared" si="0"/>
        <v>2013</v>
      </c>
      <c r="L7" s="684">
        <f t="shared" si="0"/>
        <v>2013</v>
      </c>
      <c r="M7" s="684">
        <f t="shared" si="0"/>
        <v>2013</v>
      </c>
      <c r="N7" s="684">
        <f t="shared" si="0"/>
        <v>2013</v>
      </c>
      <c r="O7" s="684">
        <f t="shared" si="0"/>
        <v>2013</v>
      </c>
      <c r="P7" s="684">
        <f t="shared" si="0"/>
        <v>2013</v>
      </c>
      <c r="Q7" s="685">
        <f>$E$7</f>
        <v>2013</v>
      </c>
    </row>
    <row r="8" spans="1:18">
      <c r="A8" s="381" t="s">
        <v>10</v>
      </c>
      <c r="B8" s="881" t="s">
        <v>538</v>
      </c>
      <c r="C8" s="882"/>
      <c r="D8" s="686" t="s">
        <v>426</v>
      </c>
      <c r="E8" s="386" t="s">
        <v>428</v>
      </c>
      <c r="F8" s="390" t="s">
        <v>429</v>
      </c>
      <c r="G8" s="390" t="s">
        <v>430</v>
      </c>
      <c r="H8" s="390" t="s">
        <v>431</v>
      </c>
      <c r="I8" s="390" t="s">
        <v>20</v>
      </c>
      <c r="J8" s="390" t="s">
        <v>432</v>
      </c>
      <c r="K8" s="390" t="s">
        <v>433</v>
      </c>
      <c r="L8" s="390" t="s">
        <v>434</v>
      </c>
      <c r="M8" s="390" t="s">
        <v>435</v>
      </c>
      <c r="N8" s="390" t="s">
        <v>436</v>
      </c>
      <c r="O8" s="390" t="s">
        <v>437</v>
      </c>
      <c r="P8" s="390" t="s">
        <v>438</v>
      </c>
      <c r="Q8" s="391" t="s">
        <v>16</v>
      </c>
    </row>
    <row r="9" spans="1:18">
      <c r="A9" s="380">
        <v>1</v>
      </c>
      <c r="B9" s="687" t="s">
        <v>539</v>
      </c>
      <c r="C9" s="366"/>
      <c r="D9" s="688" t="s">
        <v>540</v>
      </c>
      <c r="E9" s="743">
        <v>2808.73</v>
      </c>
      <c r="F9" s="743">
        <v>172.53100000000001</v>
      </c>
      <c r="G9" s="743">
        <v>3672.4749999999999</v>
      </c>
      <c r="H9" s="743">
        <v>1264.9000000000001</v>
      </c>
      <c r="I9" s="743">
        <v>1109.7170000000001</v>
      </c>
      <c r="J9" s="743">
        <v>5010.433</v>
      </c>
      <c r="K9" s="743">
        <v>2406</v>
      </c>
      <c r="L9" s="743">
        <v>2354</v>
      </c>
      <c r="M9" s="743">
        <v>3218</v>
      </c>
      <c r="N9" s="743">
        <v>1540.6232</v>
      </c>
      <c r="O9" s="743">
        <v>375.34800000000001</v>
      </c>
      <c r="P9" s="746">
        <v>-11</v>
      </c>
      <c r="Q9" s="384">
        <f t="shared" ref="Q9:Q16" si="1">SUM(E9:P9)</f>
        <v>23921.757200000004</v>
      </c>
    </row>
    <row r="10" spans="1:18">
      <c r="A10" s="380">
        <f t="shared" ref="A10:A15" si="2">+A9+1</f>
        <v>2</v>
      </c>
      <c r="B10" s="687" t="s">
        <v>541</v>
      </c>
      <c r="C10" s="366"/>
      <c r="D10" s="688" t="s">
        <v>542</v>
      </c>
      <c r="E10" s="749">
        <v>29204.784</v>
      </c>
      <c r="F10" s="749">
        <v>27544.762999999999</v>
      </c>
      <c r="G10" s="749">
        <v>24021.091</v>
      </c>
      <c r="H10" s="749">
        <v>25130.105</v>
      </c>
      <c r="I10" s="749">
        <v>20558.241000000002</v>
      </c>
      <c r="J10" s="749">
        <v>20898.761999999999</v>
      </c>
      <c r="K10" s="749">
        <v>27350.898000000001</v>
      </c>
      <c r="L10" s="749">
        <v>29804.15</v>
      </c>
      <c r="M10" s="749">
        <v>30080.506000000001</v>
      </c>
      <c r="N10" s="749">
        <v>24265.055400000001</v>
      </c>
      <c r="O10" s="749">
        <v>22900.067999999999</v>
      </c>
      <c r="P10" s="749">
        <v>23355.266</v>
      </c>
      <c r="Q10" s="384">
        <f t="shared" si="1"/>
        <v>305113.68939999997</v>
      </c>
    </row>
    <row r="11" spans="1:18">
      <c r="A11" s="380">
        <f t="shared" si="2"/>
        <v>3</v>
      </c>
      <c r="B11" s="687" t="s">
        <v>543</v>
      </c>
      <c r="C11" s="366"/>
      <c r="D11" s="688" t="s">
        <v>544</v>
      </c>
      <c r="E11" s="745">
        <v>46481.885999999999</v>
      </c>
      <c r="F11" s="745">
        <v>49254.593999999997</v>
      </c>
      <c r="G11" s="745">
        <v>43573.383999999998</v>
      </c>
      <c r="H11" s="745">
        <v>45258.180999999997</v>
      </c>
      <c r="I11" s="745">
        <v>37205.108</v>
      </c>
      <c r="J11" s="745">
        <v>37491.601999999999</v>
      </c>
      <c r="K11" s="745">
        <v>45514.965600000003</v>
      </c>
      <c r="L11" s="745">
        <v>49945.31</v>
      </c>
      <c r="M11" s="745">
        <v>52722.531600000002</v>
      </c>
      <c r="N11" s="745">
        <v>40647.894</v>
      </c>
      <c r="O11" s="745">
        <v>39015.917999999998</v>
      </c>
      <c r="P11" s="745">
        <v>39416.603999999999</v>
      </c>
      <c r="Q11" s="384">
        <f t="shared" si="1"/>
        <v>526527.97820000001</v>
      </c>
    </row>
    <row r="12" spans="1:18">
      <c r="A12" s="380">
        <f t="shared" si="2"/>
        <v>4</v>
      </c>
      <c r="B12" s="687" t="s">
        <v>545</v>
      </c>
      <c r="C12" s="366"/>
      <c r="D12" s="688" t="s">
        <v>546</v>
      </c>
      <c r="E12" s="752">
        <v>177500</v>
      </c>
      <c r="F12" s="752">
        <v>180500</v>
      </c>
      <c r="G12" s="752">
        <v>183500</v>
      </c>
      <c r="H12" s="752">
        <v>186500</v>
      </c>
      <c r="I12" s="752">
        <v>189500</v>
      </c>
      <c r="J12" s="752">
        <v>192500</v>
      </c>
      <c r="K12" s="752">
        <v>195500</v>
      </c>
      <c r="L12" s="752">
        <v>198500</v>
      </c>
      <c r="M12" s="752">
        <v>201500</v>
      </c>
      <c r="N12" s="752">
        <v>204500</v>
      </c>
      <c r="O12" s="752">
        <v>207500</v>
      </c>
      <c r="P12" s="752">
        <v>210500</v>
      </c>
      <c r="Q12" s="384">
        <f t="shared" si="1"/>
        <v>2328000</v>
      </c>
    </row>
    <row r="13" spans="1:18">
      <c r="A13" s="380">
        <f t="shared" si="2"/>
        <v>5</v>
      </c>
      <c r="B13" s="687" t="s">
        <v>547</v>
      </c>
      <c r="C13" s="366"/>
      <c r="D13" s="688" t="s">
        <v>548</v>
      </c>
      <c r="E13" s="748">
        <v>62755.519999999997</v>
      </c>
      <c r="F13" s="748">
        <v>22760.667000000001</v>
      </c>
      <c r="G13" s="748">
        <v>23996.127</v>
      </c>
      <c r="H13" s="748">
        <v>35060.341999999997</v>
      </c>
      <c r="I13" s="748">
        <v>20013.129000000001</v>
      </c>
      <c r="J13" s="748">
        <v>18440.044000000002</v>
      </c>
      <c r="K13" s="748">
        <v>18446.153200000001</v>
      </c>
      <c r="L13" s="748">
        <v>26139.890800000001</v>
      </c>
      <c r="M13" s="748">
        <v>30885.346000000001</v>
      </c>
      <c r="N13" s="748">
        <v>23886.160599999999</v>
      </c>
      <c r="O13" s="748">
        <v>31611.592000000001</v>
      </c>
      <c r="P13" s="748">
        <v>40123.764000000003</v>
      </c>
      <c r="Q13" s="384">
        <f t="shared" si="1"/>
        <v>354118.73560000001</v>
      </c>
    </row>
    <row r="14" spans="1:18">
      <c r="A14" s="380">
        <f t="shared" si="2"/>
        <v>6</v>
      </c>
      <c r="B14" s="687" t="s">
        <v>549</v>
      </c>
      <c r="C14" s="366"/>
      <c r="D14" s="688" t="s">
        <v>550</v>
      </c>
      <c r="E14" s="751">
        <v>76434.551999999996</v>
      </c>
      <c r="F14" s="751">
        <v>57957.754999999997</v>
      </c>
      <c r="G14" s="751">
        <v>57771.601000000002</v>
      </c>
      <c r="H14" s="751">
        <v>62240.07</v>
      </c>
      <c r="I14" s="751">
        <v>59688.483</v>
      </c>
      <c r="J14" s="751">
        <v>58894.307000000001</v>
      </c>
      <c r="K14" s="751">
        <v>59477.266000000003</v>
      </c>
      <c r="L14" s="751">
        <v>53470.702799999999</v>
      </c>
      <c r="M14" s="751">
        <v>59410.870799999997</v>
      </c>
      <c r="N14" s="751">
        <v>69958.232199999999</v>
      </c>
      <c r="O14" s="751">
        <v>64378.845999999998</v>
      </c>
      <c r="P14" s="751">
        <v>65086.356</v>
      </c>
      <c r="Q14" s="384">
        <f t="shared" si="1"/>
        <v>744769.04180000012</v>
      </c>
    </row>
    <row r="15" spans="1:18">
      <c r="A15" s="380">
        <f t="shared" si="2"/>
        <v>7</v>
      </c>
      <c r="B15" s="687" t="s">
        <v>551</v>
      </c>
      <c r="C15" s="366"/>
      <c r="D15" s="688" t="s">
        <v>552</v>
      </c>
      <c r="E15" s="786">
        <v>756135</v>
      </c>
      <c r="F15" s="786">
        <v>1375503</v>
      </c>
      <c r="G15" s="786">
        <v>1375503</v>
      </c>
      <c r="H15" s="786">
        <v>1375503</v>
      </c>
      <c r="I15" s="786">
        <v>1375503</v>
      </c>
      <c r="J15" s="786">
        <v>1375503</v>
      </c>
      <c r="K15" s="786">
        <v>1375503</v>
      </c>
      <c r="L15" s="786">
        <v>1375503</v>
      </c>
      <c r="M15" s="786">
        <v>1375503</v>
      </c>
      <c r="N15" s="786">
        <v>1375503</v>
      </c>
      <c r="O15" s="786">
        <v>1375503</v>
      </c>
      <c r="P15" s="786">
        <v>1375503</v>
      </c>
      <c r="Q15" s="384">
        <f t="shared" si="1"/>
        <v>15886668</v>
      </c>
    </row>
    <row r="16" spans="1:18">
      <c r="A16" s="380"/>
      <c r="B16" s="687" t="s">
        <v>579</v>
      </c>
      <c r="C16" s="741"/>
      <c r="D16" s="688" t="s">
        <v>580</v>
      </c>
      <c r="E16" s="786">
        <v>60724.25</v>
      </c>
      <c r="F16" s="786">
        <v>320853</v>
      </c>
      <c r="G16" s="786">
        <v>320853</v>
      </c>
      <c r="H16" s="786">
        <v>320853</v>
      </c>
      <c r="I16" s="786">
        <v>320853</v>
      </c>
      <c r="J16" s="786">
        <v>320853</v>
      </c>
      <c r="K16" s="786">
        <v>320853</v>
      </c>
      <c r="L16" s="786">
        <v>320853</v>
      </c>
      <c r="M16" s="786">
        <v>320853</v>
      </c>
      <c r="N16" s="786">
        <v>320853</v>
      </c>
      <c r="O16" s="786">
        <v>320853</v>
      </c>
      <c r="P16" s="786">
        <v>320853</v>
      </c>
      <c r="Q16" s="395">
        <f t="shared" si="1"/>
        <v>3590107.25</v>
      </c>
    </row>
    <row r="17" spans="1:17">
      <c r="A17" s="371"/>
      <c r="B17" s="372"/>
      <c r="C17" s="373"/>
      <c r="D17" s="374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753"/>
      <c r="P17" s="750" t="s">
        <v>16</v>
      </c>
      <c r="Q17" s="689">
        <f>SUM(Q9:Q16)</f>
        <v>23759226.452199999</v>
      </c>
    </row>
    <row r="26" spans="1:17">
      <c r="N26" s="408"/>
      <c r="P26" s="792"/>
    </row>
    <row r="27" spans="1:17">
      <c r="P27" s="792"/>
    </row>
    <row r="29" spans="1:17">
      <c r="P29" s="793"/>
    </row>
    <row r="30" spans="1:17">
      <c r="P30" s="520"/>
    </row>
  </sheetData>
  <mergeCells count="5">
    <mergeCell ref="A1:D1"/>
    <mergeCell ref="A2:D2"/>
    <mergeCell ref="A3:D3"/>
    <mergeCell ref="A4:D4"/>
    <mergeCell ref="B8:C8"/>
  </mergeCells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3:M145"/>
  <sheetViews>
    <sheetView showGridLines="0" zoomScaleNormal="100" workbookViewId="0">
      <selection activeCell="B28" sqref="B28"/>
    </sheetView>
  </sheetViews>
  <sheetFormatPr defaultRowHeight="12.75"/>
  <cols>
    <col min="1" max="1" width="3.44140625" style="1" bestFit="1" customWidth="1"/>
    <col min="2" max="2" width="18.6640625" style="1" bestFit="1" customWidth="1"/>
    <col min="3" max="6" width="11.77734375" style="1" customWidth="1"/>
    <col min="7" max="8" width="11.77734375" style="1" hidden="1" customWidth="1"/>
    <col min="9" max="9" width="11.77734375" style="1" customWidth="1"/>
    <col min="10" max="11" width="11.5546875" style="1" bestFit="1" customWidth="1"/>
    <col min="12" max="16384" width="8.88671875" style="1"/>
  </cols>
  <sheetData>
    <row r="3" spans="1:10">
      <c r="A3" s="801" t="s">
        <v>0</v>
      </c>
      <c r="B3" s="801"/>
      <c r="C3" s="801"/>
      <c r="D3" s="801"/>
      <c r="E3" s="801"/>
      <c r="F3" s="801"/>
      <c r="G3" s="801"/>
      <c r="H3" s="801"/>
      <c r="I3" s="801"/>
    </row>
    <row r="4" spans="1:10">
      <c r="A4" s="801" t="s">
        <v>583</v>
      </c>
      <c r="B4" s="801"/>
      <c r="C4" s="801"/>
      <c r="D4" s="801"/>
      <c r="E4" s="801"/>
      <c r="F4" s="801"/>
      <c r="G4" s="801"/>
      <c r="H4" s="801"/>
      <c r="I4" s="801"/>
    </row>
    <row r="5" spans="1:10">
      <c r="A5" s="801" t="str">
        <f>'Page 1 - PIS'!A5:G5</f>
        <v>For the 13 Months Ended December 31, 2013</v>
      </c>
      <c r="B5" s="801"/>
      <c r="C5" s="801"/>
      <c r="D5" s="801"/>
      <c r="E5" s="801"/>
      <c r="F5" s="801"/>
      <c r="G5" s="801"/>
      <c r="H5" s="801"/>
      <c r="I5" s="801"/>
      <c r="J5" s="794"/>
    </row>
    <row r="6" spans="1:10">
      <c r="A6" s="2"/>
    </row>
    <row r="7" spans="1:10" s="4" customFormat="1">
      <c r="A7" s="3"/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H7" s="4" t="s">
        <v>6</v>
      </c>
      <c r="I7" s="4" t="s">
        <v>7</v>
      </c>
    </row>
    <row r="9" spans="1:10">
      <c r="A9" s="5" t="s">
        <v>8</v>
      </c>
      <c r="B9" s="6"/>
      <c r="C9" s="7"/>
      <c r="D9" s="8"/>
      <c r="E9" s="9"/>
      <c r="F9" s="7" t="s">
        <v>531</v>
      </c>
      <c r="G9" s="9"/>
      <c r="H9" s="7" t="s">
        <v>9</v>
      </c>
      <c r="I9" s="10"/>
    </row>
    <row r="10" spans="1:10">
      <c r="A10" s="11" t="s">
        <v>10</v>
      </c>
      <c r="B10" s="12" t="s">
        <v>47</v>
      </c>
      <c r="C10" s="13" t="s">
        <v>11</v>
      </c>
      <c r="D10" s="13" t="s">
        <v>12</v>
      </c>
      <c r="E10" s="13" t="s">
        <v>13</v>
      </c>
      <c r="F10" s="13" t="s">
        <v>14</v>
      </c>
      <c r="G10" s="13" t="s">
        <v>14</v>
      </c>
      <c r="H10" s="13" t="s">
        <v>15</v>
      </c>
      <c r="I10" s="14" t="s">
        <v>16</v>
      </c>
    </row>
    <row r="11" spans="1:10">
      <c r="A11" s="5">
        <v>1</v>
      </c>
      <c r="B11" s="15" t="s">
        <v>507</v>
      </c>
      <c r="C11" s="16">
        <v>287517109.5912202</v>
      </c>
      <c r="D11" s="17">
        <v>94739232.4499273</v>
      </c>
      <c r="E11" s="16">
        <v>173470179.22348201</v>
      </c>
      <c r="F11" s="16">
        <v>34101771.843314819</v>
      </c>
      <c r="G11" s="16">
        <v>1615581.06</v>
      </c>
      <c r="H11" s="16">
        <v>337228.18</v>
      </c>
      <c r="I11" s="18">
        <f t="shared" ref="I11:I23" si="0">+SUM(C11:F11)</f>
        <v>589828293.10794425</v>
      </c>
    </row>
    <row r="12" spans="1:10">
      <c r="A12" s="19">
        <f t="shared" ref="A12:A25" si="1">+A11+1</f>
        <v>2</v>
      </c>
      <c r="B12" s="20" t="s">
        <v>508</v>
      </c>
      <c r="C12" s="16">
        <v>289346291.75526887</v>
      </c>
      <c r="D12" s="17">
        <v>95181759.736606702</v>
      </c>
      <c r="E12" s="16">
        <v>174383375.49901199</v>
      </c>
      <c r="F12" s="16">
        <v>33607472.241596378</v>
      </c>
      <c r="G12" s="16">
        <v>1669717.63</v>
      </c>
      <c r="H12" s="16">
        <v>337228.18</v>
      </c>
      <c r="I12" s="18">
        <f t="shared" si="0"/>
        <v>592518899.23248398</v>
      </c>
    </row>
    <row r="13" spans="1:10">
      <c r="A13" s="19">
        <f t="shared" si="1"/>
        <v>3</v>
      </c>
      <c r="B13" s="21" t="s">
        <v>17</v>
      </c>
      <c r="C13" s="16">
        <v>291175473.91931731</v>
      </c>
      <c r="D13" s="17">
        <v>95624297.504620895</v>
      </c>
      <c r="E13" s="16">
        <v>175296585.818887</v>
      </c>
      <c r="F13" s="16">
        <v>33962429.126503296</v>
      </c>
      <c r="G13" s="16">
        <v>1723854.1999999997</v>
      </c>
      <c r="H13" s="16">
        <v>337228.18</v>
      </c>
      <c r="I13" s="18">
        <f t="shared" si="0"/>
        <v>596058786.36932862</v>
      </c>
    </row>
    <row r="14" spans="1:10">
      <c r="A14" s="19">
        <f t="shared" si="1"/>
        <v>4</v>
      </c>
      <c r="B14" s="21" t="s">
        <v>18</v>
      </c>
      <c r="C14" s="16">
        <v>292995516.18817776</v>
      </c>
      <c r="D14" s="17">
        <v>96065976.973735899</v>
      </c>
      <c r="E14" s="16">
        <v>176199608.772387</v>
      </c>
      <c r="F14" s="16">
        <v>34382172.4823649</v>
      </c>
      <c r="G14" s="16">
        <v>1777990.7699999998</v>
      </c>
      <c r="H14" s="16">
        <v>337228.18</v>
      </c>
      <c r="I14" s="18">
        <f t="shared" si="0"/>
        <v>599643274.41666555</v>
      </c>
    </row>
    <row r="15" spans="1:10">
      <c r="A15" s="19">
        <f t="shared" si="1"/>
        <v>5</v>
      </c>
      <c r="B15" s="21" t="s">
        <v>19</v>
      </c>
      <c r="C15" s="16">
        <v>294805264.67230833</v>
      </c>
      <c r="D15" s="17">
        <v>96510686.988260105</v>
      </c>
      <c r="E15" s="16">
        <v>177115244.00491899</v>
      </c>
      <c r="F15" s="16">
        <v>34803689.341057114</v>
      </c>
      <c r="G15" s="16">
        <v>1832127.3399999999</v>
      </c>
      <c r="H15" s="16">
        <v>337228.18</v>
      </c>
      <c r="I15" s="18">
        <f t="shared" si="0"/>
        <v>603234885.00654447</v>
      </c>
    </row>
    <row r="16" spans="1:10">
      <c r="A16" s="19">
        <f t="shared" si="1"/>
        <v>6</v>
      </c>
      <c r="B16" s="21" t="s">
        <v>20</v>
      </c>
      <c r="C16" s="16">
        <v>296354330.8920427</v>
      </c>
      <c r="D16" s="17">
        <v>96955457.584130898</v>
      </c>
      <c r="E16" s="16">
        <v>178033001.917009</v>
      </c>
      <c r="F16" s="16">
        <v>35219753.732946225</v>
      </c>
      <c r="G16" s="16">
        <v>1886263.9099999997</v>
      </c>
      <c r="H16" s="16">
        <v>337228.18</v>
      </c>
      <c r="I16" s="18">
        <f t="shared" si="0"/>
        <v>606562544.12612879</v>
      </c>
    </row>
    <row r="17" spans="1:13">
      <c r="A17" s="19">
        <f t="shared" si="1"/>
        <v>7</v>
      </c>
      <c r="B17" s="21" t="s">
        <v>21</v>
      </c>
      <c r="C17" s="16">
        <v>298043422.99745423</v>
      </c>
      <c r="D17" s="17">
        <v>97399792.696536303</v>
      </c>
      <c r="E17" s="16">
        <v>178912359.22317299</v>
      </c>
      <c r="F17" s="16">
        <v>35604440.261501342</v>
      </c>
      <c r="G17" s="16">
        <v>1940400.4799999997</v>
      </c>
      <c r="H17" s="16">
        <v>337228.18</v>
      </c>
      <c r="I17" s="18">
        <f t="shared" si="0"/>
        <v>609960015.1786648</v>
      </c>
    </row>
    <row r="18" spans="1:13">
      <c r="A18" s="19">
        <f t="shared" si="1"/>
        <v>8</v>
      </c>
      <c r="B18" s="21" t="s">
        <v>22</v>
      </c>
      <c r="C18" s="16">
        <v>299714567.43679172</v>
      </c>
      <c r="D18" s="17">
        <v>97830607.638785407</v>
      </c>
      <c r="E18" s="16">
        <v>179831382.331871</v>
      </c>
      <c r="F18" s="16">
        <v>36028270.660831451</v>
      </c>
      <c r="G18" s="16">
        <v>1994537.0499999998</v>
      </c>
      <c r="H18" s="16">
        <v>337228.18</v>
      </c>
      <c r="I18" s="18">
        <f t="shared" si="0"/>
        <v>613404828.06827962</v>
      </c>
    </row>
    <row r="19" spans="1:13">
      <c r="A19" s="19">
        <f t="shared" si="1"/>
        <v>9</v>
      </c>
      <c r="B19" s="21" t="s">
        <v>23</v>
      </c>
      <c r="C19" s="16">
        <v>300996613.26345599</v>
      </c>
      <c r="D19" s="17">
        <v>98276162.073500395</v>
      </c>
      <c r="E19" s="16">
        <v>180741560.59224501</v>
      </c>
      <c r="F19" s="16">
        <v>36435958.644618459</v>
      </c>
      <c r="G19" s="16">
        <v>2048673.6199999996</v>
      </c>
      <c r="H19" s="16">
        <v>337228.18</v>
      </c>
      <c r="I19" s="18">
        <f t="shared" si="0"/>
        <v>616450294.57381988</v>
      </c>
    </row>
    <row r="20" spans="1:13">
      <c r="A20" s="19">
        <f t="shared" si="1"/>
        <v>10</v>
      </c>
      <c r="B20" s="21" t="s">
        <v>24</v>
      </c>
      <c r="C20" s="16">
        <v>302512934.66762799</v>
      </c>
      <c r="D20" s="17">
        <v>98731026.331769302</v>
      </c>
      <c r="E20" s="16">
        <v>181602857.334699</v>
      </c>
      <c r="F20" s="16">
        <v>36684937.34978544</v>
      </c>
      <c r="G20" s="16">
        <v>2102810.1899999995</v>
      </c>
      <c r="H20" s="16">
        <v>337228.18</v>
      </c>
      <c r="I20" s="18">
        <f t="shared" si="0"/>
        <v>619531755.68388176</v>
      </c>
    </row>
    <row r="21" spans="1:13">
      <c r="A21" s="19">
        <f t="shared" si="1"/>
        <v>11</v>
      </c>
      <c r="B21" s="21" t="s">
        <v>25</v>
      </c>
      <c r="C21" s="16">
        <v>303919708.8459962</v>
      </c>
      <c r="D21" s="17">
        <v>99186371.478826702</v>
      </c>
      <c r="E21" s="16">
        <v>182516029.64634499</v>
      </c>
      <c r="F21" s="16">
        <v>35196042.056647316</v>
      </c>
      <c r="G21" s="16">
        <v>2156946.7599999998</v>
      </c>
      <c r="H21" s="16">
        <v>337228.18</v>
      </c>
      <c r="I21" s="18">
        <f t="shared" si="0"/>
        <v>620818152.02781522</v>
      </c>
    </row>
    <row r="22" spans="1:13">
      <c r="A22" s="19">
        <f t="shared" si="1"/>
        <v>12</v>
      </c>
      <c r="B22" s="21" t="s">
        <v>26</v>
      </c>
      <c r="C22" s="16">
        <v>305135337.41231591</v>
      </c>
      <c r="D22" s="17">
        <v>99633138.1566879</v>
      </c>
      <c r="E22" s="16">
        <v>183455906.62333399</v>
      </c>
      <c r="F22" s="16">
        <v>35197126.316333309</v>
      </c>
      <c r="G22" s="16">
        <v>562827.05999999947</v>
      </c>
      <c r="H22" s="16">
        <v>337228.18</v>
      </c>
      <c r="I22" s="18">
        <f t="shared" si="0"/>
        <v>623421508.50867105</v>
      </c>
    </row>
    <row r="23" spans="1:13">
      <c r="A23" s="19">
        <f t="shared" si="1"/>
        <v>13</v>
      </c>
      <c r="B23" s="21" t="s">
        <v>27</v>
      </c>
      <c r="C23" s="16">
        <v>306202226.7522248</v>
      </c>
      <c r="D23" s="17">
        <v>100099315.37619901</v>
      </c>
      <c r="E23" s="16">
        <v>184349336.86035499</v>
      </c>
      <c r="F23" s="16">
        <v>34383219.600669615</v>
      </c>
      <c r="G23" s="16">
        <v>617725.91999999946</v>
      </c>
      <c r="H23" s="16">
        <v>337228.18</v>
      </c>
      <c r="I23" s="18">
        <f t="shared" si="0"/>
        <v>625034098.58944845</v>
      </c>
    </row>
    <row r="24" spans="1:13">
      <c r="A24" s="19">
        <f t="shared" si="1"/>
        <v>14</v>
      </c>
      <c r="B24" s="21"/>
      <c r="C24" s="16"/>
      <c r="D24" s="16"/>
      <c r="E24" s="16"/>
      <c r="F24" s="16"/>
      <c r="G24" s="16"/>
      <c r="H24" s="16"/>
      <c r="I24" s="18"/>
    </row>
    <row r="25" spans="1:13">
      <c r="A25" s="19">
        <f t="shared" si="1"/>
        <v>15</v>
      </c>
      <c r="B25" s="208" t="s">
        <v>28</v>
      </c>
      <c r="C25" s="203">
        <f t="shared" ref="C25:H25" si="2">AVERAGE(C11:C23)</f>
        <v>297593753.72263092</v>
      </c>
      <c r="D25" s="203">
        <f t="shared" si="2"/>
        <v>97402601.922275916</v>
      </c>
      <c r="E25" s="203">
        <f t="shared" si="2"/>
        <v>178915955.98828599</v>
      </c>
      <c r="F25" s="203">
        <f t="shared" si="2"/>
        <v>35046714.127551511</v>
      </c>
      <c r="G25" s="204">
        <f t="shared" si="2"/>
        <v>1686881.2299999995</v>
      </c>
      <c r="H25" s="204">
        <f t="shared" si="2"/>
        <v>337228.18000000005</v>
      </c>
      <c r="I25" s="202">
        <f>AVERAGE(I11:I23)</f>
        <v>608959025.76074421</v>
      </c>
    </row>
    <row r="26" spans="1:13">
      <c r="A26" s="19"/>
      <c r="B26" s="24"/>
      <c r="C26" s="25"/>
      <c r="D26" s="25"/>
      <c r="E26" s="25"/>
      <c r="F26" s="25"/>
      <c r="G26" s="25"/>
      <c r="H26" s="25"/>
      <c r="I26" s="26"/>
    </row>
    <row r="27" spans="1:13">
      <c r="A27" s="27"/>
      <c r="C27" s="655"/>
    </row>
    <row r="28" spans="1:13">
      <c r="A28" s="28"/>
    </row>
    <row r="29" spans="1:13">
      <c r="A29" s="28"/>
      <c r="B29" s="659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4"/>
    </row>
    <row r="30" spans="1:13">
      <c r="A30" s="28"/>
    </row>
    <row r="31" spans="1:13">
      <c r="A31" s="2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4"/>
    </row>
    <row r="32" spans="1:13">
      <c r="A32" s="28"/>
      <c r="C32" s="654"/>
      <c r="D32" s="654"/>
      <c r="E32" s="654"/>
      <c r="F32" s="654"/>
      <c r="G32" s="654"/>
      <c r="H32" s="654"/>
      <c r="I32" s="654"/>
      <c r="J32" s="654"/>
      <c r="K32" s="654"/>
      <c r="L32" s="654"/>
    </row>
    <row r="33" spans="1:1">
      <c r="A33" s="28"/>
    </row>
    <row r="34" spans="1:1">
      <c r="A34" s="28"/>
    </row>
    <row r="35" spans="1:1">
      <c r="A35" s="28"/>
    </row>
    <row r="36" spans="1:1">
      <c r="A36" s="28"/>
    </row>
    <row r="37" spans="1:1">
      <c r="A37" s="28"/>
    </row>
    <row r="38" spans="1: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>
      <c r="A59" s="28"/>
    </row>
    <row r="60" spans="1:1">
      <c r="A60" s="28"/>
    </row>
    <row r="61" spans="1:1">
      <c r="A61" s="28"/>
    </row>
    <row r="62" spans="1:1">
      <c r="A62" s="28"/>
    </row>
    <row r="63" spans="1:1">
      <c r="A63" s="28"/>
    </row>
    <row r="64" spans="1:1">
      <c r="A64" s="28"/>
    </row>
    <row r="65" spans="1:1">
      <c r="A65" s="28"/>
    </row>
    <row r="66" spans="1:1">
      <c r="A66" s="28"/>
    </row>
    <row r="67" spans="1:1">
      <c r="A67" s="28"/>
    </row>
    <row r="68" spans="1:1">
      <c r="A68" s="28"/>
    </row>
    <row r="69" spans="1:1">
      <c r="A69" s="28"/>
    </row>
    <row r="70" spans="1:1">
      <c r="A70" s="28"/>
    </row>
    <row r="71" spans="1:1">
      <c r="A71" s="28"/>
    </row>
    <row r="72" spans="1:1">
      <c r="A72" s="28"/>
    </row>
    <row r="73" spans="1:1">
      <c r="A73" s="28"/>
    </row>
    <row r="74" spans="1:1">
      <c r="A74" s="28"/>
    </row>
    <row r="75" spans="1:1">
      <c r="A75" s="28"/>
    </row>
    <row r="76" spans="1:1">
      <c r="A76" s="28"/>
    </row>
    <row r="77" spans="1:1">
      <c r="A77" s="28"/>
    </row>
    <row r="78" spans="1:1">
      <c r="A78" s="28"/>
    </row>
    <row r="79" spans="1:1">
      <c r="A79" s="28"/>
    </row>
    <row r="80" spans="1:1">
      <c r="A80" s="28"/>
    </row>
    <row r="81" spans="1:1">
      <c r="A81" s="28"/>
    </row>
    <row r="82" spans="1:1">
      <c r="A82" s="28"/>
    </row>
    <row r="83" spans="1:1">
      <c r="A83" s="28"/>
    </row>
    <row r="84" spans="1:1">
      <c r="A84" s="28"/>
    </row>
    <row r="85" spans="1:1">
      <c r="A85" s="28"/>
    </row>
    <row r="86" spans="1:1">
      <c r="A86" s="28"/>
    </row>
    <row r="87" spans="1:1">
      <c r="A87" s="28"/>
    </row>
    <row r="88" spans="1:1">
      <c r="A88" s="28"/>
    </row>
    <row r="89" spans="1:1">
      <c r="A89" s="28"/>
    </row>
    <row r="90" spans="1:1">
      <c r="A90" s="28"/>
    </row>
    <row r="91" spans="1:1">
      <c r="A91" s="28"/>
    </row>
    <row r="92" spans="1:1">
      <c r="A92" s="28"/>
    </row>
    <row r="93" spans="1:1">
      <c r="A93" s="28"/>
    </row>
    <row r="94" spans="1:1">
      <c r="A94" s="28"/>
    </row>
    <row r="95" spans="1:1">
      <c r="A95" s="28"/>
    </row>
    <row r="96" spans="1:1">
      <c r="A96" s="28"/>
    </row>
    <row r="97" spans="1:1">
      <c r="A97" s="28"/>
    </row>
    <row r="98" spans="1:1">
      <c r="A98" s="28"/>
    </row>
    <row r="99" spans="1:1">
      <c r="A99" s="28"/>
    </row>
    <row r="100" spans="1:1">
      <c r="A100" s="28"/>
    </row>
    <row r="101" spans="1:1">
      <c r="A101" s="28"/>
    </row>
    <row r="102" spans="1:1">
      <c r="A102" s="28"/>
    </row>
    <row r="103" spans="1:1">
      <c r="A103" s="28"/>
    </row>
    <row r="104" spans="1:1">
      <c r="A104" s="28"/>
    </row>
    <row r="105" spans="1:1">
      <c r="A105" s="28"/>
    </row>
    <row r="106" spans="1:1">
      <c r="A106" s="28"/>
    </row>
    <row r="107" spans="1:1">
      <c r="A107" s="28"/>
    </row>
    <row r="108" spans="1:1">
      <c r="A108" s="28"/>
    </row>
    <row r="109" spans="1:1">
      <c r="A109" s="28"/>
    </row>
    <row r="110" spans="1:1">
      <c r="A110" s="28"/>
    </row>
    <row r="111" spans="1:1">
      <c r="A111" s="28"/>
    </row>
    <row r="112" spans="1:1">
      <c r="A112" s="28"/>
    </row>
    <row r="113" spans="1:1">
      <c r="A113" s="28"/>
    </row>
    <row r="114" spans="1:1">
      <c r="A114" s="28"/>
    </row>
    <row r="115" spans="1:1">
      <c r="A115" s="28"/>
    </row>
    <row r="116" spans="1:1">
      <c r="A116" s="28"/>
    </row>
    <row r="117" spans="1:1">
      <c r="A117" s="28"/>
    </row>
    <row r="118" spans="1:1">
      <c r="A118" s="28"/>
    </row>
    <row r="119" spans="1:1">
      <c r="A119" s="28"/>
    </row>
    <row r="120" spans="1:1">
      <c r="A120" s="28"/>
    </row>
    <row r="121" spans="1:1">
      <c r="A121" s="28"/>
    </row>
    <row r="122" spans="1:1">
      <c r="A122" s="28"/>
    </row>
    <row r="123" spans="1:1">
      <c r="A123" s="28"/>
    </row>
    <row r="124" spans="1:1">
      <c r="A124" s="28"/>
    </row>
    <row r="125" spans="1:1">
      <c r="A125" s="28"/>
    </row>
    <row r="126" spans="1:1">
      <c r="A126" s="28"/>
    </row>
    <row r="127" spans="1:1">
      <c r="A127" s="28"/>
    </row>
    <row r="128" spans="1:1">
      <c r="A128" s="28"/>
    </row>
    <row r="129" spans="1:1">
      <c r="A129" s="28"/>
    </row>
    <row r="130" spans="1:1">
      <c r="A130" s="28"/>
    </row>
    <row r="131" spans="1:1">
      <c r="A131" s="28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</sheetData>
  <mergeCells count="3">
    <mergeCell ref="A3:I3"/>
    <mergeCell ref="A4:I4"/>
    <mergeCell ref="A5:I5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2 of 20</oddHeader>
  </headerFooter>
  <ignoredErrors>
    <ignoredError sqref="I11:I23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62"/>
  <sheetViews>
    <sheetView showGridLines="0" topLeftCell="A19" workbookViewId="0">
      <selection activeCell="J34" sqref="J34"/>
    </sheetView>
  </sheetViews>
  <sheetFormatPr defaultRowHeight="12.75"/>
  <cols>
    <col min="1" max="1" width="3.6640625" style="182" customWidth="1"/>
    <col min="2" max="2" width="20.33203125" style="183" customWidth="1"/>
    <col min="3" max="3" width="14" style="183" customWidth="1"/>
    <col min="4" max="4" width="17.77734375" style="183" customWidth="1"/>
    <col min="5" max="5" width="14.109375" style="183" customWidth="1"/>
    <col min="6" max="6" width="13.33203125" style="183" customWidth="1"/>
    <col min="7" max="7" width="12.77734375" style="183" customWidth="1"/>
    <col min="8" max="16384" width="8.88671875" style="356"/>
  </cols>
  <sheetData>
    <row r="4" spans="1:12">
      <c r="A4" s="802" t="s">
        <v>0</v>
      </c>
      <c r="B4" s="802"/>
      <c r="C4" s="802"/>
      <c r="D4" s="802"/>
      <c r="E4" s="802"/>
      <c r="F4" s="802"/>
      <c r="G4" s="802"/>
      <c r="H4" s="475"/>
      <c r="I4" s="475"/>
      <c r="J4" s="475"/>
      <c r="K4" s="475"/>
    </row>
    <row r="5" spans="1:12">
      <c r="A5" s="802" t="s">
        <v>499</v>
      </c>
      <c r="B5" s="802"/>
      <c r="C5" s="802"/>
      <c r="D5" s="802"/>
      <c r="E5" s="802"/>
      <c r="F5" s="802"/>
      <c r="G5" s="802"/>
      <c r="H5" s="794"/>
    </row>
    <row r="6" spans="1:12">
      <c r="A6" s="802" t="str">
        <f>'Page 1 - PIS'!A5:G5</f>
        <v>For the 13 Months Ended December 31, 2013</v>
      </c>
      <c r="B6" s="802"/>
      <c r="C6" s="802"/>
      <c r="D6" s="802"/>
      <c r="E6" s="802"/>
      <c r="F6" s="802"/>
      <c r="G6" s="802"/>
    </row>
    <row r="8" spans="1:12">
      <c r="B8" s="182" t="s">
        <v>1</v>
      </c>
      <c r="C8" s="182" t="s">
        <v>2</v>
      </c>
      <c r="D8" s="182" t="s">
        <v>3</v>
      </c>
      <c r="E8" s="182" t="s">
        <v>4</v>
      </c>
      <c r="F8" s="692" t="s">
        <v>5</v>
      </c>
      <c r="G8" s="443" t="s">
        <v>7</v>
      </c>
    </row>
    <row r="10" spans="1:12" ht="38.25">
      <c r="A10" s="184"/>
      <c r="B10" s="209"/>
      <c r="C10" s="690" t="s">
        <v>368</v>
      </c>
      <c r="D10" s="690" t="s">
        <v>368</v>
      </c>
      <c r="E10" s="185" t="s">
        <v>369</v>
      </c>
      <c r="F10" s="185" t="s">
        <v>506</v>
      </c>
      <c r="G10" s="755" t="s">
        <v>574</v>
      </c>
      <c r="H10" s="186"/>
    </row>
    <row r="11" spans="1:12">
      <c r="A11" s="187" t="s">
        <v>8</v>
      </c>
      <c r="B11" s="188"/>
      <c r="C11" s="779" t="s">
        <v>592</v>
      </c>
      <c r="D11" s="779" t="s">
        <v>593</v>
      </c>
      <c r="E11" s="779" t="s">
        <v>585</v>
      </c>
      <c r="F11" s="441" t="s">
        <v>497</v>
      </c>
      <c r="G11" s="756" t="s">
        <v>575</v>
      </c>
      <c r="H11" s="190"/>
    </row>
    <row r="12" spans="1:12">
      <c r="A12" s="191" t="s">
        <v>10</v>
      </c>
      <c r="B12" s="210" t="s">
        <v>47</v>
      </c>
      <c r="C12" s="691" t="s">
        <v>492</v>
      </c>
      <c r="D12" s="691" t="s">
        <v>590</v>
      </c>
      <c r="E12" s="440" t="s">
        <v>494</v>
      </c>
      <c r="F12" s="442" t="s">
        <v>498</v>
      </c>
      <c r="G12" s="759" t="s">
        <v>581</v>
      </c>
      <c r="H12" s="193" t="s">
        <v>16</v>
      </c>
    </row>
    <row r="13" spans="1:12">
      <c r="A13" s="184">
        <v>1</v>
      </c>
      <c r="B13" s="664" t="s">
        <v>576</v>
      </c>
      <c r="C13" s="445">
        <f>'Page 3 - CWIP'!C13+24568780-D13</f>
        <v>17123482</v>
      </c>
      <c r="D13" s="798">
        <v>7445298</v>
      </c>
      <c r="E13" s="445">
        <f>'Page 3 - CWIP'!E13+10641229</f>
        <v>36675108.920000002</v>
      </c>
      <c r="F13" s="458">
        <v>394399</v>
      </c>
      <c r="G13" s="458">
        <v>0</v>
      </c>
      <c r="H13" s="457">
        <f t="shared" ref="H13:H25" si="0">+SUM(C13:G13)</f>
        <v>61638287.920000002</v>
      </c>
      <c r="J13" s="445"/>
      <c r="K13" s="445"/>
      <c r="L13" s="445"/>
    </row>
    <row r="14" spans="1:12">
      <c r="A14" s="187">
        <f>+A13+1</f>
        <v>2</v>
      </c>
      <c r="B14" s="665" t="s">
        <v>577</v>
      </c>
      <c r="C14" s="445">
        <f>'Page 3 - CWIP'!C14+24568780-D14</f>
        <v>17123482</v>
      </c>
      <c r="D14" s="798">
        <v>7445298</v>
      </c>
      <c r="E14" s="445">
        <f>'Page 3 - CWIP'!E14+10641229</f>
        <v>39061818.920000002</v>
      </c>
      <c r="F14" s="458">
        <f>F13</f>
        <v>394399</v>
      </c>
      <c r="G14" s="458">
        <v>0</v>
      </c>
      <c r="H14" s="457">
        <f t="shared" si="0"/>
        <v>64024997.920000002</v>
      </c>
      <c r="J14" s="445"/>
      <c r="K14" s="445"/>
      <c r="L14" s="445"/>
    </row>
    <row r="15" spans="1:12">
      <c r="A15" s="187">
        <f>+A14+1</f>
        <v>3</v>
      </c>
      <c r="B15" s="197" t="s">
        <v>17</v>
      </c>
      <c r="C15" s="445">
        <f>'Page 3 - CWIP'!C15+24568780-D15</f>
        <v>17123482</v>
      </c>
      <c r="D15" s="798">
        <v>7445298</v>
      </c>
      <c r="E15" s="445">
        <f>'Page 3 - CWIP'!E15+10641229</f>
        <v>41392435.920000002</v>
      </c>
      <c r="F15" s="458">
        <f t="shared" ref="F15:F25" si="1">F14</f>
        <v>394399</v>
      </c>
      <c r="G15" s="458">
        <v>0</v>
      </c>
      <c r="H15" s="457">
        <f t="shared" si="0"/>
        <v>66355614.920000002</v>
      </c>
      <c r="J15" s="445"/>
      <c r="K15" s="445"/>
      <c r="L15" s="445"/>
    </row>
    <row r="16" spans="1:12">
      <c r="A16" s="187">
        <f>+A15+1</f>
        <v>4</v>
      </c>
      <c r="B16" s="197" t="s">
        <v>18</v>
      </c>
      <c r="C16" s="445">
        <f>'Page 3 - CWIP'!C16+24568780-D16</f>
        <v>17123482</v>
      </c>
      <c r="D16" s="798">
        <v>7445298</v>
      </c>
      <c r="E16" s="445">
        <f>'Page 3 - CWIP'!E16+10641229</f>
        <v>43233365.920000002</v>
      </c>
      <c r="F16" s="458">
        <f t="shared" si="1"/>
        <v>394399</v>
      </c>
      <c r="G16" s="458">
        <v>0</v>
      </c>
      <c r="H16" s="457">
        <f t="shared" si="0"/>
        <v>68196544.920000002</v>
      </c>
      <c r="J16" s="445"/>
      <c r="K16" s="445"/>
      <c r="L16" s="445"/>
    </row>
    <row r="17" spans="1:12">
      <c r="A17" s="187">
        <f>+A16+1</f>
        <v>5</v>
      </c>
      <c r="B17" s="197" t="s">
        <v>19</v>
      </c>
      <c r="C17" s="445">
        <f>'Page 3 - CWIP'!C17+24568780-D17</f>
        <v>17123482</v>
      </c>
      <c r="D17" s="798">
        <v>7445298</v>
      </c>
      <c r="E17" s="445">
        <f>'Page 3 - CWIP'!E17+10641229</f>
        <v>45006535.920000002</v>
      </c>
      <c r="F17" s="458">
        <f t="shared" si="1"/>
        <v>394399</v>
      </c>
      <c r="G17" s="458">
        <v>0</v>
      </c>
      <c r="H17" s="457">
        <f t="shared" si="0"/>
        <v>69969714.920000002</v>
      </c>
      <c r="J17" s="445"/>
      <c r="K17" s="445"/>
      <c r="L17" s="445"/>
    </row>
    <row r="18" spans="1:12">
      <c r="A18" s="187">
        <f>+A17+1</f>
        <v>6</v>
      </c>
      <c r="B18" s="197" t="s">
        <v>20</v>
      </c>
      <c r="C18" s="445">
        <f>'Page 3 - CWIP'!C18+24568780-D18</f>
        <v>17123482</v>
      </c>
      <c r="D18" s="798">
        <v>7445298</v>
      </c>
      <c r="E18" s="445">
        <f>'Page 3 - CWIP'!E18+10641229</f>
        <v>46947089.920000002</v>
      </c>
      <c r="F18" s="458">
        <f t="shared" si="1"/>
        <v>394399</v>
      </c>
      <c r="G18" s="458">
        <v>0</v>
      </c>
      <c r="H18" s="457">
        <f t="shared" si="0"/>
        <v>71910268.920000002</v>
      </c>
      <c r="J18" s="445"/>
      <c r="K18" s="445"/>
      <c r="L18" s="445"/>
    </row>
    <row r="19" spans="1:12">
      <c r="A19" s="187">
        <f t="shared" ref="A19:A27" si="2">+A18+1</f>
        <v>7</v>
      </c>
      <c r="B19" s="197" t="s">
        <v>21</v>
      </c>
      <c r="C19" s="445">
        <f>'Page 3 - CWIP'!C19+24568780-D19</f>
        <v>17123482</v>
      </c>
      <c r="D19" s="798">
        <v>7445298</v>
      </c>
      <c r="E19" s="445">
        <f>'Page 3 - CWIP'!E19+10641229</f>
        <v>48113453.920000002</v>
      </c>
      <c r="F19" s="458">
        <f t="shared" si="1"/>
        <v>394399</v>
      </c>
      <c r="G19" s="458">
        <v>0</v>
      </c>
      <c r="H19" s="457">
        <f t="shared" si="0"/>
        <v>73076632.920000002</v>
      </c>
      <c r="J19" s="445"/>
      <c r="K19" s="445"/>
      <c r="L19" s="445"/>
    </row>
    <row r="20" spans="1:12">
      <c r="A20" s="187">
        <f t="shared" si="2"/>
        <v>8</v>
      </c>
      <c r="B20" s="197" t="s">
        <v>22</v>
      </c>
      <c r="C20" s="445">
        <f>'Page 3 - CWIP'!C20+24568780-D20</f>
        <v>17123482</v>
      </c>
      <c r="D20" s="798">
        <v>7445298</v>
      </c>
      <c r="E20" s="445">
        <f>'Page 3 - CWIP'!E20+10641229</f>
        <v>49653156.920000002</v>
      </c>
      <c r="F20" s="458">
        <f t="shared" si="1"/>
        <v>394399</v>
      </c>
      <c r="G20" s="458">
        <v>0</v>
      </c>
      <c r="H20" s="457">
        <f t="shared" si="0"/>
        <v>74616335.920000002</v>
      </c>
      <c r="J20" s="445"/>
      <c r="K20" s="445"/>
      <c r="L20" s="445"/>
    </row>
    <row r="21" spans="1:12">
      <c r="A21" s="187">
        <f t="shared" si="2"/>
        <v>9</v>
      </c>
      <c r="B21" s="197" t="s">
        <v>23</v>
      </c>
      <c r="C21" s="445">
        <f>'Page 3 - CWIP'!C21+24568780-D21</f>
        <v>17123482</v>
      </c>
      <c r="D21" s="798">
        <v>7445298</v>
      </c>
      <c r="E21" s="445">
        <f>'Page 3 - CWIP'!E21+10641229</f>
        <v>51258043.920000002</v>
      </c>
      <c r="F21" s="458">
        <f t="shared" si="1"/>
        <v>394399</v>
      </c>
      <c r="G21" s="458">
        <v>0</v>
      </c>
      <c r="H21" s="457">
        <f t="shared" si="0"/>
        <v>76221222.920000002</v>
      </c>
      <c r="J21" s="445"/>
      <c r="K21" s="445"/>
      <c r="L21" s="445"/>
    </row>
    <row r="22" spans="1:12">
      <c r="A22" s="187">
        <f t="shared" si="2"/>
        <v>10</v>
      </c>
      <c r="B22" s="197" t="s">
        <v>24</v>
      </c>
      <c r="C22" s="445">
        <f>'Page 3 - CWIP'!C22+24568780-D22</f>
        <v>17123482</v>
      </c>
      <c r="D22" s="798">
        <v>7445298</v>
      </c>
      <c r="E22" s="445">
        <f>'Page 3 - CWIP'!E22+10641229</f>
        <v>52713845.920000002</v>
      </c>
      <c r="F22" s="458">
        <f t="shared" si="1"/>
        <v>394399</v>
      </c>
      <c r="G22" s="458">
        <v>0</v>
      </c>
      <c r="H22" s="457">
        <f t="shared" si="0"/>
        <v>77677024.920000002</v>
      </c>
      <c r="J22" s="445"/>
      <c r="K22" s="445"/>
      <c r="L22" s="445"/>
    </row>
    <row r="23" spans="1:12">
      <c r="A23" s="187">
        <f t="shared" si="2"/>
        <v>11</v>
      </c>
      <c r="B23" s="197" t="s">
        <v>25</v>
      </c>
      <c r="C23" s="445">
        <f>'Page 3 - CWIP'!C23+24568780-D23</f>
        <v>17123482</v>
      </c>
      <c r="D23" s="798">
        <v>7445298</v>
      </c>
      <c r="E23" s="445">
        <f>'Page 3 - CWIP'!E23+10641229</f>
        <v>54604358.920000002</v>
      </c>
      <c r="F23" s="458">
        <f t="shared" si="1"/>
        <v>394399</v>
      </c>
      <c r="G23" s="458">
        <v>0</v>
      </c>
      <c r="H23" s="457">
        <f t="shared" si="0"/>
        <v>79567537.920000002</v>
      </c>
      <c r="J23" s="445"/>
      <c r="K23" s="445"/>
      <c r="L23" s="445"/>
    </row>
    <row r="24" spans="1:12">
      <c r="A24" s="187">
        <f t="shared" si="2"/>
        <v>12</v>
      </c>
      <c r="B24" s="197" t="s">
        <v>26</v>
      </c>
      <c r="C24" s="445">
        <f>'Page 3 - CWIP'!C24+24568780-D24</f>
        <v>17123482</v>
      </c>
      <c r="D24" s="798">
        <v>7445298</v>
      </c>
      <c r="E24" s="445">
        <f>'Page 3 - CWIP'!E24+10641229</f>
        <v>56092815.920000002</v>
      </c>
      <c r="F24" s="458">
        <f t="shared" si="1"/>
        <v>394399</v>
      </c>
      <c r="G24" s="458">
        <v>0</v>
      </c>
      <c r="H24" s="457">
        <f t="shared" si="0"/>
        <v>81055994.920000002</v>
      </c>
      <c r="J24" s="445"/>
      <c r="K24" s="445"/>
      <c r="L24" s="445"/>
    </row>
    <row r="25" spans="1:12">
      <c r="A25" s="187">
        <f t="shared" si="2"/>
        <v>13</v>
      </c>
      <c r="B25" s="197" t="s">
        <v>27</v>
      </c>
      <c r="C25" s="445">
        <f>'Page 3 - CWIP'!C25+24568780-D25</f>
        <v>17123482</v>
      </c>
      <c r="D25" s="798">
        <v>7445298</v>
      </c>
      <c r="E25" s="445">
        <f>'Page 3 - CWIP'!E25+10641229+27565583</f>
        <v>57358229</v>
      </c>
      <c r="F25" s="458">
        <f t="shared" si="1"/>
        <v>394399</v>
      </c>
      <c r="G25" s="458">
        <f>6895837</f>
        <v>6895837</v>
      </c>
      <c r="H25" s="457">
        <f t="shared" si="0"/>
        <v>89217245</v>
      </c>
      <c r="J25" s="445"/>
      <c r="K25" s="445"/>
      <c r="L25" s="445"/>
    </row>
    <row r="26" spans="1:12">
      <c r="A26" s="187">
        <f t="shared" si="2"/>
        <v>14</v>
      </c>
      <c r="B26" s="197"/>
      <c r="C26" s="459"/>
      <c r="D26" s="459"/>
      <c r="E26" s="459"/>
      <c r="F26" s="459"/>
      <c r="G26" s="459"/>
      <c r="H26" s="457"/>
    </row>
    <row r="27" spans="1:12">
      <c r="A27" s="187">
        <f t="shared" si="2"/>
        <v>15</v>
      </c>
      <c r="B27" s="198" t="s">
        <v>28</v>
      </c>
      <c r="C27" s="461">
        <f>+AVERAGE(C13:C25)</f>
        <v>17123482</v>
      </c>
      <c r="D27" s="461">
        <f>+AVERAGE(D13:D25)</f>
        <v>7445298</v>
      </c>
      <c r="E27" s="461">
        <f>+AVERAGE(E13:E25)</f>
        <v>47854635.387692317</v>
      </c>
      <c r="F27" s="461">
        <f>+AVERAGE(F13:F25)</f>
        <v>394399</v>
      </c>
      <c r="G27" s="461">
        <f>+AVERAGE(G13:G25)</f>
        <v>530449</v>
      </c>
      <c r="H27" s="757">
        <f>+SUM(C27:G27)</f>
        <v>73348263.387692317</v>
      </c>
      <c r="I27" s="770"/>
      <c r="J27" s="769"/>
    </row>
    <row r="28" spans="1:12">
      <c r="A28" s="199"/>
      <c r="B28" s="211"/>
      <c r="C28" s="767"/>
      <c r="D28" s="767"/>
      <c r="E28" s="767"/>
      <c r="F28" s="767"/>
      <c r="G28" s="767"/>
      <c r="H28" s="201"/>
    </row>
    <row r="29" spans="1:12">
      <c r="C29" s="474"/>
    </row>
    <row r="30" spans="1:12">
      <c r="B30" s="780" t="s">
        <v>588</v>
      </c>
      <c r="C30" s="663"/>
      <c r="D30" s="663"/>
    </row>
    <row r="31" spans="1:12">
      <c r="B31" s="780"/>
    </row>
    <row r="32" spans="1:12">
      <c r="B32" s="780"/>
    </row>
    <row r="33" spans="1:22">
      <c r="B33" s="780"/>
    </row>
    <row r="34" spans="1:22">
      <c r="A34" s="802" t="s">
        <v>0</v>
      </c>
      <c r="B34" s="802"/>
      <c r="C34" s="802"/>
      <c r="D34" s="802"/>
      <c r="E34" s="802"/>
      <c r="F34" s="802"/>
      <c r="G34" s="802"/>
    </row>
    <row r="35" spans="1:22">
      <c r="A35" s="802" t="s">
        <v>501</v>
      </c>
      <c r="B35" s="802"/>
      <c r="C35" s="802"/>
      <c r="D35" s="802"/>
      <c r="E35" s="802"/>
      <c r="F35" s="802"/>
      <c r="G35" s="802"/>
    </row>
    <row r="36" spans="1:22">
      <c r="A36" s="883" t="str">
        <f>A6</f>
        <v>For the 13 Months Ended December 31, 2013</v>
      </c>
      <c r="B36" s="802"/>
      <c r="C36" s="802"/>
      <c r="D36" s="802"/>
      <c r="E36" s="802"/>
      <c r="F36" s="802"/>
      <c r="G36" s="802"/>
    </row>
    <row r="38" spans="1:22">
      <c r="B38" s="182" t="s">
        <v>1</v>
      </c>
      <c r="C38" s="182" t="s">
        <v>2</v>
      </c>
      <c r="D38" s="182" t="s">
        <v>3</v>
      </c>
      <c r="E38" s="182" t="s">
        <v>4</v>
      </c>
      <c r="F38" s="692" t="s">
        <v>5</v>
      </c>
      <c r="G38" s="443" t="s">
        <v>7</v>
      </c>
    </row>
    <row r="40" spans="1:22" ht="38.25">
      <c r="A40" s="184"/>
      <c r="B40" s="453" t="s">
        <v>504</v>
      </c>
      <c r="C40" s="185" t="str">
        <f t="shared" ref="C40:F42" si="3">C10</f>
        <v>CAPX 2020 Bemidji</v>
      </c>
      <c r="D40" s="185" t="str">
        <f t="shared" si="3"/>
        <v>CAPX 2020 Bemidji</v>
      </c>
      <c r="E40" s="185" t="str">
        <f t="shared" si="3"/>
        <v>CAPX 2020 Fargo</v>
      </c>
      <c r="F40" s="185" t="str">
        <f t="shared" si="3"/>
        <v>Rugby - G380</v>
      </c>
      <c r="G40" s="758" t="str">
        <f t="shared" ref="G40" si="4">G10</f>
        <v>Casselton-Buffalo 115kv Line</v>
      </c>
      <c r="H40" s="186"/>
    </row>
    <row r="41" spans="1:22">
      <c r="A41" s="187" t="s">
        <v>8</v>
      </c>
      <c r="B41" s="452" t="s">
        <v>505</v>
      </c>
      <c r="C41" s="189" t="str">
        <f t="shared" si="3"/>
        <v>Project 103487</v>
      </c>
      <c r="D41" s="189" t="str">
        <f t="shared" si="3"/>
        <v>Project 104395 &amp; 104587</v>
      </c>
      <c r="E41" s="189" t="str">
        <f t="shared" si="3"/>
        <v>Project (See Below)</v>
      </c>
      <c r="F41" s="189" t="str">
        <f t="shared" si="3"/>
        <v>Project (103897)</v>
      </c>
      <c r="G41" s="189" t="str">
        <f t="shared" ref="G41" si="5">G11</f>
        <v>Project (104761)</v>
      </c>
      <c r="H41" s="190"/>
    </row>
    <row r="42" spans="1:22">
      <c r="A42" s="191" t="s">
        <v>10</v>
      </c>
      <c r="B42" s="210" t="s">
        <v>47</v>
      </c>
      <c r="C42" s="479" t="str">
        <f t="shared" si="3"/>
        <v>MTEP No. 279</v>
      </c>
      <c r="D42" s="479" t="str">
        <f t="shared" si="3"/>
        <v>MTEP No. 3156</v>
      </c>
      <c r="E42" s="479" t="str">
        <f t="shared" si="3"/>
        <v>MTEP No. 286</v>
      </c>
      <c r="F42" s="479" t="str">
        <f t="shared" si="3"/>
        <v>MTEP No. 1462</v>
      </c>
      <c r="G42" s="479" t="str">
        <f>G12</f>
        <v>MTEP No. 3481</v>
      </c>
      <c r="H42" s="193" t="s">
        <v>16</v>
      </c>
    </row>
    <row r="43" spans="1:22">
      <c r="A43" s="184">
        <v>1</v>
      </c>
      <c r="B43" s="664" t="str">
        <f>B13</f>
        <v>December 2012</v>
      </c>
      <c r="C43" s="798">
        <v>111458.64757168655</v>
      </c>
      <c r="D43" s="798">
        <v>24231.135656378945</v>
      </c>
      <c r="E43" s="445">
        <v>220125</v>
      </c>
      <c r="F43" s="456">
        <v>8453.6785606166595</v>
      </c>
      <c r="G43" s="458">
        <v>0</v>
      </c>
      <c r="H43" s="457">
        <f t="shared" ref="H43:H55" si="6">+SUM(C43:G43)</f>
        <v>364268.46178868215</v>
      </c>
      <c r="J43" s="784"/>
      <c r="K43" s="785"/>
      <c r="L43" s="785"/>
      <c r="M43" s="785"/>
      <c r="N43" s="785"/>
      <c r="O43" s="785"/>
      <c r="P43" s="785"/>
      <c r="Q43" s="785"/>
      <c r="R43" s="785"/>
      <c r="S43" s="785"/>
      <c r="T43" s="785"/>
      <c r="U43" s="785"/>
      <c r="V43" s="785"/>
    </row>
    <row r="44" spans="1:22">
      <c r="A44" s="187">
        <f>+A43+1</f>
        <v>2</v>
      </c>
      <c r="B44" s="665" t="str">
        <f>B14</f>
        <v>January 2013</v>
      </c>
      <c r="C44" s="798">
        <v>139323.3094646082</v>
      </c>
      <c r="D44" s="798">
        <v>36346.703484568417</v>
      </c>
      <c r="E44" s="445">
        <v>239616</v>
      </c>
      <c r="F44" s="458">
        <v>8981.2200228208294</v>
      </c>
      <c r="G44" s="458">
        <v>0</v>
      </c>
      <c r="H44" s="457">
        <f t="shared" si="6"/>
        <v>424267.23297199741</v>
      </c>
    </row>
    <row r="45" spans="1:22">
      <c r="A45" s="187">
        <f>+A44+1</f>
        <v>3</v>
      </c>
      <c r="B45" s="197" t="s">
        <v>17</v>
      </c>
      <c r="C45" s="798">
        <v>167187.97135752984</v>
      </c>
      <c r="D45" s="798">
        <v>48462.27131275789</v>
      </c>
      <c r="E45" s="445">
        <v>259107</v>
      </c>
      <c r="F45" s="458">
        <v>9508.7614850249902</v>
      </c>
      <c r="G45" s="458">
        <v>0</v>
      </c>
      <c r="H45" s="457">
        <f t="shared" si="6"/>
        <v>484266.00415531272</v>
      </c>
    </row>
    <row r="46" spans="1:22">
      <c r="A46" s="187">
        <f>+A45+1</f>
        <v>4</v>
      </c>
      <c r="B46" s="197" t="s">
        <v>18</v>
      </c>
      <c r="C46" s="798">
        <v>195052.63325045147</v>
      </c>
      <c r="D46" s="798">
        <v>60577.839140947362</v>
      </c>
      <c r="E46" s="445">
        <v>278598</v>
      </c>
      <c r="F46" s="458">
        <v>10036.3029472291</v>
      </c>
      <c r="G46" s="458">
        <v>0</v>
      </c>
      <c r="H46" s="457">
        <f t="shared" si="6"/>
        <v>544264.77533862798</v>
      </c>
    </row>
    <row r="47" spans="1:22">
      <c r="A47" s="187">
        <f>+A46+1</f>
        <v>5</v>
      </c>
      <c r="B47" s="197" t="s">
        <v>19</v>
      </c>
      <c r="C47" s="798">
        <v>222917.29514337311</v>
      </c>
      <c r="D47" s="798">
        <v>72693.406969136835</v>
      </c>
      <c r="E47" s="445">
        <v>298089</v>
      </c>
      <c r="F47" s="458">
        <v>10563.844409433301</v>
      </c>
      <c r="G47" s="458">
        <v>0</v>
      </c>
      <c r="H47" s="457">
        <f t="shared" si="6"/>
        <v>604263.54652194318</v>
      </c>
    </row>
    <row r="48" spans="1:22">
      <c r="A48" s="187">
        <f>+A47+1</f>
        <v>6</v>
      </c>
      <c r="B48" s="197" t="s">
        <v>20</v>
      </c>
      <c r="C48" s="798">
        <v>250781.95703629474</v>
      </c>
      <c r="D48" s="798">
        <v>84808.974797326315</v>
      </c>
      <c r="E48" s="445">
        <v>317580</v>
      </c>
      <c r="F48" s="458">
        <v>11091.3858716374</v>
      </c>
      <c r="G48" s="458">
        <v>0</v>
      </c>
      <c r="H48" s="457">
        <f t="shared" si="6"/>
        <v>664262.31770525849</v>
      </c>
    </row>
    <row r="49" spans="1:10">
      <c r="A49" s="187">
        <f t="shared" ref="A49:A57" si="7">+A48+1</f>
        <v>7</v>
      </c>
      <c r="B49" s="197" t="s">
        <v>21</v>
      </c>
      <c r="C49" s="798">
        <v>278646.61892921641</v>
      </c>
      <c r="D49" s="798">
        <v>96924.54262551578</v>
      </c>
      <c r="E49" s="445">
        <v>337072</v>
      </c>
      <c r="F49" s="458">
        <v>11618.927333841601</v>
      </c>
      <c r="G49" s="458">
        <v>0</v>
      </c>
      <c r="H49" s="457">
        <f t="shared" si="6"/>
        <v>724262.08888857369</v>
      </c>
    </row>
    <row r="50" spans="1:10">
      <c r="A50" s="187">
        <f t="shared" si="7"/>
        <v>8</v>
      </c>
      <c r="B50" s="197" t="s">
        <v>22</v>
      </c>
      <c r="C50" s="798">
        <v>306511.28082213807</v>
      </c>
      <c r="D50" s="798">
        <v>109040.11045370525</v>
      </c>
      <c r="E50" s="445">
        <v>356563</v>
      </c>
      <c r="F50" s="458">
        <v>12146.4687960458</v>
      </c>
      <c r="G50" s="458">
        <v>0</v>
      </c>
      <c r="H50" s="457">
        <f t="shared" si="6"/>
        <v>784260.86007188912</v>
      </c>
    </row>
    <row r="51" spans="1:10">
      <c r="A51" s="187">
        <f t="shared" si="7"/>
        <v>9</v>
      </c>
      <c r="B51" s="197" t="s">
        <v>23</v>
      </c>
      <c r="C51" s="798">
        <v>334375.94271505973</v>
      </c>
      <c r="D51" s="798">
        <v>121155.67828189471</v>
      </c>
      <c r="E51" s="445">
        <v>376054</v>
      </c>
      <c r="F51" s="458">
        <v>12674.0102582499</v>
      </c>
      <c r="G51" s="458">
        <v>0</v>
      </c>
      <c r="H51" s="457">
        <f t="shared" si="6"/>
        <v>844259.63125520432</v>
      </c>
    </row>
    <row r="52" spans="1:10">
      <c r="A52" s="187">
        <f t="shared" si="7"/>
        <v>10</v>
      </c>
      <c r="B52" s="197" t="s">
        <v>24</v>
      </c>
      <c r="C52" s="798">
        <v>362240.6046079814</v>
      </c>
      <c r="D52" s="798">
        <v>133271.24611008418</v>
      </c>
      <c r="E52" s="445">
        <v>395545</v>
      </c>
      <c r="F52" s="458">
        <v>13201.551720454099</v>
      </c>
      <c r="G52" s="458">
        <v>0</v>
      </c>
      <c r="H52" s="457">
        <f t="shared" si="6"/>
        <v>904258.40243851976</v>
      </c>
    </row>
    <row r="53" spans="1:10">
      <c r="A53" s="187">
        <f t="shared" si="7"/>
        <v>11</v>
      </c>
      <c r="B53" s="197" t="s">
        <v>25</v>
      </c>
      <c r="C53" s="798">
        <v>390105.26650090306</v>
      </c>
      <c r="D53" s="798">
        <v>145386.81393827364</v>
      </c>
      <c r="E53" s="445">
        <v>415036</v>
      </c>
      <c r="F53" s="458">
        <v>13729.0931826583</v>
      </c>
      <c r="G53" s="458">
        <v>0</v>
      </c>
      <c r="H53" s="457">
        <f t="shared" si="6"/>
        <v>964257.17362183495</v>
      </c>
    </row>
    <row r="54" spans="1:10">
      <c r="A54" s="187">
        <f t="shared" si="7"/>
        <v>12</v>
      </c>
      <c r="B54" s="197" t="s">
        <v>26</v>
      </c>
      <c r="C54" s="798">
        <v>417969.92839382472</v>
      </c>
      <c r="D54" s="798">
        <v>157502.38176646311</v>
      </c>
      <c r="E54" s="445">
        <v>434527</v>
      </c>
      <c r="F54" s="458">
        <v>14256.634644862401</v>
      </c>
      <c r="G54" s="458">
        <v>0</v>
      </c>
      <c r="H54" s="457">
        <f t="shared" si="6"/>
        <v>1024255.9448051503</v>
      </c>
    </row>
    <row r="55" spans="1:10">
      <c r="A55" s="187">
        <f t="shared" si="7"/>
        <v>13</v>
      </c>
      <c r="B55" s="197" t="s">
        <v>27</v>
      </c>
      <c r="C55" s="798">
        <v>445834.59028674639</v>
      </c>
      <c r="D55" s="798">
        <v>169617.94959465257</v>
      </c>
      <c r="E55" s="445">
        <v>454018</v>
      </c>
      <c r="F55" s="458">
        <v>14784.1761070666</v>
      </c>
      <c r="G55" s="458">
        <v>0</v>
      </c>
      <c r="H55" s="457">
        <f t="shared" si="6"/>
        <v>1084254.7159884656</v>
      </c>
    </row>
    <row r="56" spans="1:10">
      <c r="A56" s="187">
        <f t="shared" si="7"/>
        <v>14</v>
      </c>
      <c r="B56" s="197"/>
      <c r="C56" s="459"/>
      <c r="D56" s="459"/>
      <c r="E56" s="459"/>
      <c r="F56" s="459"/>
      <c r="G56" s="458"/>
      <c r="H56" s="460"/>
    </row>
    <row r="57" spans="1:10">
      <c r="A57" s="187">
        <f t="shared" si="7"/>
        <v>15</v>
      </c>
      <c r="B57" s="452" t="s">
        <v>503</v>
      </c>
      <c r="C57" s="462">
        <f>+AVERAGE(C43:C55)</f>
        <v>278646.61892921652</v>
      </c>
      <c r="D57" s="462">
        <f>+AVERAGE(D43:D55)</f>
        <v>96924.542625515751</v>
      </c>
      <c r="E57" s="462">
        <f>+AVERAGE(E43:E55)</f>
        <v>337071.53846153844</v>
      </c>
      <c r="F57" s="462">
        <f>+AVERAGE(F43:F55)</f>
        <v>11618.927333841613</v>
      </c>
      <c r="G57" s="462">
        <f>+AVERAGE(G43:G55)</f>
        <v>0</v>
      </c>
      <c r="H57" s="463">
        <f>+SUM(C57:G57)</f>
        <v>724261.62735011219</v>
      </c>
    </row>
    <row r="58" spans="1:10">
      <c r="A58" s="187"/>
      <c r="B58" s="198"/>
      <c r="C58" s="458"/>
      <c r="D58" s="458"/>
      <c r="E58" s="458"/>
      <c r="F58" s="458"/>
      <c r="G58" s="458"/>
      <c r="H58" s="464"/>
    </row>
    <row r="59" spans="1:10" ht="13.5" thickBot="1">
      <c r="A59" s="187"/>
      <c r="B59" s="452" t="s">
        <v>502</v>
      </c>
      <c r="C59" s="465">
        <f t="shared" ref="C59:H59" si="8">C27-C57</f>
        <v>16844835.381070785</v>
      </c>
      <c r="D59" s="465">
        <f t="shared" si="8"/>
        <v>7348373.4573744843</v>
      </c>
      <c r="E59" s="465">
        <f t="shared" si="8"/>
        <v>47517563.849230781</v>
      </c>
      <c r="F59" s="465">
        <f t="shared" si="8"/>
        <v>382780.07266615838</v>
      </c>
      <c r="G59" s="465">
        <f t="shared" si="8"/>
        <v>530449</v>
      </c>
      <c r="H59" s="466">
        <f t="shared" si="8"/>
        <v>72624001.760342211</v>
      </c>
      <c r="I59" s="770"/>
      <c r="J59" s="769"/>
    </row>
    <row r="60" spans="1:10" ht="13.5" thickTop="1">
      <c r="A60" s="187"/>
      <c r="B60" s="198"/>
      <c r="C60" s="775"/>
      <c r="D60" s="775"/>
      <c r="E60" s="775"/>
      <c r="F60" s="652"/>
      <c r="G60" s="754"/>
      <c r="H60" s="653"/>
    </row>
    <row r="61" spans="1:10">
      <c r="A61" s="199"/>
      <c r="B61" s="454" t="s">
        <v>500</v>
      </c>
      <c r="C61" s="789">
        <f t="shared" ref="C61:H61" si="9">C55-C43</f>
        <v>334375.94271505985</v>
      </c>
      <c r="D61" s="789">
        <f t="shared" si="9"/>
        <v>145386.81393827364</v>
      </c>
      <c r="E61" s="789">
        <f t="shared" si="9"/>
        <v>233893</v>
      </c>
      <c r="F61" s="790">
        <f t="shared" si="9"/>
        <v>6330.4975464499403</v>
      </c>
      <c r="G61" s="790">
        <f t="shared" si="9"/>
        <v>0</v>
      </c>
      <c r="H61" s="791">
        <f t="shared" si="9"/>
        <v>719986.25419978343</v>
      </c>
    </row>
    <row r="62" spans="1:10">
      <c r="G62" s="768"/>
      <c r="H62" s="769"/>
    </row>
  </sheetData>
  <mergeCells count="6">
    <mergeCell ref="A36:G36"/>
    <mergeCell ref="A4:G4"/>
    <mergeCell ref="A5:G5"/>
    <mergeCell ref="A6:G6"/>
    <mergeCell ref="A34:G34"/>
    <mergeCell ref="A35:G35"/>
  </mergeCells>
  <printOptions horizontalCentered="1"/>
  <pageMargins left="0.75" right="0.75" top="0.75" bottom="0.75" header="0.5" footer="0.5"/>
  <pageSetup scale="71" orientation="portrait" r:id="rId1"/>
  <headerFooter>
    <oddHeader xml:space="preserve">&amp;R&amp;"Arial,Regular"&amp;10Attachment GG Work Paper
Page 1 of 1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2"/>
  <sheetViews>
    <sheetView showGridLines="0" topLeftCell="A4" workbookViewId="0">
      <selection activeCell="C28" sqref="C28:E28"/>
    </sheetView>
  </sheetViews>
  <sheetFormatPr defaultRowHeight="12.75"/>
  <cols>
    <col min="1" max="1" width="3.6640625" style="182" customWidth="1"/>
    <col min="2" max="2" width="20.33203125" style="183" customWidth="1"/>
    <col min="3" max="3" width="15.5546875" style="183" customWidth="1"/>
    <col min="4" max="4" width="14.6640625" style="183" customWidth="1"/>
    <col min="5" max="5" width="14.21875" style="183" customWidth="1"/>
    <col min="6" max="6" width="12.77734375" style="183" customWidth="1"/>
    <col min="7" max="16384" width="8.88671875" style="356"/>
  </cols>
  <sheetData>
    <row r="4" spans="1:10">
      <c r="A4" s="802" t="s">
        <v>0</v>
      </c>
      <c r="B4" s="802"/>
      <c r="C4" s="802"/>
      <c r="D4" s="802"/>
      <c r="E4" s="802"/>
      <c r="F4" s="802"/>
      <c r="G4" s="475"/>
      <c r="H4" s="475"/>
      <c r="I4" s="475"/>
      <c r="J4" s="475"/>
    </row>
    <row r="5" spans="1:10">
      <c r="A5" s="883" t="s">
        <v>582</v>
      </c>
      <c r="B5" s="802"/>
      <c r="C5" s="802"/>
      <c r="D5" s="802"/>
      <c r="E5" s="802"/>
      <c r="F5" s="802"/>
      <c r="G5" s="794"/>
    </row>
    <row r="6" spans="1:10">
      <c r="A6" s="802" t="str">
        <f>'Page 1 - PIS'!A5:G5</f>
        <v>For the 13 Months Ended December 31, 2013</v>
      </c>
      <c r="B6" s="802"/>
      <c r="C6" s="802"/>
      <c r="D6" s="802"/>
      <c r="E6" s="802"/>
      <c r="F6" s="802"/>
    </row>
    <row r="8" spans="1:10">
      <c r="B8" s="182" t="s">
        <v>1</v>
      </c>
      <c r="C8" s="182" t="s">
        <v>2</v>
      </c>
      <c r="D8" s="182" t="s">
        <v>3</v>
      </c>
      <c r="E8" s="182" t="s">
        <v>4</v>
      </c>
      <c r="F8" s="443" t="s">
        <v>5</v>
      </c>
    </row>
    <row r="10" spans="1:10">
      <c r="A10" s="184"/>
      <c r="B10" s="209"/>
      <c r="C10" s="185" t="s">
        <v>370</v>
      </c>
      <c r="D10" s="690" t="s">
        <v>554</v>
      </c>
      <c r="E10" s="690" t="s">
        <v>553</v>
      </c>
      <c r="F10" s="186"/>
    </row>
    <row r="11" spans="1:10">
      <c r="A11" s="187" t="s">
        <v>8</v>
      </c>
      <c r="B11" s="188"/>
      <c r="C11" s="779" t="s">
        <v>585</v>
      </c>
      <c r="D11" s="779" t="s">
        <v>584</v>
      </c>
      <c r="E11" s="779" t="s">
        <v>585</v>
      </c>
      <c r="F11" s="190"/>
    </row>
    <row r="12" spans="1:10">
      <c r="A12" s="191" t="s">
        <v>10</v>
      </c>
      <c r="B12" s="210" t="s">
        <v>47</v>
      </c>
      <c r="C12" s="440" t="s">
        <v>496</v>
      </c>
      <c r="D12" s="691" t="s">
        <v>555</v>
      </c>
      <c r="E12" s="691" t="s">
        <v>556</v>
      </c>
      <c r="F12" s="193" t="s">
        <v>16</v>
      </c>
    </row>
    <row r="13" spans="1:10">
      <c r="A13" s="184">
        <v>1</v>
      </c>
      <c r="B13" s="664" t="s">
        <v>576</v>
      </c>
      <c r="C13" s="445">
        <f>'Page 3 - CWIP'!F13</f>
        <v>7539896.2999999998</v>
      </c>
      <c r="D13" s="445">
        <f>'Page 3 - CWIP'!G13</f>
        <v>1191057</v>
      </c>
      <c r="E13" s="458">
        <f>'Page 3 - CWIP'!H13</f>
        <v>3805846</v>
      </c>
      <c r="F13" s="457">
        <f t="shared" ref="F13:F25" si="0">+SUM(C13:E13)</f>
        <v>12536799.300000001</v>
      </c>
      <c r="H13" s="445"/>
      <c r="I13" s="445"/>
      <c r="J13" s="445"/>
    </row>
    <row r="14" spans="1:10">
      <c r="A14" s="187">
        <f>+A13+1</f>
        <v>2</v>
      </c>
      <c r="B14" s="665" t="s">
        <v>577</v>
      </c>
      <c r="C14" s="445">
        <f>'Page 3 - CWIP'!F14</f>
        <v>8529400.3000000007</v>
      </c>
      <c r="D14" s="445">
        <f>'Page 3 - CWIP'!G14</f>
        <v>1341617</v>
      </c>
      <c r="E14" s="458">
        <f>'Page 3 - CWIP'!H14</f>
        <v>3947756</v>
      </c>
      <c r="F14" s="457">
        <f t="shared" si="0"/>
        <v>13818773.300000001</v>
      </c>
      <c r="H14" s="445"/>
      <c r="I14" s="445"/>
      <c r="J14" s="445"/>
    </row>
    <row r="15" spans="1:10">
      <c r="A15" s="187">
        <f>+A14+1</f>
        <v>3</v>
      </c>
      <c r="B15" s="197" t="s">
        <v>17</v>
      </c>
      <c r="C15" s="445">
        <f>'Page 3 - CWIP'!F15</f>
        <v>9420592.3000000007</v>
      </c>
      <c r="D15" s="445">
        <f>'Page 3 - CWIP'!G15</f>
        <v>1525413</v>
      </c>
      <c r="E15" s="458">
        <f>'Page 3 - CWIP'!H15</f>
        <v>4113276</v>
      </c>
      <c r="F15" s="457">
        <f t="shared" si="0"/>
        <v>15059281.300000001</v>
      </c>
      <c r="H15" s="445"/>
      <c r="I15" s="445"/>
      <c r="J15" s="445"/>
    </row>
    <row r="16" spans="1:10">
      <c r="A16" s="187">
        <f>+A15+1</f>
        <v>4</v>
      </c>
      <c r="B16" s="197" t="s">
        <v>18</v>
      </c>
      <c r="C16" s="445">
        <f>'Page 3 - CWIP'!F16</f>
        <v>10564835.300000001</v>
      </c>
      <c r="D16" s="445">
        <f>'Page 3 - CWIP'!G16</f>
        <v>1874915</v>
      </c>
      <c r="E16" s="458">
        <f>'Page 3 - CWIP'!H16</f>
        <v>4248796</v>
      </c>
      <c r="F16" s="457">
        <f t="shared" si="0"/>
        <v>16688546.300000001</v>
      </c>
      <c r="H16" s="445"/>
      <c r="I16" s="445"/>
      <c r="J16" s="445"/>
    </row>
    <row r="17" spans="1:10">
      <c r="A17" s="187">
        <f>+A16+1</f>
        <v>5</v>
      </c>
      <c r="B17" s="197" t="s">
        <v>19</v>
      </c>
      <c r="C17" s="445">
        <f>'Page 3 - CWIP'!F17</f>
        <v>11615431.300000001</v>
      </c>
      <c r="D17" s="445">
        <f>'Page 3 - CWIP'!G17</f>
        <v>2382582</v>
      </c>
      <c r="E17" s="458">
        <f>'Page 3 - CWIP'!H17</f>
        <v>4330316</v>
      </c>
      <c r="F17" s="457">
        <f t="shared" si="0"/>
        <v>18328329.300000001</v>
      </c>
      <c r="H17" s="445"/>
      <c r="I17" s="445"/>
      <c r="J17" s="445"/>
    </row>
    <row r="18" spans="1:10">
      <c r="A18" s="187">
        <f>+A17+1</f>
        <v>6</v>
      </c>
      <c r="B18" s="197" t="s">
        <v>20</v>
      </c>
      <c r="C18" s="445">
        <f>'Page 3 - CWIP'!F18</f>
        <v>12654394.300000001</v>
      </c>
      <c r="D18" s="445">
        <f>'Page 3 - CWIP'!G18</f>
        <v>2918859</v>
      </c>
      <c r="E18" s="458">
        <f>'Page 3 - CWIP'!H18</f>
        <v>4411836</v>
      </c>
      <c r="F18" s="457">
        <f t="shared" si="0"/>
        <v>19985089.300000001</v>
      </c>
      <c r="H18" s="445"/>
      <c r="I18" s="445"/>
      <c r="J18" s="445"/>
    </row>
    <row r="19" spans="1:10">
      <c r="A19" s="187">
        <f t="shared" ref="A19:A27" si="1">+A18+1</f>
        <v>7</v>
      </c>
      <c r="B19" s="197" t="s">
        <v>21</v>
      </c>
      <c r="C19" s="445">
        <f>'Page 3 - CWIP'!F19</f>
        <v>13724589.300000001</v>
      </c>
      <c r="D19" s="445">
        <f>'Page 3 - CWIP'!G19</f>
        <v>3261129</v>
      </c>
      <c r="E19" s="458">
        <f>'Page 3 - CWIP'!H19</f>
        <v>4494136</v>
      </c>
      <c r="F19" s="457">
        <f t="shared" si="0"/>
        <v>21479854.300000001</v>
      </c>
      <c r="H19" s="445"/>
      <c r="I19" s="445"/>
      <c r="J19" s="445"/>
    </row>
    <row r="20" spans="1:10">
      <c r="A20" s="187">
        <f t="shared" si="1"/>
        <v>8</v>
      </c>
      <c r="B20" s="197" t="s">
        <v>22</v>
      </c>
      <c r="C20" s="445">
        <f>'Page 3 - CWIP'!F20</f>
        <v>14670839.300000001</v>
      </c>
      <c r="D20" s="445">
        <f>'Page 3 - CWIP'!G20</f>
        <v>3559186</v>
      </c>
      <c r="E20" s="458">
        <f>'Page 3 - CWIP'!H20</f>
        <v>4576436</v>
      </c>
      <c r="F20" s="457">
        <f t="shared" si="0"/>
        <v>22806461.300000001</v>
      </c>
      <c r="H20" s="445"/>
      <c r="I20" s="445"/>
      <c r="J20" s="445"/>
    </row>
    <row r="21" spans="1:10">
      <c r="A21" s="187">
        <f t="shared" si="1"/>
        <v>9</v>
      </c>
      <c r="B21" s="197" t="s">
        <v>23</v>
      </c>
      <c r="C21" s="445">
        <f>'Page 3 - CWIP'!F21+5588956</f>
        <v>15565158</v>
      </c>
      <c r="D21" s="445">
        <f>'Page 3 - CWIP'!G21</f>
        <v>3966826</v>
      </c>
      <c r="E21" s="458">
        <f>'Page 3 - CWIP'!H21</f>
        <v>4718736</v>
      </c>
      <c r="F21" s="457">
        <f t="shared" si="0"/>
        <v>24250720</v>
      </c>
      <c r="H21" s="445"/>
      <c r="I21" s="445"/>
      <c r="J21" s="445"/>
    </row>
    <row r="22" spans="1:10">
      <c r="A22" s="187">
        <f t="shared" si="1"/>
        <v>10</v>
      </c>
      <c r="B22" s="197" t="s">
        <v>24</v>
      </c>
      <c r="C22" s="445">
        <f>'Page 3 - CWIP'!F22+54599+5588956</f>
        <v>16168014</v>
      </c>
      <c r="D22" s="445">
        <f>'Page 3 - CWIP'!G22</f>
        <v>4256023</v>
      </c>
      <c r="E22" s="458">
        <f>'Page 3 - CWIP'!H22</f>
        <v>4860256</v>
      </c>
      <c r="F22" s="457">
        <f t="shared" si="0"/>
        <v>25284293</v>
      </c>
      <c r="H22" s="445"/>
      <c r="I22" s="445"/>
      <c r="J22" s="445"/>
    </row>
    <row r="23" spans="1:10">
      <c r="A23" s="187">
        <f t="shared" si="1"/>
        <v>11</v>
      </c>
      <c r="B23" s="197" t="s">
        <v>25</v>
      </c>
      <c r="C23" s="445">
        <f>'Page 3 - CWIP'!F23+5588956+54599+2062</f>
        <v>16126639</v>
      </c>
      <c r="D23" s="445">
        <f>'Page 3 - CWIP'!G23</f>
        <v>4520632</v>
      </c>
      <c r="E23" s="458">
        <f>'Page 3 - CWIP'!H23</f>
        <v>5007776</v>
      </c>
      <c r="F23" s="457">
        <f t="shared" si="0"/>
        <v>25655047</v>
      </c>
      <c r="H23" s="445"/>
      <c r="I23" s="445"/>
      <c r="J23" s="445"/>
    </row>
    <row r="24" spans="1:10">
      <c r="A24" s="187">
        <f t="shared" si="1"/>
        <v>12</v>
      </c>
      <c r="B24" s="197" t="s">
        <v>26</v>
      </c>
      <c r="C24" s="445">
        <f>'Page 3 - CWIP'!F24+5588956+54599+2062+21103</f>
        <v>18033919</v>
      </c>
      <c r="D24" s="445">
        <f>'Page 3 - CWIP'!G24</f>
        <v>4815095</v>
      </c>
      <c r="E24" s="458">
        <f>'Page 3 - CWIP'!H24</f>
        <v>5185296</v>
      </c>
      <c r="F24" s="457">
        <f t="shared" si="0"/>
        <v>28034310</v>
      </c>
      <c r="H24" s="445"/>
      <c r="I24" s="445"/>
      <c r="J24" s="445"/>
    </row>
    <row r="25" spans="1:10">
      <c r="A25" s="187">
        <f t="shared" si="1"/>
        <v>13</v>
      </c>
      <c r="B25" s="197" t="s">
        <v>27</v>
      </c>
      <c r="C25" s="445">
        <f>'Page 3 - CWIP'!F25+5588956+54599+2062+21103+4580659</f>
        <v>19127145</v>
      </c>
      <c r="D25" s="445">
        <f>'Page 3 - CWIP'!G25</f>
        <v>5056116</v>
      </c>
      <c r="E25" s="458">
        <f>'Page 3 - CWIP'!H25</f>
        <v>5367886</v>
      </c>
      <c r="F25" s="457">
        <f t="shared" si="0"/>
        <v>29551147</v>
      </c>
      <c r="H25" s="445"/>
      <c r="I25" s="445"/>
      <c r="J25" s="445"/>
    </row>
    <row r="26" spans="1:10">
      <c r="A26" s="187">
        <f t="shared" si="1"/>
        <v>14</v>
      </c>
      <c r="B26" s="197"/>
      <c r="C26" s="459"/>
      <c r="D26" s="459"/>
      <c r="E26" s="459"/>
      <c r="F26" s="457"/>
    </row>
    <row r="27" spans="1:10">
      <c r="A27" s="187">
        <f t="shared" si="1"/>
        <v>15</v>
      </c>
      <c r="B27" s="198" t="s">
        <v>28</v>
      </c>
      <c r="C27" s="461">
        <f>+AVERAGE(C13:C25)</f>
        <v>13364681.030769229</v>
      </c>
      <c r="D27" s="461">
        <f>+AVERAGE(D13:D25)</f>
        <v>3128419.230769231</v>
      </c>
      <c r="E27" s="461">
        <f>+AVERAGE(E13:E25)</f>
        <v>4543719.076923077</v>
      </c>
      <c r="F27" s="757">
        <f>+SUM(C27:E27)</f>
        <v>21036819.338461537</v>
      </c>
      <c r="G27" s="770"/>
      <c r="H27" s="769"/>
    </row>
    <row r="28" spans="1:10">
      <c r="A28" s="199"/>
      <c r="B28" s="211"/>
      <c r="C28" s="767"/>
      <c r="D28" s="767"/>
      <c r="E28" s="774"/>
      <c r="F28" s="201"/>
    </row>
    <row r="29" spans="1:10">
      <c r="C29" s="474"/>
    </row>
    <row r="30" spans="1:10">
      <c r="B30" s="780" t="s">
        <v>586</v>
      </c>
      <c r="C30" s="663"/>
      <c r="D30" s="663"/>
    </row>
    <row r="31" spans="1:10">
      <c r="B31" s="780" t="s">
        <v>587</v>
      </c>
      <c r="C31" s="663"/>
      <c r="D31" s="663"/>
    </row>
    <row r="32" spans="1:10">
      <c r="B32" s="780"/>
      <c r="C32" s="663"/>
      <c r="D32" s="663"/>
    </row>
    <row r="33" spans="1:6">
      <c r="B33" s="451"/>
    </row>
    <row r="34" spans="1:6">
      <c r="A34" s="802" t="s">
        <v>0</v>
      </c>
      <c r="B34" s="802"/>
      <c r="C34" s="802"/>
      <c r="D34" s="802"/>
      <c r="E34" s="802"/>
      <c r="F34" s="802"/>
    </row>
    <row r="35" spans="1:6">
      <c r="A35" s="802" t="s">
        <v>501</v>
      </c>
      <c r="B35" s="802"/>
      <c r="C35" s="802"/>
      <c r="D35" s="802"/>
      <c r="E35" s="802"/>
      <c r="F35" s="802"/>
    </row>
    <row r="36" spans="1:6">
      <c r="A36" s="883" t="str">
        <f>A6</f>
        <v>For the 13 Months Ended December 31, 2013</v>
      </c>
      <c r="B36" s="802"/>
      <c r="C36" s="802"/>
      <c r="D36" s="802"/>
      <c r="E36" s="802"/>
      <c r="F36" s="802"/>
    </row>
    <row r="38" spans="1:6">
      <c r="B38" s="182" t="str">
        <f>B8</f>
        <v>(A)</v>
      </c>
      <c r="C38" s="182" t="str">
        <f t="shared" ref="C38:F38" si="2">C8</f>
        <v>(B)</v>
      </c>
      <c r="D38" s="182" t="str">
        <f t="shared" si="2"/>
        <v>(C)</v>
      </c>
      <c r="E38" s="182" t="str">
        <f t="shared" si="2"/>
        <v>(D)</v>
      </c>
      <c r="F38" s="182" t="str">
        <f t="shared" si="2"/>
        <v>(E)</v>
      </c>
    </row>
    <row r="40" spans="1:6">
      <c r="A40" s="184"/>
      <c r="B40" s="453" t="s">
        <v>504</v>
      </c>
      <c r="C40" s="185" t="str">
        <f t="shared" ref="C40:E42" si="3">C10</f>
        <v>CAPX 2020 Brookings</v>
      </c>
      <c r="D40" s="185" t="str">
        <f t="shared" si="3"/>
        <v>BSS - Ellendale</v>
      </c>
      <c r="E40" s="185" t="str">
        <f t="shared" si="3"/>
        <v>BSS - Brookings</v>
      </c>
      <c r="F40" s="186"/>
    </row>
    <row r="41" spans="1:6">
      <c r="A41" s="187" t="s">
        <v>8</v>
      </c>
      <c r="B41" s="452" t="s">
        <v>505</v>
      </c>
      <c r="C41" s="189" t="str">
        <f t="shared" si="3"/>
        <v>Project (See Below)</v>
      </c>
      <c r="D41" s="189" t="str">
        <f t="shared" si="3"/>
        <v>Project (104593)</v>
      </c>
      <c r="E41" s="189" t="str">
        <f t="shared" si="3"/>
        <v>Project (See Below)</v>
      </c>
      <c r="F41" s="190"/>
    </row>
    <row r="42" spans="1:6">
      <c r="A42" s="191" t="s">
        <v>10</v>
      </c>
      <c r="B42" s="210" t="s">
        <v>47</v>
      </c>
      <c r="C42" s="479" t="str">
        <f t="shared" si="3"/>
        <v>MTEP No. 1203</v>
      </c>
      <c r="D42" s="479" t="str">
        <f t="shared" si="3"/>
        <v>MTEP No. 2220</v>
      </c>
      <c r="E42" s="479" t="str">
        <f t="shared" si="3"/>
        <v>MTEP No. 2221</v>
      </c>
      <c r="F42" s="193" t="s">
        <v>16</v>
      </c>
    </row>
    <row r="43" spans="1:6">
      <c r="A43" s="184">
        <v>1</v>
      </c>
      <c r="B43" s="664" t="str">
        <f>B13</f>
        <v>December 2012</v>
      </c>
      <c r="C43" s="445">
        <v>0</v>
      </c>
      <c r="D43" s="445">
        <v>0</v>
      </c>
      <c r="E43" s="445">
        <v>0</v>
      </c>
      <c r="F43" s="457">
        <f>+SUM(C43:E43)</f>
        <v>0</v>
      </c>
    </row>
    <row r="44" spans="1:6">
      <c r="A44" s="187">
        <f>+A43+1</f>
        <v>2</v>
      </c>
      <c r="B44" s="665" t="str">
        <f>B14</f>
        <v>January 2013</v>
      </c>
      <c r="C44" s="445">
        <v>0</v>
      </c>
      <c r="D44" s="445">
        <v>0</v>
      </c>
      <c r="E44" s="445">
        <v>0</v>
      </c>
      <c r="F44" s="457">
        <f t="shared" ref="F44:F55" si="4">+SUM(C44:E44)</f>
        <v>0</v>
      </c>
    </row>
    <row r="45" spans="1:6">
      <c r="A45" s="187">
        <f>+A44+1</f>
        <v>3</v>
      </c>
      <c r="B45" s="197" t="s">
        <v>17</v>
      </c>
      <c r="C45" s="445">
        <v>0</v>
      </c>
      <c r="D45" s="445">
        <v>0</v>
      </c>
      <c r="E45" s="445">
        <v>0</v>
      </c>
      <c r="F45" s="457">
        <f t="shared" si="4"/>
        <v>0</v>
      </c>
    </row>
    <row r="46" spans="1:6">
      <c r="A46" s="187">
        <f>+A45+1</f>
        <v>4</v>
      </c>
      <c r="B46" s="197" t="s">
        <v>18</v>
      </c>
      <c r="C46" s="445">
        <v>0</v>
      </c>
      <c r="D46" s="445">
        <v>0</v>
      </c>
      <c r="E46" s="445">
        <v>0</v>
      </c>
      <c r="F46" s="457">
        <f t="shared" si="4"/>
        <v>0</v>
      </c>
    </row>
    <row r="47" spans="1:6">
      <c r="A47" s="187">
        <f>+A46+1</f>
        <v>5</v>
      </c>
      <c r="B47" s="197" t="s">
        <v>19</v>
      </c>
      <c r="C47" s="445">
        <v>0</v>
      </c>
      <c r="D47" s="445">
        <v>0</v>
      </c>
      <c r="E47" s="445">
        <v>0</v>
      </c>
      <c r="F47" s="457">
        <f t="shared" si="4"/>
        <v>0</v>
      </c>
    </row>
    <row r="48" spans="1:6">
      <c r="A48" s="187">
        <f>+A47+1</f>
        <v>6</v>
      </c>
      <c r="B48" s="197" t="s">
        <v>20</v>
      </c>
      <c r="C48" s="445">
        <v>0</v>
      </c>
      <c r="D48" s="445">
        <v>0</v>
      </c>
      <c r="E48" s="445">
        <v>0</v>
      </c>
      <c r="F48" s="457">
        <f t="shared" si="4"/>
        <v>0</v>
      </c>
    </row>
    <row r="49" spans="1:8">
      <c r="A49" s="187">
        <f t="shared" ref="A49:A57" si="5">+A48+1</f>
        <v>7</v>
      </c>
      <c r="B49" s="197" t="s">
        <v>21</v>
      </c>
      <c r="C49" s="445">
        <v>0</v>
      </c>
      <c r="D49" s="445">
        <v>0</v>
      </c>
      <c r="E49" s="445">
        <v>0</v>
      </c>
      <c r="F49" s="457">
        <f t="shared" si="4"/>
        <v>0</v>
      </c>
    </row>
    <row r="50" spans="1:8">
      <c r="A50" s="187">
        <f t="shared" si="5"/>
        <v>8</v>
      </c>
      <c r="B50" s="197" t="s">
        <v>22</v>
      </c>
      <c r="C50" s="445">
        <v>0</v>
      </c>
      <c r="D50" s="445">
        <v>0</v>
      </c>
      <c r="E50" s="445">
        <v>0</v>
      </c>
      <c r="F50" s="457">
        <f t="shared" si="4"/>
        <v>0</v>
      </c>
    </row>
    <row r="51" spans="1:8">
      <c r="A51" s="187">
        <f t="shared" si="5"/>
        <v>9</v>
      </c>
      <c r="B51" s="197" t="s">
        <v>23</v>
      </c>
      <c r="C51" s="445">
        <v>0</v>
      </c>
      <c r="D51" s="445">
        <v>0</v>
      </c>
      <c r="E51" s="445">
        <v>0</v>
      </c>
      <c r="F51" s="457">
        <f t="shared" si="4"/>
        <v>0</v>
      </c>
    </row>
    <row r="52" spans="1:8">
      <c r="A52" s="187">
        <f t="shared" si="5"/>
        <v>10</v>
      </c>
      <c r="B52" s="197" t="s">
        <v>24</v>
      </c>
      <c r="C52" s="445">
        <v>9160</v>
      </c>
      <c r="D52" s="445">
        <v>0</v>
      </c>
      <c r="E52" s="445">
        <v>0</v>
      </c>
      <c r="F52" s="457">
        <f t="shared" si="4"/>
        <v>9160</v>
      </c>
    </row>
    <row r="53" spans="1:8">
      <c r="A53" s="187">
        <f t="shared" si="5"/>
        <v>11</v>
      </c>
      <c r="B53" s="197" t="s">
        <v>25</v>
      </c>
      <c r="C53" s="445">
        <v>18410</v>
      </c>
      <c r="D53" s="445">
        <v>0</v>
      </c>
      <c r="E53" s="445">
        <v>0</v>
      </c>
      <c r="F53" s="457">
        <f t="shared" si="4"/>
        <v>18410</v>
      </c>
    </row>
    <row r="54" spans="1:8">
      <c r="A54" s="187">
        <f t="shared" si="5"/>
        <v>12</v>
      </c>
      <c r="B54" s="197" t="s">
        <v>26</v>
      </c>
      <c r="C54" s="445">
        <v>27663</v>
      </c>
      <c r="D54" s="445">
        <v>0</v>
      </c>
      <c r="E54" s="445">
        <v>0</v>
      </c>
      <c r="F54" s="457">
        <f t="shared" si="4"/>
        <v>27663</v>
      </c>
    </row>
    <row r="55" spans="1:8">
      <c r="A55" s="187">
        <f t="shared" si="5"/>
        <v>13</v>
      </c>
      <c r="B55" s="197" t="s">
        <v>27</v>
      </c>
      <c r="C55" s="445">
        <v>36951</v>
      </c>
      <c r="D55" s="445">
        <v>0</v>
      </c>
      <c r="E55" s="445">
        <v>0</v>
      </c>
      <c r="F55" s="457">
        <f t="shared" si="4"/>
        <v>36951</v>
      </c>
    </row>
    <row r="56" spans="1:8">
      <c r="A56" s="187">
        <f t="shared" si="5"/>
        <v>14</v>
      </c>
      <c r="B56" s="197"/>
      <c r="C56" s="445"/>
      <c r="D56" s="445"/>
      <c r="E56" s="445"/>
      <c r="F56" s="460"/>
    </row>
    <row r="57" spans="1:8">
      <c r="A57" s="187">
        <f t="shared" si="5"/>
        <v>15</v>
      </c>
      <c r="B57" s="452" t="s">
        <v>503</v>
      </c>
      <c r="C57" s="787">
        <f>+AVERAGE(C43:C55)</f>
        <v>7091.0769230769229</v>
      </c>
      <c r="D57" s="787">
        <f t="shared" ref="D57:E57" si="6">+AVERAGE(D43:D55)</f>
        <v>0</v>
      </c>
      <c r="E57" s="787">
        <f t="shared" si="6"/>
        <v>0</v>
      </c>
      <c r="F57" s="463">
        <f>+SUM(C57:E57)</f>
        <v>7091.0769230769229</v>
      </c>
    </row>
    <row r="58" spans="1:8">
      <c r="A58" s="187"/>
      <c r="B58" s="198"/>
      <c r="C58" s="458"/>
      <c r="D58" s="458"/>
      <c r="E58" s="458"/>
      <c r="F58" s="464"/>
    </row>
    <row r="59" spans="1:8" ht="13.5" thickBot="1">
      <c r="A59" s="187"/>
      <c r="B59" s="452" t="s">
        <v>502</v>
      </c>
      <c r="C59" s="788">
        <f>C27-C57</f>
        <v>13357589.953846153</v>
      </c>
      <c r="D59" s="788">
        <f>D27-D57</f>
        <v>3128419.230769231</v>
      </c>
      <c r="E59" s="788">
        <f>E27-E57</f>
        <v>4543719.076923077</v>
      </c>
      <c r="F59" s="466">
        <f>F27-F57</f>
        <v>21029728.261538461</v>
      </c>
      <c r="G59" s="770"/>
      <c r="H59" s="769"/>
    </row>
    <row r="60" spans="1:8" ht="13.5" thickTop="1">
      <c r="A60" s="187"/>
      <c r="B60" s="198"/>
      <c r="C60" s="652"/>
      <c r="D60" s="455"/>
      <c r="E60" s="652"/>
      <c r="F60" s="653"/>
    </row>
    <row r="61" spans="1:8">
      <c r="A61" s="199"/>
      <c r="B61" s="454" t="s">
        <v>500</v>
      </c>
      <c r="C61" s="789">
        <f>C55-C43</f>
        <v>36951</v>
      </c>
      <c r="D61" s="790">
        <f>D55-D43</f>
        <v>0</v>
      </c>
      <c r="E61" s="790">
        <f>E55-E43</f>
        <v>0</v>
      </c>
      <c r="F61" s="791">
        <f>F55-F43</f>
        <v>36951</v>
      </c>
    </row>
    <row r="62" spans="1:8">
      <c r="F62" s="768"/>
      <c r="G62" s="769"/>
    </row>
  </sheetData>
  <mergeCells count="6">
    <mergeCell ref="A36:F36"/>
    <mergeCell ref="A4:F4"/>
    <mergeCell ref="A5:F5"/>
    <mergeCell ref="A6:F6"/>
    <mergeCell ref="A34:F34"/>
    <mergeCell ref="A35:F35"/>
  </mergeCells>
  <printOptions horizontalCentered="1"/>
  <pageMargins left="0.75" right="0.75" top="0.75" bottom="0.75" header="0.5" footer="0.5"/>
  <pageSetup scale="76" orientation="portrait" r:id="rId1"/>
  <headerFooter>
    <oddHeader xml:space="preserve">&amp;R&amp;"Arial,Regular"&amp;10Attachment MM Work Paper
Page 1 of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4:S32"/>
  <sheetViews>
    <sheetView showGridLines="0" zoomScaleNormal="100" workbookViewId="0">
      <selection activeCell="H34" sqref="H34"/>
    </sheetView>
  </sheetViews>
  <sheetFormatPr defaultRowHeight="12.75"/>
  <cols>
    <col min="1" max="1" width="3.6640625" style="182" customWidth="1"/>
    <col min="2" max="2" width="18.6640625" style="183" bestFit="1" customWidth="1"/>
    <col min="3" max="3" width="15.77734375" style="183" customWidth="1"/>
    <col min="4" max="4" width="17.88671875" style="183" customWidth="1"/>
    <col min="5" max="8" width="15.77734375" style="183" customWidth="1"/>
    <col min="9" max="9" width="12.77734375" style="183" customWidth="1"/>
    <col min="10" max="19" width="9.109375" style="183" customWidth="1"/>
    <col min="20" max="16384" width="8.88671875" style="183"/>
  </cols>
  <sheetData>
    <row r="4" spans="1:19">
      <c r="A4" s="802" t="s">
        <v>0</v>
      </c>
      <c r="B4" s="802"/>
      <c r="C4" s="802"/>
      <c r="D4" s="802"/>
      <c r="E4" s="802"/>
      <c r="F4" s="802"/>
      <c r="G4" s="802"/>
      <c r="H4" s="802"/>
      <c r="I4" s="802"/>
    </row>
    <row r="5" spans="1:19">
      <c r="A5" s="802" t="s">
        <v>367</v>
      </c>
      <c r="B5" s="802"/>
      <c r="C5" s="802"/>
      <c r="D5" s="802"/>
      <c r="E5" s="802"/>
      <c r="F5" s="802"/>
      <c r="G5" s="802"/>
      <c r="H5" s="802"/>
      <c r="I5" s="802"/>
    </row>
    <row r="6" spans="1:19">
      <c r="A6" s="802" t="str">
        <f>'Page 1 - PIS'!A5:G5</f>
        <v>For the 13 Months Ended December 31, 2013</v>
      </c>
      <c r="B6" s="802"/>
      <c r="C6" s="802"/>
      <c r="D6" s="802"/>
      <c r="E6" s="802"/>
      <c r="F6" s="802"/>
      <c r="G6" s="802"/>
      <c r="H6" s="802"/>
      <c r="I6" s="802"/>
      <c r="J6" s="794"/>
    </row>
    <row r="8" spans="1:19">
      <c r="B8" s="182" t="s">
        <v>1</v>
      </c>
      <c r="C8" s="182" t="s">
        <v>2</v>
      </c>
      <c r="D8" s="182" t="s">
        <v>3</v>
      </c>
      <c r="E8" s="692" t="s">
        <v>4</v>
      </c>
      <c r="F8" s="692" t="s">
        <v>5</v>
      </c>
      <c r="G8" s="693" t="s">
        <v>7</v>
      </c>
      <c r="H8" s="693" t="s">
        <v>6</v>
      </c>
      <c r="I8" s="692" t="s">
        <v>30</v>
      </c>
    </row>
    <row r="10" spans="1:19">
      <c r="A10" s="184"/>
      <c r="B10" s="209"/>
      <c r="C10" s="185" t="s">
        <v>368</v>
      </c>
      <c r="D10" s="185" t="s">
        <v>368</v>
      </c>
      <c r="E10" s="185" t="s">
        <v>369</v>
      </c>
      <c r="F10" s="185" t="s">
        <v>370</v>
      </c>
      <c r="G10" s="690" t="s">
        <v>554</v>
      </c>
      <c r="H10" s="690" t="s">
        <v>553</v>
      </c>
      <c r="I10" s="186"/>
    </row>
    <row r="11" spans="1:19">
      <c r="A11" s="187" t="s">
        <v>8</v>
      </c>
      <c r="B11" s="188"/>
      <c r="C11" s="189" t="s">
        <v>491</v>
      </c>
      <c r="D11" s="779" t="s">
        <v>591</v>
      </c>
      <c r="E11" s="189" t="s">
        <v>493</v>
      </c>
      <c r="F11" s="189" t="s">
        <v>495</v>
      </c>
      <c r="G11" s="189" t="s">
        <v>495</v>
      </c>
      <c r="H11" s="189" t="s">
        <v>495</v>
      </c>
      <c r="I11" s="190"/>
    </row>
    <row r="12" spans="1:19">
      <c r="A12" s="191" t="s">
        <v>10</v>
      </c>
      <c r="B12" s="210" t="s">
        <v>47</v>
      </c>
      <c r="C12" s="440" t="s">
        <v>492</v>
      </c>
      <c r="D12" s="691" t="s">
        <v>590</v>
      </c>
      <c r="E12" s="440" t="s">
        <v>494</v>
      </c>
      <c r="F12" s="440" t="s">
        <v>496</v>
      </c>
      <c r="G12" s="691" t="s">
        <v>555</v>
      </c>
      <c r="H12" s="691" t="s">
        <v>556</v>
      </c>
      <c r="I12" s="193" t="s">
        <v>16</v>
      </c>
    </row>
    <row r="13" spans="1:19">
      <c r="A13" s="184">
        <v>1</v>
      </c>
      <c r="B13" s="664" t="s">
        <v>576</v>
      </c>
      <c r="C13" s="760">
        <v>0</v>
      </c>
      <c r="D13" s="760">
        <v>0</v>
      </c>
      <c r="E13" s="760">
        <v>26033879.920000002</v>
      </c>
      <c r="F13" s="760">
        <v>7539896.2999999998</v>
      </c>
      <c r="G13" s="760">
        <v>1191057</v>
      </c>
      <c r="H13" s="760">
        <v>3805846</v>
      </c>
      <c r="I13" s="761">
        <f t="shared" ref="I13:I25" si="0">+SUM(C13:H13)</f>
        <v>38570679.219999999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</row>
    <row r="14" spans="1:19" s="194" customFormat="1">
      <c r="A14" s="187">
        <f>+A13+1</f>
        <v>2</v>
      </c>
      <c r="B14" s="665" t="s">
        <v>577</v>
      </c>
      <c r="C14" s="760">
        <v>0</v>
      </c>
      <c r="D14" s="760">
        <v>0</v>
      </c>
      <c r="E14" s="760">
        <v>28420589.920000002</v>
      </c>
      <c r="F14" s="760">
        <v>8529400.3000000007</v>
      </c>
      <c r="G14" s="760">
        <v>1341617</v>
      </c>
      <c r="H14" s="760">
        <v>3947756</v>
      </c>
      <c r="I14" s="761">
        <f t="shared" si="0"/>
        <v>42239363.219999999</v>
      </c>
      <c r="J14" s="196"/>
      <c r="K14" s="196"/>
      <c r="L14" s="196"/>
      <c r="M14" s="196"/>
      <c r="N14" s="196"/>
      <c r="O14" s="196"/>
      <c r="P14" s="196"/>
      <c r="Q14" s="196"/>
      <c r="R14" s="196"/>
      <c r="S14" s="196"/>
    </row>
    <row r="15" spans="1:19">
      <c r="A15" s="187">
        <f>+A14+1</f>
        <v>3</v>
      </c>
      <c r="B15" s="197" t="s">
        <v>17</v>
      </c>
      <c r="C15" s="760">
        <v>0</v>
      </c>
      <c r="D15" s="760">
        <v>0</v>
      </c>
      <c r="E15" s="762">
        <v>30751206.920000002</v>
      </c>
      <c r="F15" s="760">
        <v>9420592.3000000007</v>
      </c>
      <c r="G15" s="760">
        <v>1525413</v>
      </c>
      <c r="H15" s="760">
        <v>4113276</v>
      </c>
      <c r="I15" s="761">
        <f t="shared" si="0"/>
        <v>45810488.219999999</v>
      </c>
      <c r="J15" s="194"/>
    </row>
    <row r="16" spans="1:19">
      <c r="A16" s="187">
        <f>+A15+1</f>
        <v>4</v>
      </c>
      <c r="B16" s="197" t="s">
        <v>18</v>
      </c>
      <c r="C16" s="760">
        <v>0</v>
      </c>
      <c r="D16" s="760">
        <v>0</v>
      </c>
      <c r="E16" s="760">
        <v>32592136.920000002</v>
      </c>
      <c r="F16" s="760">
        <v>10564835.300000001</v>
      </c>
      <c r="G16" s="760">
        <v>1874915</v>
      </c>
      <c r="H16" s="760">
        <v>4248796</v>
      </c>
      <c r="I16" s="761">
        <f t="shared" si="0"/>
        <v>49280683.219999999</v>
      </c>
    </row>
    <row r="17" spans="1:19">
      <c r="A17" s="187">
        <f>+A16+1</f>
        <v>5</v>
      </c>
      <c r="B17" s="197" t="s">
        <v>19</v>
      </c>
      <c r="C17" s="760">
        <v>0</v>
      </c>
      <c r="D17" s="760">
        <v>0</v>
      </c>
      <c r="E17" s="760">
        <v>34365306.920000002</v>
      </c>
      <c r="F17" s="760">
        <v>11615431.300000001</v>
      </c>
      <c r="G17" s="760">
        <v>2382582</v>
      </c>
      <c r="H17" s="760">
        <v>4330316</v>
      </c>
      <c r="I17" s="761">
        <f t="shared" si="0"/>
        <v>52693636.219999999</v>
      </c>
    </row>
    <row r="18" spans="1:19">
      <c r="A18" s="187">
        <f>+A17+1</f>
        <v>6</v>
      </c>
      <c r="B18" s="197" t="s">
        <v>20</v>
      </c>
      <c r="C18" s="760">
        <v>0</v>
      </c>
      <c r="D18" s="760">
        <v>0</v>
      </c>
      <c r="E18" s="760">
        <v>36305860.920000002</v>
      </c>
      <c r="F18" s="760">
        <v>12654394.300000001</v>
      </c>
      <c r="G18" s="760">
        <v>2918859</v>
      </c>
      <c r="H18" s="760">
        <v>4411836</v>
      </c>
      <c r="I18" s="761">
        <f t="shared" si="0"/>
        <v>56290950.219999999</v>
      </c>
      <c r="J18" s="194"/>
      <c r="K18" s="194"/>
      <c r="L18" s="194"/>
      <c r="M18" s="194"/>
      <c r="N18" s="194"/>
      <c r="O18" s="194"/>
      <c r="P18" s="194"/>
    </row>
    <row r="19" spans="1:19">
      <c r="A19" s="187">
        <f t="shared" ref="A19:A27" si="1">+A18+1</f>
        <v>7</v>
      </c>
      <c r="B19" s="197" t="s">
        <v>21</v>
      </c>
      <c r="C19" s="760">
        <v>0</v>
      </c>
      <c r="D19" s="760">
        <v>0</v>
      </c>
      <c r="E19" s="760">
        <v>37472224.920000002</v>
      </c>
      <c r="F19" s="760">
        <v>13724589.300000001</v>
      </c>
      <c r="G19" s="760">
        <v>3261129</v>
      </c>
      <c r="H19" s="760">
        <v>4494136</v>
      </c>
      <c r="I19" s="761">
        <f t="shared" si="0"/>
        <v>58952079.219999999</v>
      </c>
      <c r="L19" s="194"/>
      <c r="M19" s="194"/>
      <c r="N19" s="194"/>
      <c r="O19" s="194"/>
      <c r="P19" s="194"/>
      <c r="Q19" s="194"/>
      <c r="R19" s="194"/>
      <c r="S19" s="194"/>
    </row>
    <row r="20" spans="1:19">
      <c r="A20" s="187">
        <f t="shared" si="1"/>
        <v>8</v>
      </c>
      <c r="B20" s="197" t="s">
        <v>22</v>
      </c>
      <c r="C20" s="760">
        <v>0</v>
      </c>
      <c r="D20" s="760">
        <v>0</v>
      </c>
      <c r="E20" s="760">
        <v>39011927.920000002</v>
      </c>
      <c r="F20" s="760">
        <v>14670839.300000001</v>
      </c>
      <c r="G20" s="760">
        <v>3559186</v>
      </c>
      <c r="H20" s="760">
        <v>4576436</v>
      </c>
      <c r="I20" s="761">
        <f t="shared" si="0"/>
        <v>61818389.219999999</v>
      </c>
    </row>
    <row r="21" spans="1:19">
      <c r="A21" s="187">
        <f t="shared" si="1"/>
        <v>9</v>
      </c>
      <c r="B21" s="197" t="s">
        <v>23</v>
      </c>
      <c r="C21" s="760">
        <v>0</v>
      </c>
      <c r="D21" s="760">
        <v>0</v>
      </c>
      <c r="E21" s="760">
        <v>40616814.920000002</v>
      </c>
      <c r="F21" s="760">
        <v>9976202</v>
      </c>
      <c r="G21" s="760">
        <v>3966826</v>
      </c>
      <c r="H21" s="760">
        <v>4718736</v>
      </c>
      <c r="I21" s="761">
        <f t="shared" si="0"/>
        <v>59278578.920000002</v>
      </c>
    </row>
    <row r="22" spans="1:19">
      <c r="A22" s="187">
        <f t="shared" si="1"/>
        <v>10</v>
      </c>
      <c r="B22" s="197" t="s">
        <v>24</v>
      </c>
      <c r="C22" s="760">
        <v>0</v>
      </c>
      <c r="D22" s="760">
        <v>0</v>
      </c>
      <c r="E22" s="760">
        <v>42072616.920000002</v>
      </c>
      <c r="F22" s="760">
        <v>10524459</v>
      </c>
      <c r="G22" s="760">
        <v>4256023</v>
      </c>
      <c r="H22" s="760">
        <v>4860256</v>
      </c>
      <c r="I22" s="761">
        <f t="shared" si="0"/>
        <v>61713354.920000002</v>
      </c>
      <c r="J22" s="194"/>
      <c r="K22" s="195"/>
    </row>
    <row r="23" spans="1:19">
      <c r="A23" s="187">
        <f t="shared" si="1"/>
        <v>11</v>
      </c>
      <c r="B23" s="197" t="s">
        <v>25</v>
      </c>
      <c r="C23" s="760">
        <v>0</v>
      </c>
      <c r="D23" s="760">
        <v>0</v>
      </c>
      <c r="E23" s="760">
        <v>43963129.920000002</v>
      </c>
      <c r="F23" s="760">
        <v>10481022</v>
      </c>
      <c r="G23" s="760">
        <v>4520632</v>
      </c>
      <c r="H23" s="760">
        <v>5007776</v>
      </c>
      <c r="I23" s="761">
        <f t="shared" si="0"/>
        <v>63972559.920000002</v>
      </c>
    </row>
    <row r="24" spans="1:19">
      <c r="A24" s="187">
        <f t="shared" si="1"/>
        <v>12</v>
      </c>
      <c r="B24" s="197" t="s">
        <v>26</v>
      </c>
      <c r="C24" s="760">
        <v>0</v>
      </c>
      <c r="D24" s="760">
        <v>0</v>
      </c>
      <c r="E24" s="760">
        <v>45451586.920000002</v>
      </c>
      <c r="F24" s="760">
        <v>12367199</v>
      </c>
      <c r="G24" s="760">
        <v>4815095</v>
      </c>
      <c r="H24" s="760">
        <v>5185296</v>
      </c>
      <c r="I24" s="761">
        <f t="shared" si="0"/>
        <v>67819176.920000002</v>
      </c>
    </row>
    <row r="25" spans="1:19">
      <c r="A25" s="187">
        <f t="shared" si="1"/>
        <v>13</v>
      </c>
      <c r="B25" s="197" t="s">
        <v>27</v>
      </c>
      <c r="C25" s="760">
        <v>0</v>
      </c>
      <c r="D25" s="760">
        <v>0</v>
      </c>
      <c r="E25" s="760">
        <v>19151417</v>
      </c>
      <c r="F25" s="760">
        <v>8879766</v>
      </c>
      <c r="G25" s="760">
        <v>5056116</v>
      </c>
      <c r="H25" s="760">
        <v>5367886</v>
      </c>
      <c r="I25" s="761">
        <f t="shared" si="0"/>
        <v>38455185</v>
      </c>
    </row>
    <row r="26" spans="1:19">
      <c r="A26" s="187">
        <f t="shared" si="1"/>
        <v>14</v>
      </c>
      <c r="B26" s="197"/>
      <c r="C26" s="763"/>
      <c r="D26" s="763"/>
      <c r="E26" s="763"/>
      <c r="F26" s="763"/>
      <c r="G26" s="763"/>
      <c r="H26" s="763"/>
      <c r="I26" s="764"/>
    </row>
    <row r="27" spans="1:19">
      <c r="A27" s="187">
        <f t="shared" si="1"/>
        <v>15</v>
      </c>
      <c r="B27" s="198" t="s">
        <v>28</v>
      </c>
      <c r="C27" s="765">
        <f t="shared" ref="C27:H27" si="2">+AVERAGE(C13:C25)</f>
        <v>0</v>
      </c>
      <c r="D27" s="765">
        <f t="shared" ref="D27" si="3">+AVERAGE(D13:D25)</f>
        <v>0</v>
      </c>
      <c r="E27" s="765">
        <f t="shared" si="2"/>
        <v>35092976.926153854</v>
      </c>
      <c r="F27" s="765">
        <f t="shared" si="2"/>
        <v>10842202.030769229</v>
      </c>
      <c r="G27" s="765">
        <f t="shared" si="2"/>
        <v>3128419.230769231</v>
      </c>
      <c r="H27" s="765">
        <f t="shared" si="2"/>
        <v>4543719.076923077</v>
      </c>
      <c r="I27" s="766">
        <f>+SUM(C27:H27)</f>
        <v>53607317.264615394</v>
      </c>
    </row>
    <row r="28" spans="1:19">
      <c r="A28" s="199"/>
      <c r="B28" s="211"/>
      <c r="C28" s="200"/>
      <c r="D28" s="200"/>
      <c r="E28" s="200"/>
      <c r="F28" s="200"/>
      <c r="G28" s="200"/>
      <c r="H28" s="200"/>
      <c r="I28" s="201"/>
    </row>
    <row r="32" spans="1:19">
      <c r="E32" s="662"/>
    </row>
  </sheetData>
  <mergeCells count="3">
    <mergeCell ref="A6:I6"/>
    <mergeCell ref="A4:I4"/>
    <mergeCell ref="A5:I5"/>
  </mergeCells>
  <printOptions horizontalCentered="1"/>
  <pageMargins left="0.75" right="0.75" top="0.75" bottom="0.75" header="0.5" footer="0.3"/>
  <pageSetup scale="77" orientation="landscape" r:id="rId1"/>
  <headerFooter>
    <oddHeader>&amp;R&amp;"Arial,Regular"&amp;10Attachment O Work Paper
Page 3 of 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codeName="Sheet1">
    <pageSetUpPr fitToPage="1"/>
  </sheetPr>
  <dimension ref="A1:J35"/>
  <sheetViews>
    <sheetView showGridLines="0" zoomScaleNormal="100" workbookViewId="0">
      <selection activeCell="J15" sqref="J14:J15"/>
    </sheetView>
  </sheetViews>
  <sheetFormatPr defaultColWidth="8.5546875" defaultRowHeight="12.75"/>
  <cols>
    <col min="1" max="1" width="3.5546875" style="29" bestFit="1" customWidth="1"/>
    <col min="2" max="2" width="43.77734375" style="31" bestFit="1" customWidth="1"/>
    <col min="3" max="5" width="12.77734375" style="31" customWidth="1"/>
    <col min="6" max="6" width="12.77734375" style="32" customWidth="1"/>
    <col min="7" max="7" width="8.5546875" style="32"/>
    <col min="8" max="8" width="9.109375" style="32" customWidth="1"/>
    <col min="9" max="16384" width="8.5546875" style="32"/>
  </cols>
  <sheetData>
    <row r="1" spans="1:7">
      <c r="B1" s="30"/>
    </row>
    <row r="2" spans="1:7">
      <c r="B2" s="33"/>
    </row>
    <row r="3" spans="1:7" ht="12.75" customHeight="1">
      <c r="A3" s="803" t="s">
        <v>0</v>
      </c>
      <c r="B3" s="803"/>
      <c r="C3" s="803"/>
      <c r="D3" s="803"/>
      <c r="E3" s="803"/>
      <c r="F3" s="803"/>
    </row>
    <row r="4" spans="1:7" ht="12.75" customHeight="1">
      <c r="A4" s="803" t="s">
        <v>37</v>
      </c>
      <c r="B4" s="803"/>
      <c r="C4" s="803"/>
      <c r="D4" s="803"/>
      <c r="E4" s="803"/>
      <c r="F4" s="803"/>
    </row>
    <row r="5" spans="1:7" ht="12.75" customHeight="1">
      <c r="A5" s="804" t="s">
        <v>558</v>
      </c>
      <c r="B5" s="803"/>
      <c r="C5" s="803"/>
      <c r="D5" s="803"/>
      <c r="E5" s="803"/>
      <c r="F5" s="803"/>
    </row>
    <row r="6" spans="1:7" ht="12.75" customHeight="1">
      <c r="C6" s="34"/>
      <c r="D6" s="35"/>
      <c r="G6" s="794"/>
    </row>
    <row r="7" spans="1:7" ht="12.75" customHeight="1">
      <c r="B7" s="29" t="s">
        <v>1</v>
      </c>
      <c r="C7" s="29" t="s">
        <v>2</v>
      </c>
      <c r="D7" s="29" t="s">
        <v>3</v>
      </c>
      <c r="E7" s="29" t="s">
        <v>4</v>
      </c>
      <c r="F7" s="145" t="s">
        <v>5</v>
      </c>
    </row>
    <row r="9" spans="1:7" ht="25.5">
      <c r="A9" s="141" t="s">
        <v>38</v>
      </c>
      <c r="B9" s="36" t="s">
        <v>39</v>
      </c>
      <c r="C9" s="46">
        <v>41274</v>
      </c>
      <c r="D9" s="49" t="s">
        <v>40</v>
      </c>
      <c r="E9" s="46">
        <v>41639</v>
      </c>
      <c r="F9" s="146" t="s">
        <v>352</v>
      </c>
    </row>
    <row r="10" spans="1:7">
      <c r="A10" s="106">
        <v>1</v>
      </c>
      <c r="B10" s="35" t="s">
        <v>44</v>
      </c>
      <c r="C10" s="778">
        <f>111411594-2677287-19008308</f>
        <v>89725999</v>
      </c>
      <c r="D10" s="40">
        <f>E10-C10</f>
        <v>-11953546</v>
      </c>
      <c r="E10" s="778">
        <f>100511691-2677287-20061951</f>
        <v>77772453</v>
      </c>
      <c r="F10" s="796">
        <f>(C10+E10)/2</f>
        <v>83749226</v>
      </c>
      <c r="G10" s="777"/>
    </row>
    <row r="11" spans="1:7">
      <c r="A11" s="108">
        <f>A10+1</f>
        <v>2</v>
      </c>
      <c r="B11" s="35"/>
      <c r="C11" s="40"/>
      <c r="D11" s="40"/>
      <c r="E11" s="40"/>
      <c r="F11" s="148"/>
    </row>
    <row r="12" spans="1:7">
      <c r="A12" s="108">
        <f t="shared" ref="A12:A18" si="0">A11+1</f>
        <v>3</v>
      </c>
      <c r="B12" s="35" t="s">
        <v>41</v>
      </c>
      <c r="C12" s="40">
        <v>-270506406</v>
      </c>
      <c r="D12" s="40">
        <f>E12-C12</f>
        <v>-605988</v>
      </c>
      <c r="E12" s="40">
        <v>-271112394</v>
      </c>
      <c r="F12" s="796">
        <f>(C12+E12)/2</f>
        <v>-270809400</v>
      </c>
    </row>
    <row r="13" spans="1:7">
      <c r="A13" s="108">
        <f t="shared" si="0"/>
        <v>4</v>
      </c>
      <c r="B13" s="35"/>
      <c r="C13" s="40"/>
      <c r="D13" s="40"/>
      <c r="E13" s="40"/>
      <c r="F13" s="148"/>
    </row>
    <row r="14" spans="1:7">
      <c r="A14" s="108">
        <f t="shared" si="0"/>
        <v>5</v>
      </c>
      <c r="B14" s="35" t="s">
        <v>42</v>
      </c>
      <c r="C14" s="40">
        <v>-13852489</v>
      </c>
      <c r="D14" s="40">
        <f>E14-C14</f>
        <v>186607</v>
      </c>
      <c r="E14" s="40">
        <v>-13665882</v>
      </c>
      <c r="F14" s="148">
        <f>(C14+E14)/2</f>
        <v>-13759185.5</v>
      </c>
    </row>
    <row r="15" spans="1:7">
      <c r="A15" s="108">
        <f t="shared" si="0"/>
        <v>6</v>
      </c>
      <c r="B15" s="35" t="s">
        <v>43</v>
      </c>
      <c r="C15" s="150">
        <v>0</v>
      </c>
      <c r="D15" s="150">
        <v>0</v>
      </c>
      <c r="E15" s="150">
        <f>C15-D15</f>
        <v>0</v>
      </c>
      <c r="F15" s="149">
        <f>(C15+E15)/2</f>
        <v>0</v>
      </c>
    </row>
    <row r="16" spans="1:7">
      <c r="A16" s="108">
        <f t="shared" si="0"/>
        <v>7</v>
      </c>
      <c r="B16" s="144" t="s">
        <v>351</v>
      </c>
      <c r="C16" s="40">
        <f>+SUM(C14:C15)</f>
        <v>-13852489</v>
      </c>
      <c r="D16" s="40">
        <f>+SUM(D14:D15)</f>
        <v>186607</v>
      </c>
      <c r="E16" s="40">
        <f>+SUM(E14:E15)</f>
        <v>-13665882</v>
      </c>
      <c r="F16" s="797">
        <f>+SUM(F14:F15)</f>
        <v>-13759185.5</v>
      </c>
    </row>
    <row r="17" spans="1:10">
      <c r="A17" s="108">
        <f t="shared" si="0"/>
        <v>8</v>
      </c>
      <c r="B17" s="144"/>
      <c r="C17" s="40"/>
      <c r="D17" s="40"/>
      <c r="E17" s="152"/>
      <c r="F17" s="151"/>
    </row>
    <row r="18" spans="1:10">
      <c r="A18" s="108">
        <f t="shared" si="0"/>
        <v>9</v>
      </c>
      <c r="B18" s="143" t="s">
        <v>353</v>
      </c>
      <c r="C18" s="153">
        <f>SUM(C10:C12)+C16</f>
        <v>-194632896</v>
      </c>
      <c r="D18" s="153">
        <f>SUM(D10:D12)+D16</f>
        <v>-12372927</v>
      </c>
      <c r="E18" s="154">
        <f>SUM(E10:E12)+E16</f>
        <v>-207005823</v>
      </c>
      <c r="F18" s="795">
        <f>SUM(F10:F12)+F16</f>
        <v>-200819359.5</v>
      </c>
    </row>
    <row r="19" spans="1:10">
      <c r="A19" s="107"/>
      <c r="B19" s="48"/>
      <c r="C19" s="625" t="s">
        <v>384</v>
      </c>
      <c r="D19" s="625" t="s">
        <v>384</v>
      </c>
      <c r="E19" s="625" t="s">
        <v>384</v>
      </c>
      <c r="F19" s="147"/>
    </row>
    <row r="20" spans="1:10">
      <c r="C20" s="42"/>
      <c r="D20" s="42"/>
      <c r="E20" s="42"/>
    </row>
    <row r="21" spans="1:10">
      <c r="A21" s="626"/>
      <c r="C21" s="42"/>
      <c r="D21" s="42"/>
      <c r="E21" s="42"/>
    </row>
    <row r="22" spans="1:10">
      <c r="A22" s="626"/>
      <c r="C22" s="42"/>
      <c r="D22" s="42"/>
      <c r="E22" s="42"/>
    </row>
    <row r="23" spans="1:10" s="31" customFormat="1">
      <c r="A23" s="29"/>
      <c r="B23" s="35"/>
      <c r="C23" s="44"/>
      <c r="F23" s="32"/>
      <c r="G23" s="32"/>
      <c r="H23" s="32"/>
      <c r="I23" s="32"/>
      <c r="J23" s="32"/>
    </row>
    <row r="24" spans="1:10" s="31" customFormat="1">
      <c r="A24" s="29"/>
      <c r="B24" s="35"/>
      <c r="C24" s="44"/>
      <c r="F24" s="32"/>
      <c r="G24" s="32"/>
      <c r="H24" s="32"/>
      <c r="I24" s="32"/>
      <c r="J24" s="32"/>
    </row>
    <row r="25" spans="1:10" s="31" customFormat="1">
      <c r="A25" s="29"/>
      <c r="B25" s="35"/>
      <c r="C25" s="35"/>
      <c r="F25" s="32"/>
      <c r="G25" s="32"/>
      <c r="H25" s="32"/>
      <c r="I25" s="32"/>
      <c r="J25" s="32"/>
    </row>
    <row r="26" spans="1:10" s="31" customFormat="1">
      <c r="A26" s="29"/>
      <c r="B26" s="776"/>
      <c r="C26" s="35"/>
      <c r="F26" s="32"/>
      <c r="G26" s="32"/>
      <c r="H26" s="32"/>
      <c r="I26" s="32"/>
      <c r="J26" s="32"/>
    </row>
    <row r="27" spans="1:10" s="31" customFormat="1">
      <c r="A27" s="29"/>
      <c r="B27" s="776"/>
      <c r="C27" s="44"/>
      <c r="F27" s="32"/>
      <c r="G27" s="32"/>
      <c r="H27" s="32"/>
      <c r="I27" s="32"/>
      <c r="J27" s="32"/>
    </row>
    <row r="28" spans="1:10" s="31" customFormat="1">
      <c r="A28" s="29"/>
      <c r="B28" s="776"/>
      <c r="C28" s="44"/>
      <c r="F28" s="32"/>
      <c r="G28" s="32"/>
      <c r="H28" s="32"/>
      <c r="I28" s="32"/>
      <c r="J28" s="32"/>
    </row>
    <row r="29" spans="1:10" s="31" customFormat="1">
      <c r="A29" s="29"/>
      <c r="B29" s="776"/>
      <c r="C29" s="44"/>
      <c r="F29" s="32"/>
      <c r="G29" s="32"/>
      <c r="H29" s="32"/>
      <c r="I29" s="32"/>
      <c r="J29" s="32"/>
    </row>
    <row r="30" spans="1:10" s="31" customFormat="1">
      <c r="A30" s="29"/>
      <c r="B30" s="776"/>
      <c r="C30" s="44"/>
      <c r="F30" s="32"/>
      <c r="G30" s="32"/>
      <c r="H30" s="32"/>
      <c r="I30" s="32"/>
      <c r="J30" s="32"/>
    </row>
    <row r="31" spans="1:10" s="31" customFormat="1">
      <c r="A31" s="29"/>
      <c r="B31" s="35"/>
      <c r="C31" s="44"/>
      <c r="F31" s="32"/>
      <c r="G31" s="32"/>
      <c r="H31" s="32"/>
      <c r="I31" s="32"/>
      <c r="J31" s="32"/>
    </row>
    <row r="32" spans="1:10" s="31" customFormat="1">
      <c r="A32" s="29"/>
      <c r="B32" s="35"/>
      <c r="C32" s="44"/>
      <c r="F32" s="32"/>
      <c r="G32" s="32"/>
      <c r="H32" s="32"/>
      <c r="I32" s="32"/>
      <c r="J32" s="32"/>
    </row>
    <row r="33" spans="1:10" s="31" customFormat="1">
      <c r="A33" s="29"/>
      <c r="B33" s="35"/>
      <c r="C33" s="35"/>
      <c r="F33" s="32"/>
      <c r="G33" s="32"/>
      <c r="H33" s="32"/>
      <c r="I33" s="32"/>
      <c r="J33" s="32"/>
    </row>
    <row r="34" spans="1:10" s="31" customFormat="1">
      <c r="A34" s="29"/>
      <c r="B34" s="35"/>
      <c r="C34" s="45"/>
      <c r="F34" s="32"/>
      <c r="G34" s="32"/>
      <c r="H34" s="32"/>
      <c r="I34" s="32"/>
      <c r="J34" s="32"/>
    </row>
    <row r="35" spans="1:10" s="31" customFormat="1">
      <c r="A35" s="29"/>
      <c r="B35" s="35"/>
      <c r="C35" s="45"/>
      <c r="F35" s="32"/>
      <c r="G35" s="32"/>
      <c r="H35" s="32"/>
      <c r="I35" s="32"/>
      <c r="J35" s="32"/>
    </row>
  </sheetData>
  <mergeCells count="3">
    <mergeCell ref="A3:F3"/>
    <mergeCell ref="A4:F4"/>
    <mergeCell ref="A5:F5"/>
  </mergeCells>
  <printOptions horizontalCentered="1"/>
  <pageMargins left="0.75" right="0.75" top="0.75" bottom="0.75" header="0.5" footer="0.5"/>
  <pageSetup scale="76" orientation="portrait" r:id="rId1"/>
  <headerFooter alignWithMargins="0">
    <oddHeader>&amp;R&amp;"Arial,Regular"&amp;10Attachment O Work Paper
Page 4 of 20</oddHeader>
  </headerFooter>
  <ignoredErrors>
    <ignoredError sqref="C11:F11 C20:F20 D10 F10 C13:F13 C12:D12 F12 C15:F18 D14 F14" unlockedFormula="1"/>
    <ignoredError sqref="C19:F19" numberStoredAsText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4:P31"/>
  <sheetViews>
    <sheetView showGridLines="0" zoomScaleNormal="100" workbookViewId="0">
      <selection activeCell="G5" sqref="G5"/>
    </sheetView>
  </sheetViews>
  <sheetFormatPr defaultRowHeight="12.75"/>
  <cols>
    <col min="1" max="1" width="3.6640625" style="182" customWidth="1"/>
    <col min="2" max="2" width="18.6640625" style="183" bestFit="1" customWidth="1"/>
    <col min="3" max="5" width="15.77734375" style="183" customWidth="1"/>
    <col min="6" max="6" width="12.77734375" style="183" customWidth="1"/>
    <col min="7" max="16" width="9.109375" style="183" customWidth="1"/>
    <col min="17" max="16384" width="8.88671875" style="183"/>
  </cols>
  <sheetData>
    <row r="4" spans="1:16">
      <c r="A4" s="802" t="s">
        <v>0</v>
      </c>
      <c r="B4" s="802"/>
      <c r="C4" s="802"/>
      <c r="D4" s="802"/>
      <c r="E4" s="802"/>
      <c r="F4" s="802"/>
    </row>
    <row r="5" spans="1:16">
      <c r="A5" s="802" t="s">
        <v>375</v>
      </c>
      <c r="B5" s="802"/>
      <c r="C5" s="802"/>
      <c r="D5" s="802"/>
      <c r="E5" s="802"/>
      <c r="F5" s="802"/>
      <c r="G5" s="794"/>
    </row>
    <row r="6" spans="1:16">
      <c r="A6" s="802" t="str">
        <f>'Page 1 - PIS'!A5:G5</f>
        <v>For the 13 Months Ended December 31, 2013</v>
      </c>
      <c r="B6" s="802"/>
      <c r="C6" s="802"/>
      <c r="D6" s="802"/>
      <c r="E6" s="802"/>
      <c r="F6" s="802"/>
    </row>
    <row r="8" spans="1:16">
      <c r="B8" s="182" t="s">
        <v>1</v>
      </c>
      <c r="C8" s="182" t="s">
        <v>2</v>
      </c>
      <c r="D8" s="182" t="s">
        <v>3</v>
      </c>
      <c r="E8" s="182" t="s">
        <v>4</v>
      </c>
      <c r="F8" s="182" t="s">
        <v>5</v>
      </c>
    </row>
    <row r="10" spans="1:16">
      <c r="A10" s="184"/>
      <c r="B10" s="209"/>
      <c r="C10" s="185" t="s">
        <v>368</v>
      </c>
      <c r="D10" s="185" t="s">
        <v>369</v>
      </c>
      <c r="E10" s="185" t="s">
        <v>370</v>
      </c>
      <c r="F10" s="186"/>
    </row>
    <row r="11" spans="1:16">
      <c r="A11" s="187" t="s">
        <v>8</v>
      </c>
      <c r="B11" s="188"/>
      <c r="C11" s="189" t="s">
        <v>376</v>
      </c>
      <c r="D11" s="189" t="s">
        <v>376</v>
      </c>
      <c r="E11" s="189" t="s">
        <v>376</v>
      </c>
      <c r="F11" s="190"/>
    </row>
    <row r="12" spans="1:16">
      <c r="A12" s="191" t="s">
        <v>10</v>
      </c>
      <c r="B12" s="210" t="s">
        <v>47</v>
      </c>
      <c r="C12" s="192" t="s">
        <v>371</v>
      </c>
      <c r="D12" s="192" t="s">
        <v>372</v>
      </c>
      <c r="E12" s="192" t="s">
        <v>373</v>
      </c>
      <c r="F12" s="193" t="s">
        <v>16</v>
      </c>
    </row>
    <row r="13" spans="1:16">
      <c r="A13" s="184">
        <v>1</v>
      </c>
      <c r="B13" s="664" t="s">
        <v>576</v>
      </c>
      <c r="C13" s="478">
        <v>0</v>
      </c>
      <c r="D13" s="478">
        <v>0</v>
      </c>
      <c r="E13" s="478">
        <v>0</v>
      </c>
      <c r="F13" s="446">
        <f t="shared" ref="F13:F25" si="0">+SUM(C13:E13)</f>
        <v>0</v>
      </c>
      <c r="G13" s="194"/>
      <c r="H13" s="194"/>
      <c r="I13" s="194"/>
      <c r="J13" s="194"/>
      <c r="K13" s="194"/>
      <c r="L13" s="194"/>
      <c r="M13" s="194"/>
      <c r="N13" s="194"/>
      <c r="O13" s="194"/>
      <c r="P13" s="194"/>
    </row>
    <row r="14" spans="1:16" s="194" customFormat="1">
      <c r="A14" s="187">
        <f>+A13+1</f>
        <v>2</v>
      </c>
      <c r="B14" s="665" t="s">
        <v>577</v>
      </c>
      <c r="C14" s="478">
        <v>0</v>
      </c>
      <c r="D14" s="478">
        <v>0</v>
      </c>
      <c r="E14" s="478">
        <v>0</v>
      </c>
      <c r="F14" s="446">
        <f t="shared" si="0"/>
        <v>0</v>
      </c>
      <c r="G14" s="196"/>
      <c r="H14" s="196"/>
      <c r="I14" s="196"/>
      <c r="J14" s="196"/>
      <c r="K14" s="196"/>
      <c r="L14" s="196"/>
      <c r="M14" s="196"/>
      <c r="N14" s="196"/>
      <c r="O14" s="196"/>
      <c r="P14" s="196"/>
    </row>
    <row r="15" spans="1:16">
      <c r="A15" s="187">
        <f>+A14+1</f>
        <v>3</v>
      </c>
      <c r="B15" s="197" t="s">
        <v>17</v>
      </c>
      <c r="C15" s="478">
        <v>0</v>
      </c>
      <c r="D15" s="478">
        <v>0</v>
      </c>
      <c r="E15" s="478">
        <v>0</v>
      </c>
      <c r="F15" s="446">
        <f t="shared" si="0"/>
        <v>0</v>
      </c>
      <c r="G15" s="194"/>
    </row>
    <row r="16" spans="1:16">
      <c r="A16" s="187">
        <f>+A15+1</f>
        <v>4</v>
      </c>
      <c r="B16" s="197" t="s">
        <v>18</v>
      </c>
      <c r="C16" s="478">
        <v>0</v>
      </c>
      <c r="D16" s="478">
        <v>0</v>
      </c>
      <c r="E16" s="478">
        <v>0</v>
      </c>
      <c r="F16" s="446">
        <f t="shared" si="0"/>
        <v>0</v>
      </c>
    </row>
    <row r="17" spans="1:16">
      <c r="A17" s="187">
        <f>+A16+1</f>
        <v>5</v>
      </c>
      <c r="B17" s="197" t="s">
        <v>19</v>
      </c>
      <c r="C17" s="478">
        <v>0</v>
      </c>
      <c r="D17" s="478">
        <v>0</v>
      </c>
      <c r="E17" s="478">
        <v>0</v>
      </c>
      <c r="F17" s="446">
        <f t="shared" si="0"/>
        <v>0</v>
      </c>
    </row>
    <row r="18" spans="1:16">
      <c r="A18" s="187">
        <f>+A17+1</f>
        <v>6</v>
      </c>
      <c r="B18" s="197" t="s">
        <v>20</v>
      </c>
      <c r="C18" s="478">
        <v>0</v>
      </c>
      <c r="D18" s="478">
        <v>0</v>
      </c>
      <c r="E18" s="478">
        <v>0</v>
      </c>
      <c r="F18" s="446">
        <f t="shared" si="0"/>
        <v>0</v>
      </c>
      <c r="G18" s="194"/>
      <c r="H18" s="194"/>
      <c r="I18" s="194"/>
      <c r="J18" s="194"/>
      <c r="K18" s="194"/>
      <c r="L18" s="194"/>
      <c r="M18" s="194"/>
    </row>
    <row r="19" spans="1:16">
      <c r="A19" s="187">
        <f t="shared" ref="A19:A27" si="1">+A18+1</f>
        <v>7</v>
      </c>
      <c r="B19" s="197" t="s">
        <v>21</v>
      </c>
      <c r="C19" s="478">
        <v>0</v>
      </c>
      <c r="D19" s="478">
        <v>0</v>
      </c>
      <c r="E19" s="478">
        <v>0</v>
      </c>
      <c r="F19" s="446">
        <f t="shared" si="0"/>
        <v>0</v>
      </c>
      <c r="I19" s="194"/>
      <c r="J19" s="194"/>
      <c r="K19" s="194"/>
      <c r="L19" s="194"/>
      <c r="M19" s="194"/>
      <c r="N19" s="194"/>
      <c r="O19" s="194"/>
      <c r="P19" s="194"/>
    </row>
    <row r="20" spans="1:16">
      <c r="A20" s="187">
        <f t="shared" si="1"/>
        <v>8</v>
      </c>
      <c r="B20" s="197" t="s">
        <v>22</v>
      </c>
      <c r="C20" s="478">
        <v>0</v>
      </c>
      <c r="D20" s="478">
        <v>0</v>
      </c>
      <c r="E20" s="478">
        <v>0</v>
      </c>
      <c r="F20" s="446">
        <f t="shared" si="0"/>
        <v>0</v>
      </c>
    </row>
    <row r="21" spans="1:16">
      <c r="A21" s="187">
        <f t="shared" si="1"/>
        <v>9</v>
      </c>
      <c r="B21" s="197" t="s">
        <v>23</v>
      </c>
      <c r="C21" s="478">
        <v>0</v>
      </c>
      <c r="D21" s="478">
        <v>0</v>
      </c>
      <c r="E21" s="478">
        <v>0</v>
      </c>
      <c r="F21" s="446">
        <f t="shared" si="0"/>
        <v>0</v>
      </c>
    </row>
    <row r="22" spans="1:16">
      <c r="A22" s="187">
        <f t="shared" si="1"/>
        <v>10</v>
      </c>
      <c r="B22" s="197" t="s">
        <v>24</v>
      </c>
      <c r="C22" s="478">
        <v>0</v>
      </c>
      <c r="D22" s="478">
        <v>0</v>
      </c>
      <c r="E22" s="478">
        <v>0</v>
      </c>
      <c r="F22" s="446">
        <f t="shared" si="0"/>
        <v>0</v>
      </c>
      <c r="G22" s="194"/>
      <c r="H22" s="195"/>
    </row>
    <row r="23" spans="1:16">
      <c r="A23" s="187">
        <f t="shared" si="1"/>
        <v>11</v>
      </c>
      <c r="B23" s="197" t="s">
        <v>25</v>
      </c>
      <c r="C23" s="478">
        <v>0</v>
      </c>
      <c r="D23" s="478">
        <v>0</v>
      </c>
      <c r="E23" s="478">
        <v>0</v>
      </c>
      <c r="F23" s="446">
        <f t="shared" si="0"/>
        <v>0</v>
      </c>
    </row>
    <row r="24" spans="1:16">
      <c r="A24" s="187">
        <f t="shared" si="1"/>
        <v>12</v>
      </c>
      <c r="B24" s="197" t="s">
        <v>26</v>
      </c>
      <c r="C24" s="478">
        <v>0</v>
      </c>
      <c r="D24" s="478">
        <v>0</v>
      </c>
      <c r="E24" s="478">
        <v>0</v>
      </c>
      <c r="F24" s="446">
        <f t="shared" si="0"/>
        <v>0</v>
      </c>
    </row>
    <row r="25" spans="1:16">
      <c r="A25" s="187">
        <f t="shared" si="1"/>
        <v>13</v>
      </c>
      <c r="B25" s="197" t="s">
        <v>27</v>
      </c>
      <c r="C25" s="478">
        <v>0</v>
      </c>
      <c r="D25" s="478">
        <v>0</v>
      </c>
      <c r="E25" s="478">
        <v>0</v>
      </c>
      <c r="F25" s="446">
        <f t="shared" si="0"/>
        <v>0</v>
      </c>
    </row>
    <row r="26" spans="1:16">
      <c r="A26" s="187">
        <f t="shared" si="1"/>
        <v>14</v>
      </c>
      <c r="B26" s="197"/>
      <c r="C26" s="447"/>
      <c r="D26" s="447"/>
      <c r="E26" s="447"/>
      <c r="F26" s="448"/>
    </row>
    <row r="27" spans="1:16">
      <c r="A27" s="187">
        <f t="shared" si="1"/>
        <v>15</v>
      </c>
      <c r="B27" s="198" t="s">
        <v>28</v>
      </c>
      <c r="C27" s="449">
        <f>+AVERAGE(C13:C25)</f>
        <v>0</v>
      </c>
      <c r="D27" s="449">
        <f>+AVERAGE(D13:D25)</f>
        <v>0</v>
      </c>
      <c r="E27" s="449">
        <f>+AVERAGE(E13:E25)</f>
        <v>0</v>
      </c>
      <c r="F27" s="450">
        <f>+SUM(C27:E27)</f>
        <v>0</v>
      </c>
    </row>
    <row r="28" spans="1:16">
      <c r="A28" s="199"/>
      <c r="B28" s="211"/>
      <c r="C28" s="200"/>
      <c r="D28" s="200"/>
      <c r="E28" s="200"/>
      <c r="F28" s="201"/>
    </row>
    <row r="31" spans="1:16">
      <c r="B31" s="474"/>
    </row>
  </sheetData>
  <mergeCells count="3">
    <mergeCell ref="A4:F4"/>
    <mergeCell ref="A5:F5"/>
    <mergeCell ref="A6:F6"/>
  </mergeCells>
  <printOptions horizontalCentered="1"/>
  <pageMargins left="0.75" right="0.75" top="0.75" bottom="0.75" header="0.5" footer="0.3"/>
  <pageSetup scale="78" orientation="portrait" r:id="rId1"/>
  <headerFooter>
    <oddHeader>&amp;R&amp;"Arial,Regular"&amp;10Attachment O Work Paper
Page 5 of 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3:F145"/>
  <sheetViews>
    <sheetView showGridLines="0" zoomScaleNormal="100" workbookViewId="0">
      <selection activeCell="B28" sqref="B28"/>
    </sheetView>
  </sheetViews>
  <sheetFormatPr defaultRowHeight="12.75"/>
  <cols>
    <col min="1" max="1" width="3.44140625" style="1" bestFit="1" customWidth="1"/>
    <col min="2" max="2" width="18.6640625" style="1" bestFit="1" customWidth="1"/>
    <col min="3" max="5" width="10.77734375" style="1" customWidth="1"/>
    <col min="6" max="10" width="11.5546875" style="1" bestFit="1" customWidth="1"/>
    <col min="11" max="16384" width="8.88671875" style="1"/>
  </cols>
  <sheetData>
    <row r="3" spans="1:6">
      <c r="A3" s="801" t="s">
        <v>0</v>
      </c>
      <c r="B3" s="801"/>
      <c r="C3" s="801"/>
      <c r="D3" s="801"/>
      <c r="E3" s="801"/>
    </row>
    <row r="4" spans="1:6">
      <c r="A4" s="801" t="s">
        <v>36</v>
      </c>
      <c r="B4" s="801"/>
      <c r="C4" s="801"/>
      <c r="D4" s="801"/>
      <c r="E4" s="801"/>
      <c r="F4" s="794"/>
    </row>
    <row r="5" spans="1:6">
      <c r="A5" s="801" t="str">
        <f>'Page 1 - PIS'!A5:G5</f>
        <v>For the 13 Months Ended December 31, 2013</v>
      </c>
      <c r="B5" s="801"/>
      <c r="C5" s="801"/>
      <c r="D5" s="801"/>
      <c r="E5" s="801"/>
    </row>
    <row r="6" spans="1:6">
      <c r="A6" s="2"/>
    </row>
    <row r="7" spans="1:6" s="4" customFormat="1">
      <c r="A7" s="3"/>
      <c r="B7" s="4" t="s">
        <v>1</v>
      </c>
      <c r="C7" s="4" t="s">
        <v>2</v>
      </c>
      <c r="D7" s="4" t="s">
        <v>3</v>
      </c>
      <c r="E7" s="4" t="s">
        <v>4</v>
      </c>
    </row>
    <row r="9" spans="1:6">
      <c r="A9" s="5" t="s">
        <v>8</v>
      </c>
      <c r="B9" s="6"/>
      <c r="C9" s="8"/>
      <c r="D9" s="9"/>
      <c r="E9" s="10"/>
    </row>
    <row r="10" spans="1:6">
      <c r="A10" s="11" t="s">
        <v>10</v>
      </c>
      <c r="B10" s="12" t="s">
        <v>47</v>
      </c>
      <c r="C10" s="13" t="s">
        <v>12</v>
      </c>
      <c r="D10" s="13" t="s">
        <v>13</v>
      </c>
      <c r="E10" s="14" t="s">
        <v>16</v>
      </c>
    </row>
    <row r="11" spans="1:6">
      <c r="A11" s="5">
        <v>1</v>
      </c>
      <c r="B11" s="15" t="s">
        <v>576</v>
      </c>
      <c r="C11" s="17">
        <v>9038</v>
      </c>
      <c r="D11" s="16">
        <v>20618.75</v>
      </c>
      <c r="E11" s="18">
        <f t="shared" ref="E11:E23" si="0">+SUM(C11:D11)</f>
        <v>29656.75</v>
      </c>
    </row>
    <row r="12" spans="1:6">
      <c r="A12" s="19">
        <f t="shared" ref="A12:A25" si="1">+A11+1</f>
        <v>2</v>
      </c>
      <c r="B12" s="20" t="s">
        <v>577</v>
      </c>
      <c r="C12" s="17">
        <v>9038</v>
      </c>
      <c r="D12" s="16">
        <v>20618.75</v>
      </c>
      <c r="E12" s="18">
        <f t="shared" si="0"/>
        <v>29656.75</v>
      </c>
    </row>
    <row r="13" spans="1:6">
      <c r="A13" s="19">
        <f t="shared" si="1"/>
        <v>3</v>
      </c>
      <c r="B13" s="21" t="s">
        <v>17</v>
      </c>
      <c r="C13" s="17">
        <v>9038</v>
      </c>
      <c r="D13" s="16">
        <v>20618.75</v>
      </c>
      <c r="E13" s="18">
        <f t="shared" si="0"/>
        <v>29656.75</v>
      </c>
    </row>
    <row r="14" spans="1:6">
      <c r="A14" s="19">
        <f t="shared" si="1"/>
        <v>4</v>
      </c>
      <c r="B14" s="21" t="s">
        <v>18</v>
      </c>
      <c r="C14" s="17">
        <v>9038</v>
      </c>
      <c r="D14" s="16">
        <v>20618.75</v>
      </c>
      <c r="E14" s="18">
        <f t="shared" si="0"/>
        <v>29656.75</v>
      </c>
    </row>
    <row r="15" spans="1:6">
      <c r="A15" s="19">
        <f t="shared" si="1"/>
        <v>5</v>
      </c>
      <c r="B15" s="21" t="s">
        <v>19</v>
      </c>
      <c r="C15" s="17">
        <v>9038</v>
      </c>
      <c r="D15" s="16">
        <v>20618.75</v>
      </c>
      <c r="E15" s="18">
        <f t="shared" si="0"/>
        <v>29656.75</v>
      </c>
    </row>
    <row r="16" spans="1:6">
      <c r="A16" s="19">
        <f t="shared" si="1"/>
        <v>6</v>
      </c>
      <c r="B16" s="21" t="s">
        <v>20</v>
      </c>
      <c r="C16" s="17">
        <v>9038</v>
      </c>
      <c r="D16" s="16">
        <v>20618.75</v>
      </c>
      <c r="E16" s="18">
        <f t="shared" si="0"/>
        <v>29656.75</v>
      </c>
    </row>
    <row r="17" spans="1:5">
      <c r="A17" s="19">
        <f t="shared" si="1"/>
        <v>7</v>
      </c>
      <c r="B17" s="21" t="s">
        <v>21</v>
      </c>
      <c r="C17" s="17">
        <v>9038</v>
      </c>
      <c r="D17" s="16">
        <v>20618.75</v>
      </c>
      <c r="E17" s="18">
        <f t="shared" si="0"/>
        <v>29656.75</v>
      </c>
    </row>
    <row r="18" spans="1:5">
      <c r="A18" s="19">
        <f t="shared" si="1"/>
        <v>8</v>
      </c>
      <c r="B18" s="21" t="s">
        <v>22</v>
      </c>
      <c r="C18" s="17">
        <v>9038</v>
      </c>
      <c r="D18" s="16">
        <v>20618.75</v>
      </c>
      <c r="E18" s="18">
        <f t="shared" si="0"/>
        <v>29656.75</v>
      </c>
    </row>
    <row r="19" spans="1:5">
      <c r="A19" s="19">
        <f t="shared" si="1"/>
        <v>9</v>
      </c>
      <c r="B19" s="21" t="s">
        <v>23</v>
      </c>
      <c r="C19" s="17">
        <v>9038</v>
      </c>
      <c r="D19" s="16">
        <v>20618.75</v>
      </c>
      <c r="E19" s="18">
        <f t="shared" si="0"/>
        <v>29656.75</v>
      </c>
    </row>
    <row r="20" spans="1:5">
      <c r="A20" s="19">
        <f t="shared" si="1"/>
        <v>10</v>
      </c>
      <c r="B20" s="21" t="s">
        <v>24</v>
      </c>
      <c r="C20" s="17">
        <v>9038</v>
      </c>
      <c r="D20" s="16">
        <v>20618.75</v>
      </c>
      <c r="E20" s="18">
        <f t="shared" si="0"/>
        <v>29656.75</v>
      </c>
    </row>
    <row r="21" spans="1:5">
      <c r="A21" s="19">
        <f t="shared" si="1"/>
        <v>11</v>
      </c>
      <c r="B21" s="21" t="s">
        <v>25</v>
      </c>
      <c r="C21" s="17">
        <v>9038</v>
      </c>
      <c r="D21" s="16">
        <v>20618.75</v>
      </c>
      <c r="E21" s="18">
        <f t="shared" si="0"/>
        <v>29656.75</v>
      </c>
    </row>
    <row r="22" spans="1:5">
      <c r="A22" s="19">
        <f t="shared" si="1"/>
        <v>12</v>
      </c>
      <c r="B22" s="21" t="s">
        <v>26</v>
      </c>
      <c r="C22" s="17">
        <v>9038</v>
      </c>
      <c r="D22" s="16">
        <v>20618.75</v>
      </c>
      <c r="E22" s="18">
        <f t="shared" si="0"/>
        <v>29656.75</v>
      </c>
    </row>
    <row r="23" spans="1:5">
      <c r="A23" s="19">
        <f t="shared" si="1"/>
        <v>13</v>
      </c>
      <c r="B23" s="21" t="s">
        <v>27</v>
      </c>
      <c r="C23" s="17">
        <v>9038</v>
      </c>
      <c r="D23" s="16">
        <v>20618.75</v>
      </c>
      <c r="E23" s="18">
        <f t="shared" si="0"/>
        <v>29656.75</v>
      </c>
    </row>
    <row r="24" spans="1:5">
      <c r="A24" s="19">
        <f t="shared" si="1"/>
        <v>14</v>
      </c>
      <c r="B24" s="21"/>
      <c r="C24" s="16"/>
      <c r="D24" s="16"/>
      <c r="E24" s="18"/>
    </row>
    <row r="25" spans="1:5">
      <c r="A25" s="19">
        <f t="shared" si="1"/>
        <v>15</v>
      </c>
      <c r="B25" s="208" t="s">
        <v>28</v>
      </c>
      <c r="C25" s="203">
        <f>AVERAGE(C11:C23)</f>
        <v>9038</v>
      </c>
      <c r="D25" s="22">
        <f>AVERAGE(D11:D23)</f>
        <v>20618.75</v>
      </c>
      <c r="E25" s="23">
        <f>AVERAGE(E11:E23)</f>
        <v>29656.75</v>
      </c>
    </row>
    <row r="26" spans="1:5">
      <c r="A26" s="19"/>
      <c r="B26" s="24"/>
      <c r="C26" s="25"/>
      <c r="D26" s="25"/>
      <c r="E26" s="26"/>
    </row>
    <row r="27" spans="1:5">
      <c r="A27" s="27"/>
    </row>
    <row r="28" spans="1:5">
      <c r="A28" s="28"/>
    </row>
    <row r="29" spans="1:5">
      <c r="A29" s="28"/>
    </row>
    <row r="30" spans="1:5">
      <c r="A30" s="28"/>
    </row>
    <row r="31" spans="1:5">
      <c r="A31" s="28"/>
    </row>
    <row r="32" spans="1:5">
      <c r="A32" s="28"/>
    </row>
    <row r="33" spans="1:1">
      <c r="A33" s="28"/>
    </row>
    <row r="34" spans="1:1">
      <c r="A34" s="28"/>
    </row>
    <row r="35" spans="1:1">
      <c r="A35" s="28"/>
    </row>
    <row r="36" spans="1:1">
      <c r="A36" s="28"/>
    </row>
    <row r="37" spans="1:1">
      <c r="A37" s="28"/>
    </row>
    <row r="38" spans="1: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>
      <c r="A59" s="28"/>
    </row>
    <row r="60" spans="1:1">
      <c r="A60" s="28"/>
    </row>
    <row r="61" spans="1:1">
      <c r="A61" s="28"/>
    </row>
    <row r="62" spans="1:1">
      <c r="A62" s="28"/>
    </row>
    <row r="63" spans="1:1">
      <c r="A63" s="28"/>
    </row>
    <row r="64" spans="1:1">
      <c r="A64" s="28"/>
    </row>
    <row r="65" spans="1:1">
      <c r="A65" s="28"/>
    </row>
    <row r="66" spans="1:1">
      <c r="A66" s="28"/>
    </row>
    <row r="67" spans="1:1">
      <c r="A67" s="28"/>
    </row>
    <row r="68" spans="1:1">
      <c r="A68" s="28"/>
    </row>
    <row r="69" spans="1:1">
      <c r="A69" s="28"/>
    </row>
    <row r="70" spans="1:1">
      <c r="A70" s="28"/>
    </row>
    <row r="71" spans="1:1">
      <c r="A71" s="28"/>
    </row>
    <row r="72" spans="1:1">
      <c r="A72" s="28"/>
    </row>
    <row r="73" spans="1:1">
      <c r="A73" s="28"/>
    </row>
    <row r="74" spans="1:1">
      <c r="A74" s="28"/>
    </row>
    <row r="75" spans="1:1">
      <c r="A75" s="28"/>
    </row>
    <row r="76" spans="1:1">
      <c r="A76" s="28"/>
    </row>
    <row r="77" spans="1:1">
      <c r="A77" s="28"/>
    </row>
    <row r="78" spans="1:1">
      <c r="A78" s="28"/>
    </row>
    <row r="79" spans="1:1">
      <c r="A79" s="28"/>
    </row>
    <row r="80" spans="1:1">
      <c r="A80" s="28"/>
    </row>
    <row r="81" spans="1:1">
      <c r="A81" s="28"/>
    </row>
    <row r="82" spans="1:1">
      <c r="A82" s="28"/>
    </row>
    <row r="83" spans="1:1">
      <c r="A83" s="28"/>
    </row>
    <row r="84" spans="1:1">
      <c r="A84" s="28"/>
    </row>
    <row r="85" spans="1:1">
      <c r="A85" s="28"/>
    </row>
    <row r="86" spans="1:1">
      <c r="A86" s="28"/>
    </row>
    <row r="87" spans="1:1">
      <c r="A87" s="28"/>
    </row>
    <row r="88" spans="1:1">
      <c r="A88" s="28"/>
    </row>
    <row r="89" spans="1:1">
      <c r="A89" s="28"/>
    </row>
    <row r="90" spans="1:1">
      <c r="A90" s="28"/>
    </row>
    <row r="91" spans="1:1">
      <c r="A91" s="28"/>
    </row>
    <row r="92" spans="1:1">
      <c r="A92" s="28"/>
    </row>
    <row r="93" spans="1:1">
      <c r="A93" s="28"/>
    </row>
    <row r="94" spans="1:1">
      <c r="A94" s="28"/>
    </row>
    <row r="95" spans="1:1">
      <c r="A95" s="28"/>
    </row>
    <row r="96" spans="1:1">
      <c r="A96" s="28"/>
    </row>
    <row r="97" spans="1:1">
      <c r="A97" s="28"/>
    </row>
    <row r="98" spans="1:1">
      <c r="A98" s="28"/>
    </row>
    <row r="99" spans="1:1">
      <c r="A99" s="28"/>
    </row>
    <row r="100" spans="1:1">
      <c r="A100" s="28"/>
    </row>
    <row r="101" spans="1:1">
      <c r="A101" s="28"/>
    </row>
    <row r="102" spans="1:1">
      <c r="A102" s="28"/>
    </row>
    <row r="103" spans="1:1">
      <c r="A103" s="28"/>
    </row>
    <row r="104" spans="1:1">
      <c r="A104" s="28"/>
    </row>
    <row r="105" spans="1:1">
      <c r="A105" s="28"/>
    </row>
    <row r="106" spans="1:1">
      <c r="A106" s="28"/>
    </row>
    <row r="107" spans="1:1">
      <c r="A107" s="28"/>
    </row>
    <row r="108" spans="1:1">
      <c r="A108" s="28"/>
    </row>
    <row r="109" spans="1:1">
      <c r="A109" s="28"/>
    </row>
    <row r="110" spans="1:1">
      <c r="A110" s="28"/>
    </row>
    <row r="111" spans="1:1">
      <c r="A111" s="28"/>
    </row>
    <row r="112" spans="1:1">
      <c r="A112" s="28"/>
    </row>
    <row r="113" spans="1:1">
      <c r="A113" s="28"/>
    </row>
    <row r="114" spans="1:1">
      <c r="A114" s="28"/>
    </row>
    <row r="115" spans="1:1">
      <c r="A115" s="28"/>
    </row>
    <row r="116" spans="1:1">
      <c r="A116" s="28"/>
    </row>
    <row r="117" spans="1:1">
      <c r="A117" s="28"/>
    </row>
    <row r="118" spans="1:1">
      <c r="A118" s="28"/>
    </row>
    <row r="119" spans="1:1">
      <c r="A119" s="28"/>
    </row>
    <row r="120" spans="1:1">
      <c r="A120" s="28"/>
    </row>
    <row r="121" spans="1:1">
      <c r="A121" s="28"/>
    </row>
    <row r="122" spans="1:1">
      <c r="A122" s="28"/>
    </row>
    <row r="123" spans="1:1">
      <c r="A123" s="28"/>
    </row>
    <row r="124" spans="1:1">
      <c r="A124" s="28"/>
    </row>
    <row r="125" spans="1:1">
      <c r="A125" s="28"/>
    </row>
    <row r="126" spans="1:1">
      <c r="A126" s="28"/>
    </row>
    <row r="127" spans="1:1">
      <c r="A127" s="28"/>
    </row>
    <row r="128" spans="1:1">
      <c r="A128" s="28"/>
    </row>
    <row r="129" spans="1:1">
      <c r="A129" s="28"/>
    </row>
    <row r="130" spans="1:1">
      <c r="A130" s="28"/>
    </row>
    <row r="131" spans="1:1">
      <c r="A131" s="28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</sheetData>
  <mergeCells count="3">
    <mergeCell ref="A3:E3"/>
    <mergeCell ref="A4:E4"/>
    <mergeCell ref="A5:E5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6 of 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3:O30"/>
  <sheetViews>
    <sheetView showGridLines="0" zoomScaleNormal="100" workbookViewId="0">
      <selection activeCell="I26" sqref="I26"/>
    </sheetView>
  </sheetViews>
  <sheetFormatPr defaultRowHeight="12.75"/>
  <cols>
    <col min="1" max="1" width="3.44140625" style="29" bestFit="1" customWidth="1"/>
    <col min="2" max="2" width="13.5546875" style="31" bestFit="1" customWidth="1"/>
    <col min="3" max="5" width="11.21875" style="31" customWidth="1"/>
    <col min="6" max="6" width="12.33203125" style="31" bestFit="1" customWidth="1"/>
    <col min="7" max="9" width="8.33203125" style="31" bestFit="1" customWidth="1"/>
    <col min="10" max="16384" width="8.88671875" style="31"/>
  </cols>
  <sheetData>
    <row r="3" spans="1:15">
      <c r="A3" s="805" t="s">
        <v>0</v>
      </c>
      <c r="B3" s="805"/>
      <c r="C3" s="805"/>
      <c r="D3" s="805"/>
      <c r="E3" s="805"/>
      <c r="G3" s="47"/>
      <c r="H3" s="47"/>
      <c r="I3" s="47"/>
      <c r="J3" s="47"/>
      <c r="K3" s="47"/>
      <c r="L3" s="47"/>
      <c r="M3" s="47"/>
      <c r="N3" s="47"/>
      <c r="O3" s="47"/>
    </row>
    <row r="4" spans="1:15">
      <c r="A4" s="805" t="s">
        <v>45</v>
      </c>
      <c r="B4" s="805"/>
      <c r="C4" s="805"/>
      <c r="D4" s="805"/>
      <c r="E4" s="805"/>
      <c r="F4" s="794"/>
      <c r="G4" s="47"/>
      <c r="H4" s="47"/>
      <c r="I4" s="47"/>
      <c r="J4" s="47"/>
      <c r="K4" s="47"/>
      <c r="L4" s="47"/>
      <c r="M4" s="47"/>
      <c r="N4" s="47"/>
      <c r="O4" s="47"/>
    </row>
    <row r="5" spans="1:15">
      <c r="A5" s="806" t="str">
        <f>'Page 1 - PIS'!A5:G5</f>
        <v>For the 13 Months Ended December 31, 2013</v>
      </c>
      <c r="B5" s="806"/>
      <c r="C5" s="806"/>
      <c r="D5" s="806"/>
      <c r="E5" s="806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>
      <c r="A6" s="805"/>
      <c r="B6" s="805"/>
      <c r="C6" s="805"/>
      <c r="D6" s="805"/>
      <c r="E6" s="805"/>
      <c r="F6" s="47"/>
      <c r="G6" s="47"/>
      <c r="H6" s="47"/>
      <c r="I6" s="47"/>
      <c r="J6" s="47"/>
      <c r="K6" s="47"/>
      <c r="L6" s="47"/>
      <c r="M6" s="47"/>
      <c r="N6" s="47"/>
      <c r="O6" s="47"/>
    </row>
    <row r="8" spans="1:15" ht="15">
      <c r="A8"/>
      <c r="B8" s="698" t="s">
        <v>1</v>
      </c>
      <c r="C8" s="699" t="s">
        <v>2</v>
      </c>
      <c r="D8" s="699"/>
      <c r="E8" s="699" t="s">
        <v>3</v>
      </c>
      <c r="F8" s="699" t="s">
        <v>4</v>
      </c>
    </row>
    <row r="9" spans="1:15">
      <c r="A9" s="699"/>
      <c r="B9" s="700"/>
      <c r="C9" s="700"/>
      <c r="D9" s="700"/>
      <c r="E9" s="700"/>
      <c r="F9" s="700"/>
    </row>
    <row r="10" spans="1:15">
      <c r="A10" s="701" t="s">
        <v>8</v>
      </c>
      <c r="B10" s="702"/>
      <c r="C10" s="807" t="s">
        <v>46</v>
      </c>
      <c r="D10" s="807"/>
      <c r="E10" s="807"/>
      <c r="F10" s="808"/>
    </row>
    <row r="11" spans="1:15">
      <c r="A11" s="703" t="s">
        <v>10</v>
      </c>
      <c r="B11" s="704" t="s">
        <v>47</v>
      </c>
      <c r="C11" s="705" t="s">
        <v>11</v>
      </c>
      <c r="D11" s="705" t="s">
        <v>12</v>
      </c>
      <c r="E11" s="705" t="s">
        <v>13</v>
      </c>
      <c r="F11" s="706" t="s">
        <v>48</v>
      </c>
    </row>
    <row r="12" spans="1:15">
      <c r="A12" s="707">
        <v>1</v>
      </c>
      <c r="B12" s="708" t="s">
        <v>576</v>
      </c>
      <c r="C12" s="709">
        <v>5771157.8284291001</v>
      </c>
      <c r="D12" s="709">
        <v>4036557.9044117602</v>
      </c>
      <c r="E12" s="709">
        <v>7138442.0955882296</v>
      </c>
      <c r="F12" s="710">
        <f>SUM(C12:E12)</f>
        <v>16946157.828429088</v>
      </c>
    </row>
    <row r="13" spans="1:15">
      <c r="A13" s="707">
        <v>2</v>
      </c>
      <c r="B13" s="708" t="s">
        <v>577</v>
      </c>
      <c r="C13" s="709">
        <v>5734923.6286145505</v>
      </c>
      <c r="D13" s="709">
        <v>4107272.7272727201</v>
      </c>
      <c r="E13" s="709">
        <v>7187727.2727272697</v>
      </c>
      <c r="F13" s="710">
        <f t="shared" ref="F13:F23" si="0">SUM(C13:E13)</f>
        <v>17029923.628614541</v>
      </c>
    </row>
    <row r="14" spans="1:15">
      <c r="A14" s="707">
        <v>3</v>
      </c>
      <c r="B14" s="711" t="s">
        <v>17</v>
      </c>
      <c r="C14" s="709">
        <v>5893696.3327670097</v>
      </c>
      <c r="D14" s="709">
        <v>4107272.7272727201</v>
      </c>
      <c r="E14" s="709">
        <v>7187727.2727272697</v>
      </c>
      <c r="F14" s="710">
        <f t="shared" si="0"/>
        <v>17188696.332766999</v>
      </c>
    </row>
    <row r="15" spans="1:15">
      <c r="A15" s="707">
        <v>4</v>
      </c>
      <c r="B15" s="711" t="s">
        <v>18</v>
      </c>
      <c r="C15" s="709">
        <v>5802475.9535437496</v>
      </c>
      <c r="D15" s="709">
        <v>4109090.9090908999</v>
      </c>
      <c r="E15" s="709">
        <v>7190909.0909090899</v>
      </c>
      <c r="F15" s="710">
        <f t="shared" si="0"/>
        <v>17102475.953543738</v>
      </c>
    </row>
    <row r="16" spans="1:15">
      <c r="A16" s="707">
        <v>5</v>
      </c>
      <c r="B16" s="711" t="s">
        <v>19</v>
      </c>
      <c r="C16" s="709">
        <v>5766262.5036252402</v>
      </c>
      <c r="D16" s="709">
        <v>4109090.9090908999</v>
      </c>
      <c r="E16" s="709">
        <v>7190909.0909090899</v>
      </c>
      <c r="F16" s="710">
        <f t="shared" si="0"/>
        <v>17066262.503625229</v>
      </c>
    </row>
    <row r="17" spans="1:6">
      <c r="A17" s="707">
        <v>6</v>
      </c>
      <c r="B17" s="711" t="s">
        <v>20</v>
      </c>
      <c r="C17" s="709">
        <v>5900055.9957152298</v>
      </c>
      <c r="D17" s="709">
        <v>4112727.2727272701</v>
      </c>
      <c r="E17" s="709">
        <v>7197272.7272727201</v>
      </c>
      <c r="F17" s="710">
        <f t="shared" si="0"/>
        <v>17210055.99571522</v>
      </c>
    </row>
    <row r="18" spans="1:6">
      <c r="A18" s="707">
        <v>7</v>
      </c>
      <c r="B18" s="711" t="s">
        <v>21</v>
      </c>
      <c r="C18" s="709">
        <v>5820856.4425407099</v>
      </c>
      <c r="D18" s="709">
        <v>4112727.2727272701</v>
      </c>
      <c r="E18" s="709">
        <v>7197272.7272727201</v>
      </c>
      <c r="F18" s="710">
        <f t="shared" si="0"/>
        <v>17130856.442540701</v>
      </c>
    </row>
    <row r="19" spans="1:6">
      <c r="A19" s="707">
        <v>8</v>
      </c>
      <c r="B19" s="711" t="s">
        <v>22</v>
      </c>
      <c r="C19" s="709">
        <v>5767663.8568520304</v>
      </c>
      <c r="D19" s="709">
        <v>4112727.2727272701</v>
      </c>
      <c r="E19" s="709">
        <v>7197272.7272727201</v>
      </c>
      <c r="F19" s="710">
        <f t="shared" si="0"/>
        <v>17077663.856852021</v>
      </c>
    </row>
    <row r="20" spans="1:6">
      <c r="A20" s="707">
        <v>9</v>
      </c>
      <c r="B20" s="711" t="s">
        <v>23</v>
      </c>
      <c r="C20" s="709">
        <v>5934478.2514229296</v>
      </c>
      <c r="D20" s="709">
        <v>4112727.2727272701</v>
      </c>
      <c r="E20" s="709">
        <v>7197272.7272727201</v>
      </c>
      <c r="F20" s="710">
        <f t="shared" si="0"/>
        <v>17244478.251422919</v>
      </c>
    </row>
    <row r="21" spans="1:6">
      <c r="A21" s="707">
        <v>10</v>
      </c>
      <c r="B21" s="711" t="s">
        <v>24</v>
      </c>
      <c r="C21" s="709">
        <v>5835299.6390505303</v>
      </c>
      <c r="D21" s="709">
        <v>4112727.2727272701</v>
      </c>
      <c r="E21" s="709">
        <v>7197272.7272727201</v>
      </c>
      <c r="F21" s="710">
        <f t="shared" si="0"/>
        <v>17145299.639050521</v>
      </c>
    </row>
    <row r="22" spans="1:6">
      <c r="A22" s="707">
        <v>11</v>
      </c>
      <c r="B22" s="711" t="s">
        <v>25</v>
      </c>
      <c r="C22" s="709">
        <v>5784128.03255546</v>
      </c>
      <c r="D22" s="709">
        <v>4109090.9090908999</v>
      </c>
      <c r="E22" s="709">
        <v>7190909.0909090899</v>
      </c>
      <c r="F22" s="710">
        <f t="shared" si="0"/>
        <v>17084128.03255545</v>
      </c>
    </row>
    <row r="23" spans="1:6">
      <c r="A23" s="707">
        <v>12</v>
      </c>
      <c r="B23" s="711" t="s">
        <v>26</v>
      </c>
      <c r="C23" s="709">
        <v>5962963.44478181</v>
      </c>
      <c r="D23" s="709">
        <v>4109090.9090908999</v>
      </c>
      <c r="E23" s="709">
        <v>7190909.0909090899</v>
      </c>
      <c r="F23" s="710">
        <f t="shared" si="0"/>
        <v>17262963.444781799</v>
      </c>
    </row>
    <row r="24" spans="1:6">
      <c r="A24" s="707">
        <v>13</v>
      </c>
      <c r="B24" s="711" t="s">
        <v>27</v>
      </c>
      <c r="C24" s="712">
        <v>5851805.88859725</v>
      </c>
      <c r="D24" s="712">
        <v>4109090.9090908999</v>
      </c>
      <c r="E24" s="712">
        <v>7190909.0909090899</v>
      </c>
      <c r="F24" s="713">
        <f>SUM(C24:E24)</f>
        <v>17151805.888597239</v>
      </c>
    </row>
    <row r="25" spans="1:6">
      <c r="A25" s="707">
        <v>14</v>
      </c>
      <c r="B25" s="711"/>
      <c r="C25" s="714"/>
      <c r="D25" s="714"/>
      <c r="E25" s="714"/>
      <c r="F25" s="715"/>
    </row>
    <row r="26" spans="1:6">
      <c r="A26" s="707">
        <v>15</v>
      </c>
      <c r="B26" s="716" t="s">
        <v>16</v>
      </c>
      <c r="C26" s="712">
        <v>72247932</v>
      </c>
      <c r="D26" s="712">
        <v>49200083</v>
      </c>
      <c r="E26" s="712">
        <v>92366890</v>
      </c>
      <c r="F26" s="713">
        <v>213814905</v>
      </c>
    </row>
    <row r="27" spans="1:6">
      <c r="A27" s="707">
        <v>16</v>
      </c>
      <c r="B27" s="716"/>
      <c r="C27" s="709"/>
      <c r="D27" s="709"/>
      <c r="E27" s="709"/>
      <c r="F27" s="710"/>
    </row>
    <row r="28" spans="1:6" ht="13.5" thickBot="1">
      <c r="A28" s="707">
        <v>17</v>
      </c>
      <c r="B28" s="716" t="s">
        <v>28</v>
      </c>
      <c r="C28" s="717">
        <f>AVERAGE(C12:C24)</f>
        <v>5832751.3691150453</v>
      </c>
      <c r="D28" s="773">
        <f>AVERAGE(D12:D24)</f>
        <v>4104630.3283113884</v>
      </c>
      <c r="E28" s="717">
        <f>AVERAGE(E12:E24)</f>
        <v>7188831.2101501413</v>
      </c>
      <c r="F28" s="718">
        <f>AVERAGE(F12:F24)</f>
        <v>17126212.907576576</v>
      </c>
    </row>
    <row r="29" spans="1:6" ht="13.5" thickTop="1">
      <c r="A29" s="707"/>
      <c r="B29" s="716"/>
      <c r="C29" s="709"/>
      <c r="D29" s="709"/>
      <c r="E29" s="709"/>
      <c r="F29" s="710"/>
    </row>
    <row r="30" spans="1:6">
      <c r="A30" s="703"/>
      <c r="B30" s="719"/>
      <c r="C30" s="720"/>
      <c r="D30" s="720"/>
      <c r="E30" s="720"/>
      <c r="F30" s="721"/>
    </row>
  </sheetData>
  <mergeCells count="5">
    <mergeCell ref="A3:E3"/>
    <mergeCell ref="A4:E4"/>
    <mergeCell ref="A5:E5"/>
    <mergeCell ref="A6:E6"/>
    <mergeCell ref="C10:F10"/>
  </mergeCells>
  <printOptions horizontalCentered="1"/>
  <pageMargins left="0.75" right="0.75" top="0.75" bottom="0.75" header="0.5" footer="0.5"/>
  <pageSetup scale="80" orientation="portrait" r:id="rId1"/>
  <headerFooter>
    <oddHeader>&amp;R&amp;"Arial,Regular"&amp;10Attachment O Work Paper
Page 7 of 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codeName="Sheet5">
    <pageSetUpPr autoPageBreaks="0"/>
  </sheetPr>
  <dimension ref="A1:F27"/>
  <sheetViews>
    <sheetView showGridLines="0" defaultGridColor="0" colorId="22" zoomScaleNormal="100" workbookViewId="0">
      <selection activeCell="C29" sqref="C29"/>
    </sheetView>
  </sheetViews>
  <sheetFormatPr defaultColWidth="5.6640625" defaultRowHeight="12.75"/>
  <cols>
    <col min="1" max="1" width="3.88671875" style="50" bestFit="1" customWidth="1"/>
    <col min="2" max="2" width="15.44140625" style="51" bestFit="1" customWidth="1"/>
    <col min="3" max="4" width="13.77734375" style="51" customWidth="1"/>
    <col min="5" max="5" width="13.44140625" style="51" bestFit="1" customWidth="1"/>
    <col min="6" max="253" width="9.77734375" style="51" customWidth="1"/>
    <col min="254" max="254" width="3.88671875" style="51" bestFit="1" customWidth="1"/>
    <col min="255" max="255" width="13" style="51" customWidth="1"/>
    <col min="256" max="16384" width="5.6640625" style="51"/>
  </cols>
  <sheetData>
    <row r="1" spans="1:6">
      <c r="D1" s="52"/>
      <c r="E1" s="53"/>
    </row>
    <row r="2" spans="1:6">
      <c r="B2" s="54"/>
      <c r="D2" s="52"/>
      <c r="E2" s="53"/>
    </row>
    <row r="3" spans="1:6" ht="12.75" customHeight="1">
      <c r="A3" s="809" t="s">
        <v>0</v>
      </c>
      <c r="B3" s="810"/>
      <c r="C3" s="810"/>
      <c r="D3" s="810"/>
    </row>
    <row r="4" spans="1:6" ht="12.75" customHeight="1">
      <c r="A4" s="809" t="s">
        <v>49</v>
      </c>
      <c r="B4" s="810"/>
      <c r="C4" s="810"/>
      <c r="D4" s="810"/>
    </row>
    <row r="5" spans="1:6" ht="12.75" customHeight="1">
      <c r="A5" s="811" t="str">
        <f>'Page 1 - PIS'!A5:G5</f>
        <v>For the 13 Months Ended December 31, 2013</v>
      </c>
      <c r="B5" s="810"/>
      <c r="C5" s="810"/>
      <c r="D5" s="810"/>
      <c r="E5" s="794"/>
    </row>
    <row r="6" spans="1:6">
      <c r="C6" s="56"/>
      <c r="D6" s="56"/>
    </row>
    <row r="7" spans="1:6">
      <c r="B7" s="50" t="s">
        <v>1</v>
      </c>
      <c r="C7" s="55" t="s">
        <v>2</v>
      </c>
      <c r="D7" s="55" t="s">
        <v>3</v>
      </c>
      <c r="E7" s="57"/>
    </row>
    <row r="8" spans="1:6">
      <c r="B8" s="58"/>
      <c r="C8" s="59"/>
      <c r="D8" s="59"/>
    </row>
    <row r="9" spans="1:6" ht="51">
      <c r="A9" s="60" t="s">
        <v>38</v>
      </c>
      <c r="B9" s="228" t="s">
        <v>47</v>
      </c>
      <c r="C9" s="221" t="s">
        <v>50</v>
      </c>
      <c r="D9" s="217" t="s">
        <v>51</v>
      </c>
    </row>
    <row r="10" spans="1:6">
      <c r="A10" s="61">
        <f>1</f>
        <v>1</v>
      </c>
      <c r="B10" s="666" t="s">
        <v>507</v>
      </c>
      <c r="C10" s="222">
        <v>0</v>
      </c>
      <c r="D10" s="218">
        <v>1114049.3774880699</v>
      </c>
    </row>
    <row r="11" spans="1:6">
      <c r="A11" s="62">
        <f>A10+1</f>
        <v>2</v>
      </c>
      <c r="B11" s="667" t="s">
        <v>508</v>
      </c>
      <c r="C11" s="223">
        <f>D11-D10</f>
        <v>564531.87037174008</v>
      </c>
      <c r="D11" s="214">
        <v>1678581.24785981</v>
      </c>
    </row>
    <row r="12" spans="1:6">
      <c r="A12" s="62">
        <f t="shared" ref="A12:A25" si="0">A11+1</f>
        <v>3</v>
      </c>
      <c r="B12" s="215" t="s">
        <v>17</v>
      </c>
      <c r="C12" s="223">
        <f>D12-D11</f>
        <v>-197137.53657673998</v>
      </c>
      <c r="D12" s="214">
        <v>1481443.71128307</v>
      </c>
    </row>
    <row r="13" spans="1:6">
      <c r="A13" s="62">
        <f t="shared" si="0"/>
        <v>4</v>
      </c>
      <c r="B13" s="215" t="s">
        <v>18</v>
      </c>
      <c r="C13" s="223">
        <f t="shared" ref="C13:C22" si="1">D13-D12</f>
        <v>-197619.33211312001</v>
      </c>
      <c r="D13" s="214">
        <v>1283824.37916995</v>
      </c>
      <c r="E13" s="63"/>
      <c r="F13" s="56"/>
    </row>
    <row r="14" spans="1:6">
      <c r="A14" s="62">
        <f t="shared" si="0"/>
        <v>5</v>
      </c>
      <c r="B14" s="215" t="s">
        <v>19</v>
      </c>
      <c r="C14" s="223">
        <f t="shared" si="1"/>
        <v>1382038.4287335498</v>
      </c>
      <c r="D14" s="214">
        <v>2665862.8079034998</v>
      </c>
      <c r="E14" s="63"/>
      <c r="F14" s="56"/>
    </row>
    <row r="15" spans="1:6">
      <c r="A15" s="62">
        <f t="shared" si="0"/>
        <v>6</v>
      </c>
      <c r="B15" s="215" t="s">
        <v>20</v>
      </c>
      <c r="C15" s="223">
        <f t="shared" si="1"/>
        <v>-198922.9568596296</v>
      </c>
      <c r="D15" s="214">
        <v>2466939.8510438702</v>
      </c>
    </row>
    <row r="16" spans="1:6">
      <c r="A16" s="62">
        <f t="shared" si="0"/>
        <v>7</v>
      </c>
      <c r="B16" s="215" t="s">
        <v>21</v>
      </c>
      <c r="C16" s="223">
        <f t="shared" si="1"/>
        <v>-199452.50891450001</v>
      </c>
      <c r="D16" s="214">
        <v>2267487.3421293702</v>
      </c>
    </row>
    <row r="17" spans="1:5">
      <c r="A17" s="62">
        <f t="shared" si="0"/>
        <v>8</v>
      </c>
      <c r="B17" s="215" t="s">
        <v>22</v>
      </c>
      <c r="C17" s="223">
        <f t="shared" si="1"/>
        <v>-170742.66145510017</v>
      </c>
      <c r="D17" s="214">
        <v>2096744.68067427</v>
      </c>
    </row>
    <row r="18" spans="1:5">
      <c r="A18" s="62">
        <f t="shared" si="0"/>
        <v>9</v>
      </c>
      <c r="B18" s="215" t="s">
        <v>23</v>
      </c>
      <c r="C18" s="223">
        <f t="shared" si="1"/>
        <v>-199456.85877116001</v>
      </c>
      <c r="D18" s="214">
        <v>1897287.82190311</v>
      </c>
    </row>
    <row r="19" spans="1:5">
      <c r="A19" s="62">
        <f t="shared" si="0"/>
        <v>10</v>
      </c>
      <c r="B19" s="215" t="s">
        <v>24</v>
      </c>
      <c r="C19" s="223">
        <f t="shared" si="1"/>
        <v>-199457.60204486991</v>
      </c>
      <c r="D19" s="214">
        <v>1697830.2198582401</v>
      </c>
    </row>
    <row r="20" spans="1:5">
      <c r="A20" s="62">
        <f t="shared" si="0"/>
        <v>11</v>
      </c>
      <c r="B20" s="215" t="s">
        <v>25</v>
      </c>
      <c r="C20" s="223">
        <f t="shared" si="1"/>
        <v>-170745.57954487018</v>
      </c>
      <c r="D20" s="214">
        <v>1527084.6403133699</v>
      </c>
    </row>
    <row r="21" spans="1:5">
      <c r="A21" s="62">
        <f t="shared" si="0"/>
        <v>12</v>
      </c>
      <c r="B21" s="215" t="s">
        <v>26</v>
      </c>
      <c r="C21" s="223">
        <f t="shared" si="1"/>
        <v>-199888.38151987991</v>
      </c>
      <c r="D21" s="214">
        <v>1327196.25879349</v>
      </c>
    </row>
    <row r="22" spans="1:5">
      <c r="A22" s="62">
        <f t="shared" si="0"/>
        <v>13</v>
      </c>
      <c r="B22" s="215" t="s">
        <v>27</v>
      </c>
      <c r="C22" s="223">
        <f t="shared" si="1"/>
        <v>-200353.9539799199</v>
      </c>
      <c r="D22" s="214">
        <v>1126842.3048135701</v>
      </c>
      <c r="E22" s="64"/>
    </row>
    <row r="23" spans="1:5">
      <c r="A23" s="62">
        <f t="shared" si="0"/>
        <v>14</v>
      </c>
      <c r="B23" s="215"/>
      <c r="C23" s="223"/>
      <c r="D23" s="214"/>
      <c r="E23" s="64"/>
    </row>
    <row r="24" spans="1:5">
      <c r="A24" s="62">
        <f t="shared" si="0"/>
        <v>15</v>
      </c>
      <c r="B24" s="216" t="s">
        <v>16</v>
      </c>
      <c r="C24" s="224"/>
      <c r="D24" s="219">
        <f>SUM(D10:D22)</f>
        <v>22631174.643233694</v>
      </c>
    </row>
    <row r="25" spans="1:5">
      <c r="A25" s="62">
        <f t="shared" si="0"/>
        <v>16</v>
      </c>
      <c r="B25" s="216" t="s">
        <v>28</v>
      </c>
      <c r="C25" s="225"/>
      <c r="D25" s="220">
        <f>D24/13</f>
        <v>1740859.5879410533</v>
      </c>
    </row>
    <row r="26" spans="1:5">
      <c r="A26" s="66"/>
      <c r="B26" s="212"/>
      <c r="C26" s="58"/>
      <c r="D26" s="213"/>
    </row>
    <row r="27" spans="1:5">
      <c r="A27" s="67"/>
      <c r="B27" s="65"/>
      <c r="C27" s="65"/>
      <c r="D27" s="65"/>
    </row>
  </sheetData>
  <mergeCells count="3">
    <mergeCell ref="A3:D3"/>
    <mergeCell ref="A4:D4"/>
    <mergeCell ref="A5:D5"/>
  </mergeCells>
  <printOptions horizontalCentered="1"/>
  <pageMargins left="0.75" right="0.75" top="0.5" bottom="0.5" header="0.5" footer="0.5"/>
  <pageSetup scale="80" orientation="portrait" r:id="rId1"/>
  <headerFooter alignWithMargins="0">
    <oddHeader>&amp;R&amp;"Arial,Regular"&amp;10Attachment O Work Paper
Page 8 of 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F202"/>
  <sheetViews>
    <sheetView showGridLines="0" zoomScaleNormal="100" workbookViewId="0">
      <pane ySplit="9" topLeftCell="A49" activePane="bottomLeft" state="frozen"/>
      <selection activeCell="B1" sqref="B1"/>
      <selection pane="bottomLeft" activeCell="D62" activeCellId="1" sqref="D57:D60 D62:D71"/>
    </sheetView>
  </sheetViews>
  <sheetFormatPr defaultColWidth="16.77734375" defaultRowHeight="12.75"/>
  <cols>
    <col min="1" max="1" width="4.33203125" style="231" bestFit="1" customWidth="1"/>
    <col min="2" max="2" width="55.88671875" style="231" customWidth="1"/>
    <col min="3" max="3" width="14.109375" style="322" customWidth="1"/>
    <col min="4" max="4" width="20.88671875" style="323" bestFit="1" customWidth="1"/>
    <col min="5" max="5" width="8.88671875" style="231" customWidth="1"/>
    <col min="6" max="6" width="16" style="231" bestFit="1" customWidth="1"/>
    <col min="7" max="248" width="8.88671875" style="231" customWidth="1"/>
    <col min="249" max="249" width="9.44140625" style="231" customWidth="1"/>
    <col min="250" max="250" width="55.88671875" style="231" customWidth="1"/>
    <col min="251" max="251" width="14.109375" style="231" customWidth="1"/>
    <col min="252" max="252" width="18.33203125" style="231" customWidth="1"/>
    <col min="253" max="253" width="16.77734375" style="231" customWidth="1"/>
    <col min="254" max="254" width="13.88671875" style="231" customWidth="1"/>
    <col min="255" max="16384" width="16.77734375" style="231"/>
  </cols>
  <sheetData>
    <row r="1" spans="1:6">
      <c r="A1" s="818"/>
      <c r="B1" s="818"/>
      <c r="C1" s="229"/>
      <c r="D1" s="230"/>
    </row>
    <row r="2" spans="1:6" ht="12.75" customHeight="1">
      <c r="A2" s="819" t="s">
        <v>0</v>
      </c>
      <c r="B2" s="820"/>
      <c r="C2" s="820"/>
      <c r="D2" s="820"/>
      <c r="E2" s="471"/>
      <c r="F2" s="471"/>
    </row>
    <row r="3" spans="1:6" ht="12.75" customHeight="1">
      <c r="A3" s="819" t="s">
        <v>374</v>
      </c>
      <c r="B3" s="820"/>
      <c r="C3" s="820"/>
      <c r="D3" s="820"/>
      <c r="E3" s="472"/>
      <c r="F3" s="473"/>
    </row>
    <row r="4" spans="1:6" ht="12.75" customHeight="1">
      <c r="A4" s="819" t="s">
        <v>559</v>
      </c>
      <c r="B4" s="820"/>
      <c r="C4" s="820"/>
      <c r="D4" s="820"/>
      <c r="E4" s="794"/>
    </row>
    <row r="5" spans="1:6">
      <c r="A5" s="232"/>
      <c r="B5" s="233"/>
      <c r="C5" s="234"/>
      <c r="D5" s="235"/>
    </row>
    <row r="6" spans="1:6">
      <c r="A6" s="232"/>
      <c r="B6" s="324" t="s">
        <v>1</v>
      </c>
      <c r="C6" s="29" t="s">
        <v>2</v>
      </c>
      <c r="D6" s="29" t="s">
        <v>3</v>
      </c>
    </row>
    <row r="7" spans="1:6">
      <c r="A7" s="232"/>
      <c r="B7" s="236"/>
      <c r="C7" s="229"/>
      <c r="D7" s="237"/>
    </row>
    <row r="8" spans="1:6">
      <c r="A8" s="238" t="s">
        <v>8</v>
      </c>
      <c r="B8" s="812" t="s">
        <v>35</v>
      </c>
      <c r="C8" s="816" t="s">
        <v>113</v>
      </c>
      <c r="D8" s="239" t="s">
        <v>341</v>
      </c>
    </row>
    <row r="9" spans="1:6">
      <c r="A9" s="240" t="s">
        <v>10</v>
      </c>
      <c r="B9" s="813"/>
      <c r="C9" s="817"/>
      <c r="D9" s="241" t="str">
        <f>A4</f>
        <v>Budget Year 2013</v>
      </c>
    </row>
    <row r="10" spans="1:6">
      <c r="A10" s="242">
        <v>1</v>
      </c>
      <c r="B10" s="243" t="s">
        <v>116</v>
      </c>
      <c r="C10" s="244"/>
      <c r="D10" s="245"/>
    </row>
    <row r="11" spans="1:6">
      <c r="A11" s="242">
        <f>+A10+1</f>
        <v>2</v>
      </c>
      <c r="B11" s="246" t="s">
        <v>117</v>
      </c>
      <c r="C11" s="247" t="s">
        <v>118</v>
      </c>
      <c r="D11" s="487">
        <v>1823819</v>
      </c>
    </row>
    <row r="12" spans="1:6">
      <c r="A12" s="242">
        <f>+A11+1</f>
        <v>3</v>
      </c>
      <c r="B12" s="246" t="s">
        <v>119</v>
      </c>
      <c r="C12" s="247" t="s">
        <v>120</v>
      </c>
      <c r="D12" s="487">
        <f>426712+68018838</f>
        <v>68445550</v>
      </c>
    </row>
    <row r="13" spans="1:6">
      <c r="A13" s="242">
        <f t="shared" ref="A13:A74" si="0">+A12+1</f>
        <v>4</v>
      </c>
      <c r="B13" s="246" t="s">
        <v>121</v>
      </c>
      <c r="C13" s="247" t="s">
        <v>122</v>
      </c>
      <c r="D13" s="487">
        <v>3225270</v>
      </c>
    </row>
    <row r="14" spans="1:6">
      <c r="A14" s="242">
        <f t="shared" si="0"/>
        <v>5</v>
      </c>
      <c r="B14" s="246" t="s">
        <v>123</v>
      </c>
      <c r="C14" s="247" t="s">
        <v>124</v>
      </c>
      <c r="D14" s="487">
        <v>2586179</v>
      </c>
    </row>
    <row r="15" spans="1:6">
      <c r="A15" s="242">
        <f t="shared" si="0"/>
        <v>6</v>
      </c>
      <c r="B15" s="246" t="s">
        <v>125</v>
      </c>
      <c r="C15" s="247" t="s">
        <v>126</v>
      </c>
      <c r="D15" s="487">
        <v>4996676</v>
      </c>
    </row>
    <row r="16" spans="1:6" ht="15" customHeight="1">
      <c r="A16" s="242">
        <f t="shared" si="0"/>
        <v>7</v>
      </c>
      <c r="B16" s="246" t="s">
        <v>127</v>
      </c>
      <c r="C16" s="247" t="s">
        <v>128</v>
      </c>
      <c r="D16" s="485">
        <v>0</v>
      </c>
    </row>
    <row r="17" spans="1:4">
      <c r="A17" s="242">
        <f t="shared" si="0"/>
        <v>8</v>
      </c>
      <c r="B17" s="248" t="s">
        <v>354</v>
      </c>
      <c r="C17" s="249"/>
      <c r="D17" s="250">
        <f>+SUM(D11:D16)</f>
        <v>81077494</v>
      </c>
    </row>
    <row r="18" spans="1:4" ht="7.5" customHeight="1">
      <c r="A18" s="242"/>
      <c r="B18" s="251"/>
      <c r="C18" s="252"/>
      <c r="D18" s="253"/>
    </row>
    <row r="19" spans="1:4">
      <c r="A19" s="242">
        <f>+A17+1</f>
        <v>9</v>
      </c>
      <c r="B19" s="243" t="s">
        <v>129</v>
      </c>
      <c r="C19" s="244"/>
      <c r="D19" s="254"/>
    </row>
    <row r="20" spans="1:4">
      <c r="A20" s="242">
        <f t="shared" si="0"/>
        <v>10</v>
      </c>
      <c r="B20" s="246" t="s">
        <v>117</v>
      </c>
      <c r="C20" s="255" t="s">
        <v>130</v>
      </c>
      <c r="D20" s="521">
        <v>944794</v>
      </c>
    </row>
    <row r="21" spans="1:4">
      <c r="A21" s="242">
        <f t="shared" si="0"/>
        <v>11</v>
      </c>
      <c r="B21" s="246" t="s">
        <v>131</v>
      </c>
      <c r="C21" s="247" t="s">
        <v>132</v>
      </c>
      <c r="D21" s="521">
        <v>739578</v>
      </c>
    </row>
    <row r="22" spans="1:4">
      <c r="A22" s="242">
        <f t="shared" si="0"/>
        <v>12</v>
      </c>
      <c r="B22" s="246" t="s">
        <v>133</v>
      </c>
      <c r="C22" s="247" t="s">
        <v>134</v>
      </c>
      <c r="D22" s="521">
        <v>6785071</v>
      </c>
    </row>
    <row r="23" spans="1:4">
      <c r="A23" s="242">
        <f t="shared" si="0"/>
        <v>13</v>
      </c>
      <c r="B23" s="246" t="s">
        <v>135</v>
      </c>
      <c r="C23" s="247" t="s">
        <v>136</v>
      </c>
      <c r="D23" s="521">
        <v>1501813</v>
      </c>
    </row>
    <row r="24" spans="1:4">
      <c r="A24" s="242">
        <f t="shared" si="0"/>
        <v>14</v>
      </c>
      <c r="B24" s="246" t="s">
        <v>137</v>
      </c>
      <c r="C24" s="247" t="s">
        <v>138</v>
      </c>
      <c r="D24" s="497">
        <v>2031914</v>
      </c>
    </row>
    <row r="25" spans="1:4">
      <c r="A25" s="242">
        <f t="shared" si="0"/>
        <v>15</v>
      </c>
      <c r="B25" s="248" t="s">
        <v>355</v>
      </c>
      <c r="C25" s="249"/>
      <c r="D25" s="250">
        <f>+SUM(D20:D24)</f>
        <v>12003170</v>
      </c>
    </row>
    <row r="26" spans="1:4" ht="7.5" customHeight="1">
      <c r="A26" s="242"/>
      <c r="B26" s="251"/>
      <c r="C26" s="252"/>
      <c r="D26" s="253"/>
    </row>
    <row r="27" spans="1:4">
      <c r="A27" s="242">
        <f>+A25+1</f>
        <v>16</v>
      </c>
      <c r="B27" s="243" t="s">
        <v>139</v>
      </c>
      <c r="C27" s="244"/>
      <c r="D27" s="254"/>
    </row>
    <row r="28" spans="1:4">
      <c r="A28" s="242">
        <f t="shared" si="0"/>
        <v>17</v>
      </c>
      <c r="B28" s="246" t="s">
        <v>117</v>
      </c>
      <c r="C28" s="247" t="s">
        <v>140</v>
      </c>
      <c r="D28" s="525">
        <v>11517</v>
      </c>
    </row>
    <row r="29" spans="1:4">
      <c r="A29" s="242">
        <f t="shared" si="0"/>
        <v>18</v>
      </c>
      <c r="B29" s="246" t="s">
        <v>141</v>
      </c>
      <c r="C29" s="247" t="s">
        <v>510</v>
      </c>
      <c r="D29" s="525">
        <f>5764+115628</f>
        <v>121392</v>
      </c>
    </row>
    <row r="30" spans="1:4">
      <c r="A30" s="242">
        <f t="shared" si="0"/>
        <v>19</v>
      </c>
      <c r="B30" s="246" t="s">
        <v>125</v>
      </c>
      <c r="C30" s="247" t="s">
        <v>142</v>
      </c>
      <c r="D30" s="525">
        <v>34127</v>
      </c>
    </row>
    <row r="31" spans="1:4">
      <c r="A31" s="242"/>
      <c r="B31" s="513" t="s">
        <v>511</v>
      </c>
      <c r="C31" s="247" t="s">
        <v>512</v>
      </c>
      <c r="D31" s="525">
        <v>0</v>
      </c>
    </row>
    <row r="32" spans="1:4">
      <c r="A32" s="242">
        <f>+A30+1</f>
        <v>20</v>
      </c>
      <c r="B32" s="246" t="s">
        <v>143</v>
      </c>
      <c r="C32" s="255" t="s">
        <v>144</v>
      </c>
      <c r="D32" s="525">
        <v>3646</v>
      </c>
    </row>
    <row r="33" spans="1:4">
      <c r="A33" s="242">
        <f t="shared" si="0"/>
        <v>21</v>
      </c>
      <c r="B33" s="246" t="s">
        <v>131</v>
      </c>
      <c r="C33" s="247" t="s">
        <v>145</v>
      </c>
      <c r="D33" s="525">
        <v>8150</v>
      </c>
    </row>
    <row r="34" spans="1:4">
      <c r="A34" s="242">
        <f t="shared" si="0"/>
        <v>22</v>
      </c>
      <c r="B34" s="246" t="s">
        <v>146</v>
      </c>
      <c r="C34" s="247" t="s">
        <v>147</v>
      </c>
      <c r="D34" s="525">
        <v>361033</v>
      </c>
    </row>
    <row r="35" spans="1:4">
      <c r="A35" s="242">
        <f t="shared" si="0"/>
        <v>23</v>
      </c>
      <c r="B35" s="246" t="s">
        <v>135</v>
      </c>
      <c r="C35" s="247" t="s">
        <v>148</v>
      </c>
      <c r="D35" s="525">
        <v>42409</v>
      </c>
    </row>
    <row r="36" spans="1:4">
      <c r="A36" s="242">
        <f t="shared" si="0"/>
        <v>24</v>
      </c>
      <c r="B36" s="246" t="s">
        <v>125</v>
      </c>
      <c r="C36" s="247" t="s">
        <v>149</v>
      </c>
      <c r="D36" s="482">
        <v>2396</v>
      </c>
    </row>
    <row r="37" spans="1:4">
      <c r="A37" s="242">
        <f t="shared" si="0"/>
        <v>25</v>
      </c>
      <c r="B37" s="248" t="s">
        <v>356</v>
      </c>
      <c r="C37" s="249"/>
      <c r="D37" s="250">
        <f>+SUM(D28:D36)</f>
        <v>584670</v>
      </c>
    </row>
    <row r="38" spans="1:4" ht="7.5" customHeight="1">
      <c r="A38" s="242"/>
      <c r="B38" s="251"/>
      <c r="C38" s="252"/>
      <c r="D38" s="253"/>
    </row>
    <row r="39" spans="1:4">
      <c r="A39" s="242">
        <f>+A37+1</f>
        <v>26</v>
      </c>
      <c r="B39" s="243" t="s">
        <v>150</v>
      </c>
      <c r="C39" s="244"/>
      <c r="D39" s="254"/>
    </row>
    <row r="40" spans="1:4">
      <c r="A40" s="242">
        <f t="shared" si="0"/>
        <v>27</v>
      </c>
      <c r="B40" s="246" t="s">
        <v>117</v>
      </c>
      <c r="C40" s="247" t="s">
        <v>151</v>
      </c>
      <c r="D40" s="527">
        <v>228965</v>
      </c>
    </row>
    <row r="41" spans="1:4">
      <c r="A41" s="242">
        <f t="shared" si="0"/>
        <v>28</v>
      </c>
      <c r="B41" s="246" t="s">
        <v>119</v>
      </c>
      <c r="C41" s="247" t="s">
        <v>152</v>
      </c>
      <c r="D41" s="527">
        <v>1842780</v>
      </c>
    </row>
    <row r="42" spans="1:4">
      <c r="A42" s="242">
        <f t="shared" si="0"/>
        <v>29</v>
      </c>
      <c r="B42" s="246" t="s">
        <v>153</v>
      </c>
      <c r="C42" s="247" t="s">
        <v>154</v>
      </c>
      <c r="D42" s="527">
        <v>2651060</v>
      </c>
    </row>
    <row r="43" spans="1:4">
      <c r="A43" s="242">
        <f t="shared" si="0"/>
        <v>30</v>
      </c>
      <c r="B43" s="246" t="s">
        <v>125</v>
      </c>
      <c r="C43" s="247" t="s">
        <v>155</v>
      </c>
      <c r="D43" s="527">
        <v>782399</v>
      </c>
    </row>
    <row r="44" spans="1:4">
      <c r="A44" s="242">
        <f t="shared" si="0"/>
        <v>31</v>
      </c>
      <c r="B44" s="246" t="s">
        <v>156</v>
      </c>
      <c r="C44" s="247" t="s">
        <v>157</v>
      </c>
      <c r="D44" s="527">
        <v>551879</v>
      </c>
    </row>
    <row r="45" spans="1:4">
      <c r="A45" s="242">
        <f t="shared" si="0"/>
        <v>32</v>
      </c>
      <c r="B45" s="246" t="s">
        <v>117</v>
      </c>
      <c r="C45" s="255" t="s">
        <v>158</v>
      </c>
      <c r="D45" s="527">
        <v>57734</v>
      </c>
    </row>
    <row r="46" spans="1:4">
      <c r="A46" s="242">
        <f t="shared" si="0"/>
        <v>33</v>
      </c>
      <c r="B46" s="246" t="s">
        <v>131</v>
      </c>
      <c r="C46" s="247" t="s">
        <v>159</v>
      </c>
      <c r="D46" s="527">
        <v>47563</v>
      </c>
    </row>
    <row r="47" spans="1:4">
      <c r="A47" s="242">
        <f t="shared" si="0"/>
        <v>34</v>
      </c>
      <c r="B47" s="246" t="s">
        <v>160</v>
      </c>
      <c r="C47" s="247" t="s">
        <v>161</v>
      </c>
      <c r="D47" s="527">
        <v>1076920</v>
      </c>
    </row>
    <row r="48" spans="1:4">
      <c r="A48" s="242">
        <f t="shared" si="0"/>
        <v>35</v>
      </c>
      <c r="B48" s="246" t="s">
        <v>125</v>
      </c>
      <c r="C48" s="247" t="s">
        <v>162</v>
      </c>
      <c r="D48" s="502">
        <v>35075</v>
      </c>
    </row>
    <row r="49" spans="1:4">
      <c r="A49" s="242">
        <f t="shared" si="0"/>
        <v>36</v>
      </c>
      <c r="B49" s="248" t="s">
        <v>357</v>
      </c>
      <c r="C49" s="249"/>
      <c r="D49" s="250">
        <f>+SUM(D40:D48)</f>
        <v>7274375</v>
      </c>
    </row>
    <row r="50" spans="1:4" ht="7.5" customHeight="1">
      <c r="A50" s="242"/>
      <c r="B50" s="251"/>
      <c r="C50" s="252"/>
      <c r="D50" s="253"/>
    </row>
    <row r="51" spans="1:4">
      <c r="A51" s="242">
        <f>+A49+1</f>
        <v>37</v>
      </c>
      <c r="B51" s="243" t="s">
        <v>163</v>
      </c>
      <c r="C51" s="256"/>
      <c r="D51" s="257"/>
    </row>
    <row r="52" spans="1:4">
      <c r="A52" s="242">
        <f t="shared" si="0"/>
        <v>38</v>
      </c>
      <c r="B52" s="258" t="s">
        <v>164</v>
      </c>
      <c r="C52" s="259" t="s">
        <v>165</v>
      </c>
      <c r="D52" s="488">
        <v>581353</v>
      </c>
    </row>
    <row r="53" spans="1:4">
      <c r="A53" s="242">
        <f t="shared" si="0"/>
        <v>39</v>
      </c>
      <c r="B53" s="258" t="s">
        <v>166</v>
      </c>
      <c r="C53" s="259" t="s">
        <v>167</v>
      </c>
      <c r="D53" s="507">
        <v>1067952</v>
      </c>
    </row>
    <row r="54" spans="1:4">
      <c r="A54" s="242">
        <f t="shared" si="0"/>
        <v>40</v>
      </c>
      <c r="B54" s="248" t="s">
        <v>358</v>
      </c>
      <c r="C54" s="249"/>
      <c r="D54" s="250">
        <f>+SUM(D52:D53)</f>
        <v>1649305</v>
      </c>
    </row>
    <row r="55" spans="1:4" ht="7.5" customHeight="1">
      <c r="A55" s="242"/>
      <c r="B55" s="251"/>
      <c r="C55" s="252"/>
      <c r="D55" s="253"/>
    </row>
    <row r="56" spans="1:4">
      <c r="A56" s="242">
        <f>+A54+1</f>
        <v>41</v>
      </c>
      <c r="B56" s="260" t="s">
        <v>359</v>
      </c>
      <c r="C56" s="256"/>
      <c r="D56" s="257"/>
    </row>
    <row r="57" spans="1:4">
      <c r="A57" s="242">
        <f t="shared" si="0"/>
        <v>42</v>
      </c>
      <c r="B57" s="246" t="s">
        <v>117</v>
      </c>
      <c r="C57" s="259" t="s">
        <v>168</v>
      </c>
      <c r="D57" s="529">
        <v>605445</v>
      </c>
    </row>
    <row r="58" spans="1:4">
      <c r="A58" s="242">
        <f t="shared" si="0"/>
        <v>43</v>
      </c>
      <c r="B58" s="246" t="s">
        <v>169</v>
      </c>
      <c r="C58" s="259" t="s">
        <v>170</v>
      </c>
      <c r="D58" s="529">
        <f>69310+2438448+717532+562</f>
        <v>3225852</v>
      </c>
    </row>
    <row r="59" spans="1:4">
      <c r="A59" s="242">
        <f t="shared" si="0"/>
        <v>44</v>
      </c>
      <c r="B59" s="246" t="s">
        <v>171</v>
      </c>
      <c r="C59" s="259" t="s">
        <v>172</v>
      </c>
      <c r="D59" s="529">
        <v>335996</v>
      </c>
    </row>
    <row r="60" spans="1:4">
      <c r="A60" s="242">
        <f t="shared" si="0"/>
        <v>45</v>
      </c>
      <c r="B60" s="246" t="s">
        <v>173</v>
      </c>
      <c r="C60" s="259" t="s">
        <v>174</v>
      </c>
      <c r="D60" s="529">
        <v>329507</v>
      </c>
    </row>
    <row r="61" spans="1:4">
      <c r="A61" s="242">
        <f t="shared" si="0"/>
        <v>46</v>
      </c>
      <c r="B61" s="246" t="s">
        <v>175</v>
      </c>
      <c r="C61" s="259" t="s">
        <v>176</v>
      </c>
      <c r="D61" s="630">
        <v>8613473</v>
      </c>
    </row>
    <row r="62" spans="1:4">
      <c r="A62" s="242">
        <f t="shared" si="0"/>
        <v>47</v>
      </c>
      <c r="B62" s="246" t="s">
        <v>125</v>
      </c>
      <c r="C62" s="259" t="s">
        <v>177</v>
      </c>
      <c r="D62" s="529">
        <v>1231534</v>
      </c>
    </row>
    <row r="63" spans="1:4">
      <c r="A63" s="242">
        <f t="shared" si="0"/>
        <v>48</v>
      </c>
      <c r="B63" s="246" t="s">
        <v>156</v>
      </c>
      <c r="C63" s="259" t="s">
        <v>178</v>
      </c>
      <c r="D63" s="529">
        <v>72815</v>
      </c>
    </row>
    <row r="64" spans="1:4">
      <c r="A64" s="242">
        <f t="shared" si="0"/>
        <v>49</v>
      </c>
      <c r="B64" s="246" t="s">
        <v>117</v>
      </c>
      <c r="C64" s="261" t="s">
        <v>179</v>
      </c>
      <c r="D64" s="529">
        <v>345893</v>
      </c>
    </row>
    <row r="65" spans="1:4">
      <c r="A65" s="242">
        <f t="shared" si="0"/>
        <v>50</v>
      </c>
      <c r="B65" s="246" t="s">
        <v>180</v>
      </c>
      <c r="C65" s="259" t="s">
        <v>181</v>
      </c>
      <c r="D65" s="529">
        <v>1028652</v>
      </c>
    </row>
    <row r="66" spans="1:4">
      <c r="A66" s="242">
        <f t="shared" si="0"/>
        <v>51</v>
      </c>
      <c r="B66" s="246" t="s">
        <v>114</v>
      </c>
      <c r="C66" s="259" t="s">
        <v>182</v>
      </c>
      <c r="D66" s="529">
        <v>1501086</v>
      </c>
    </row>
    <row r="67" spans="1:4">
      <c r="A67" s="242">
        <f t="shared" si="0"/>
        <v>52</v>
      </c>
      <c r="B67" s="246" t="s">
        <v>183</v>
      </c>
      <c r="C67" s="259" t="s">
        <v>184</v>
      </c>
      <c r="D67" s="529">
        <v>2423302</v>
      </c>
    </row>
    <row r="68" spans="1:4">
      <c r="A68" s="242">
        <f t="shared" si="0"/>
        <v>53</v>
      </c>
      <c r="B68" s="246" t="s">
        <v>185</v>
      </c>
      <c r="C68" s="259" t="s">
        <v>186</v>
      </c>
      <c r="D68" s="529">
        <v>0</v>
      </c>
    </row>
    <row r="69" spans="1:4">
      <c r="A69" s="242">
        <f t="shared" si="0"/>
        <v>54</v>
      </c>
      <c r="B69" s="246" t="s">
        <v>187</v>
      </c>
      <c r="C69" s="259" t="s">
        <v>188</v>
      </c>
      <c r="D69" s="529">
        <v>0</v>
      </c>
    </row>
    <row r="70" spans="1:4">
      <c r="A70" s="242">
        <f t="shared" si="0"/>
        <v>55</v>
      </c>
      <c r="B70" s="246" t="s">
        <v>189</v>
      </c>
      <c r="C70" s="259" t="s">
        <v>190</v>
      </c>
      <c r="D70" s="529">
        <v>1394340</v>
      </c>
    </row>
    <row r="71" spans="1:4">
      <c r="A71" s="242">
        <f t="shared" si="0"/>
        <v>56</v>
      </c>
      <c r="B71" s="246" t="s">
        <v>191</v>
      </c>
      <c r="C71" s="259" t="s">
        <v>192</v>
      </c>
      <c r="D71" s="492">
        <v>231780</v>
      </c>
    </row>
    <row r="72" spans="1:4">
      <c r="A72" s="242">
        <f t="shared" si="0"/>
        <v>57</v>
      </c>
      <c r="B72" s="334" t="s">
        <v>378</v>
      </c>
      <c r="C72" s="259"/>
      <c r="D72" s="494">
        <f>SUM(D57:D71)</f>
        <v>21339675</v>
      </c>
    </row>
    <row r="73" spans="1:4">
      <c r="A73" s="242">
        <f t="shared" si="0"/>
        <v>58</v>
      </c>
      <c r="B73" s="335" t="s">
        <v>379</v>
      </c>
      <c r="C73" s="336"/>
      <c r="D73" s="493">
        <f>D70+D71</f>
        <v>1626120</v>
      </c>
    </row>
    <row r="74" spans="1:4">
      <c r="A74" s="242">
        <f t="shared" si="0"/>
        <v>59</v>
      </c>
      <c r="B74" s="248" t="s">
        <v>377</v>
      </c>
      <c r="C74" s="263"/>
      <c r="D74" s="337">
        <f>D72-D73</f>
        <v>19713555</v>
      </c>
    </row>
    <row r="75" spans="1:4">
      <c r="A75" s="329"/>
      <c r="B75" s="330"/>
      <c r="C75" s="331"/>
      <c r="D75" s="264"/>
    </row>
    <row r="76" spans="1:4">
      <c r="A76" s="325"/>
      <c r="B76" s="326"/>
      <c r="C76" s="327"/>
      <c r="D76" s="328"/>
    </row>
    <row r="77" spans="1:4">
      <c r="A77" s="265" t="s">
        <v>8</v>
      </c>
      <c r="B77" s="812" t="s">
        <v>35</v>
      </c>
      <c r="C77" s="814" t="s">
        <v>113</v>
      </c>
      <c r="D77" s="239" t="s">
        <v>341</v>
      </c>
    </row>
    <row r="78" spans="1:4">
      <c r="A78" s="266" t="s">
        <v>10</v>
      </c>
      <c r="B78" s="813"/>
      <c r="C78" s="815"/>
      <c r="D78" s="241" t="str">
        <f>C11</f>
        <v>401 - 500</v>
      </c>
    </row>
    <row r="79" spans="1:4">
      <c r="A79" s="262">
        <v>1</v>
      </c>
      <c r="B79" s="267" t="s">
        <v>193</v>
      </c>
      <c r="C79" s="268"/>
      <c r="D79" s="269"/>
    </row>
    <row r="80" spans="1:4">
      <c r="A80" s="262">
        <f>+A79+1</f>
        <v>2</v>
      </c>
      <c r="B80" s="270" t="s">
        <v>194</v>
      </c>
      <c r="C80" s="271" t="s">
        <v>195</v>
      </c>
      <c r="D80" s="530">
        <v>341614</v>
      </c>
    </row>
    <row r="81" spans="1:4">
      <c r="A81" s="262">
        <f t="shared" ref="A81:A108" si="1">+A80+1</f>
        <v>3</v>
      </c>
      <c r="B81" s="270" t="s">
        <v>169</v>
      </c>
      <c r="C81" s="271" t="s">
        <v>196</v>
      </c>
      <c r="D81" s="530">
        <v>314947</v>
      </c>
    </row>
    <row r="82" spans="1:4">
      <c r="A82" s="262">
        <f t="shared" si="1"/>
        <v>4</v>
      </c>
      <c r="B82" s="270" t="s">
        <v>197</v>
      </c>
      <c r="C82" s="271" t="s">
        <v>198</v>
      </c>
      <c r="D82" s="530">
        <v>257503</v>
      </c>
    </row>
    <row r="83" spans="1:4">
      <c r="A83" s="262">
        <f t="shared" si="1"/>
        <v>5</v>
      </c>
      <c r="B83" s="270" t="s">
        <v>199</v>
      </c>
      <c r="C83" s="271" t="s">
        <v>200</v>
      </c>
      <c r="D83" s="530">
        <v>399690</v>
      </c>
    </row>
    <row r="84" spans="1:4">
      <c r="A84" s="262">
        <f t="shared" si="1"/>
        <v>6</v>
      </c>
      <c r="B84" s="270" t="s">
        <v>201</v>
      </c>
      <c r="C84" s="271" t="s">
        <v>202</v>
      </c>
      <c r="D84" s="530">
        <v>1745373</v>
      </c>
    </row>
    <row r="85" spans="1:4">
      <c r="A85" s="262">
        <f t="shared" si="1"/>
        <v>7</v>
      </c>
      <c r="B85" s="270" t="s">
        <v>203</v>
      </c>
      <c r="C85" s="271" t="s">
        <v>204</v>
      </c>
      <c r="D85" s="273">
        <v>0</v>
      </c>
    </row>
    <row r="86" spans="1:4">
      <c r="A86" s="262">
        <f t="shared" si="1"/>
        <v>8</v>
      </c>
      <c r="B86" s="272" t="s">
        <v>205</v>
      </c>
      <c r="C86" s="271" t="s">
        <v>206</v>
      </c>
      <c r="D86" s="273">
        <v>0</v>
      </c>
    </row>
    <row r="87" spans="1:4">
      <c r="A87" s="262">
        <f t="shared" si="1"/>
        <v>9</v>
      </c>
      <c r="B87" s="272" t="s">
        <v>205</v>
      </c>
      <c r="C87" s="271" t="s">
        <v>207</v>
      </c>
      <c r="D87" s="273">
        <v>0</v>
      </c>
    </row>
    <row r="88" spans="1:4">
      <c r="A88" s="262">
        <f t="shared" si="1"/>
        <v>10</v>
      </c>
      <c r="B88" s="272" t="s">
        <v>205</v>
      </c>
      <c r="C88" s="271" t="s">
        <v>208</v>
      </c>
      <c r="D88" s="273">
        <v>0</v>
      </c>
    </row>
    <row r="89" spans="1:4">
      <c r="A89" s="262">
        <f t="shared" si="1"/>
        <v>11</v>
      </c>
      <c r="B89" s="272" t="s">
        <v>205</v>
      </c>
      <c r="C89" s="271" t="s">
        <v>209</v>
      </c>
      <c r="D89" s="273">
        <v>0</v>
      </c>
    </row>
    <row r="90" spans="1:4">
      <c r="A90" s="262">
        <f t="shared" si="1"/>
        <v>12</v>
      </c>
      <c r="B90" s="272" t="s">
        <v>205</v>
      </c>
      <c r="C90" s="271" t="s">
        <v>210</v>
      </c>
      <c r="D90" s="273">
        <v>0</v>
      </c>
    </row>
    <row r="91" spans="1:4">
      <c r="A91" s="262">
        <f t="shared" si="1"/>
        <v>13</v>
      </c>
      <c r="B91" s="272" t="s">
        <v>205</v>
      </c>
      <c r="C91" s="271" t="s">
        <v>211</v>
      </c>
      <c r="D91" s="273">
        <v>0</v>
      </c>
    </row>
    <row r="92" spans="1:4">
      <c r="A92" s="262">
        <f t="shared" si="1"/>
        <v>14</v>
      </c>
      <c r="B92" s="272" t="s">
        <v>205</v>
      </c>
      <c r="C92" s="271" t="s">
        <v>212</v>
      </c>
      <c r="D92" s="273">
        <v>0</v>
      </c>
    </row>
    <row r="93" spans="1:4">
      <c r="A93" s="262">
        <f t="shared" si="1"/>
        <v>15</v>
      </c>
      <c r="B93" s="270" t="s">
        <v>213</v>
      </c>
      <c r="C93" s="271" t="s">
        <v>214</v>
      </c>
      <c r="D93" s="532">
        <v>1147742</v>
      </c>
    </row>
    <row r="94" spans="1:4">
      <c r="A94" s="262">
        <f t="shared" si="1"/>
        <v>16</v>
      </c>
      <c r="B94" s="270" t="s">
        <v>215</v>
      </c>
      <c r="C94" s="271" t="s">
        <v>216</v>
      </c>
      <c r="D94" s="531">
        <v>310341</v>
      </c>
    </row>
    <row r="95" spans="1:4">
      <c r="A95" s="262">
        <f t="shared" si="1"/>
        <v>17</v>
      </c>
      <c r="B95" s="270" t="s">
        <v>217</v>
      </c>
      <c r="C95" s="271" t="s">
        <v>218</v>
      </c>
      <c r="D95" s="531">
        <v>3095410</v>
      </c>
    </row>
    <row r="96" spans="1:4">
      <c r="A96" s="262">
        <f t="shared" si="1"/>
        <v>18</v>
      </c>
      <c r="B96" s="270" t="s">
        <v>156</v>
      </c>
      <c r="C96" s="271" t="s">
        <v>219</v>
      </c>
      <c r="D96" s="531">
        <v>252261</v>
      </c>
    </row>
    <row r="97" spans="1:4">
      <c r="A97" s="262">
        <f t="shared" si="1"/>
        <v>19</v>
      </c>
      <c r="B97" s="270" t="s">
        <v>220</v>
      </c>
      <c r="C97" s="274" t="s">
        <v>221</v>
      </c>
      <c r="D97" s="524">
        <v>729220</v>
      </c>
    </row>
    <row r="98" spans="1:4">
      <c r="A98" s="262">
        <f t="shared" si="1"/>
        <v>20</v>
      </c>
      <c r="B98" s="270" t="s">
        <v>222</v>
      </c>
      <c r="C98" s="271" t="s">
        <v>223</v>
      </c>
      <c r="D98" s="524">
        <v>920444</v>
      </c>
    </row>
    <row r="99" spans="1:4">
      <c r="A99" s="262">
        <f t="shared" si="1"/>
        <v>21</v>
      </c>
      <c r="B99" s="270" t="s">
        <v>224</v>
      </c>
      <c r="C99" s="271" t="s">
        <v>225</v>
      </c>
      <c r="D99" s="524">
        <v>5128484</v>
      </c>
    </row>
    <row r="100" spans="1:4">
      <c r="A100" s="262">
        <f t="shared" si="1"/>
        <v>22</v>
      </c>
      <c r="B100" s="270" t="s">
        <v>226</v>
      </c>
      <c r="C100" s="271" t="s">
        <v>227</v>
      </c>
      <c r="D100" s="524">
        <v>1140066</v>
      </c>
    </row>
    <row r="101" spans="1:4">
      <c r="A101" s="262">
        <f t="shared" si="1"/>
        <v>23</v>
      </c>
      <c r="B101" s="270" t="s">
        <v>228</v>
      </c>
      <c r="C101" s="271" t="s">
        <v>229</v>
      </c>
      <c r="D101" s="524">
        <v>60752</v>
      </c>
    </row>
    <row r="102" spans="1:4">
      <c r="A102" s="262">
        <f t="shared" si="1"/>
        <v>24</v>
      </c>
      <c r="B102" s="270" t="s">
        <v>230</v>
      </c>
      <c r="C102" s="271" t="s">
        <v>231</v>
      </c>
      <c r="D102" s="524">
        <v>1170790</v>
      </c>
    </row>
    <row r="103" spans="1:4">
      <c r="A103" s="262">
        <f t="shared" si="1"/>
        <v>25</v>
      </c>
      <c r="B103" s="270" t="s">
        <v>232</v>
      </c>
      <c r="C103" s="276"/>
      <c r="D103" s="275"/>
    </row>
    <row r="104" spans="1:4">
      <c r="A104" s="262">
        <f t="shared" si="1"/>
        <v>26</v>
      </c>
      <c r="B104" s="277" t="s">
        <v>343</v>
      </c>
      <c r="C104" s="271" t="s">
        <v>233</v>
      </c>
      <c r="D104" s="500">
        <v>748204</v>
      </c>
    </row>
    <row r="105" spans="1:4">
      <c r="A105" s="262">
        <f t="shared" si="1"/>
        <v>27</v>
      </c>
      <c r="B105" s="277" t="s">
        <v>344</v>
      </c>
      <c r="C105" s="271" t="s">
        <v>234</v>
      </c>
      <c r="D105" s="273">
        <v>0</v>
      </c>
    </row>
    <row r="106" spans="1:4">
      <c r="A106" s="262">
        <f t="shared" si="1"/>
        <v>28</v>
      </c>
      <c r="B106" s="277" t="s">
        <v>345</v>
      </c>
      <c r="C106" s="271" t="s">
        <v>235</v>
      </c>
      <c r="D106" s="273">
        <v>0</v>
      </c>
    </row>
    <row r="107" spans="1:4">
      <c r="A107" s="262">
        <f t="shared" si="1"/>
        <v>29</v>
      </c>
      <c r="B107" s="270" t="s">
        <v>236</v>
      </c>
      <c r="C107" s="278" t="s">
        <v>237</v>
      </c>
      <c r="D107" s="273">
        <v>17380</v>
      </c>
    </row>
    <row r="108" spans="1:4">
      <c r="A108" s="262">
        <f t="shared" si="1"/>
        <v>30</v>
      </c>
      <c r="B108" s="279" t="s">
        <v>360</v>
      </c>
      <c r="C108" s="280"/>
      <c r="D108" s="281">
        <f>+SUM(D80:D107)</f>
        <v>17780221</v>
      </c>
    </row>
    <row r="109" spans="1:4" ht="7.5" customHeight="1">
      <c r="A109" s="262"/>
      <c r="B109" s="282"/>
      <c r="C109" s="283"/>
      <c r="D109" s="284"/>
    </row>
    <row r="110" spans="1:4">
      <c r="A110" s="262">
        <f>+A108+1</f>
        <v>31</v>
      </c>
      <c r="B110" s="285" t="s">
        <v>238</v>
      </c>
      <c r="C110" s="276"/>
      <c r="D110" s="286"/>
    </row>
    <row r="111" spans="1:4">
      <c r="A111" s="262">
        <f t="shared" ref="A111:A116" si="2">+A110+1</f>
        <v>32</v>
      </c>
      <c r="B111" s="270" t="s">
        <v>239</v>
      </c>
      <c r="C111" s="271" t="s">
        <v>240</v>
      </c>
      <c r="D111" s="534">
        <v>236875</v>
      </c>
    </row>
    <row r="112" spans="1:4">
      <c r="A112" s="262">
        <f t="shared" si="2"/>
        <v>33</v>
      </c>
      <c r="B112" s="270" t="s">
        <v>241</v>
      </c>
      <c r="C112" s="271" t="s">
        <v>242</v>
      </c>
      <c r="D112" s="534">
        <v>5599008</v>
      </c>
    </row>
    <row r="113" spans="1:4">
      <c r="A113" s="262">
        <f t="shared" si="2"/>
        <v>34</v>
      </c>
      <c r="B113" s="270" t="s">
        <v>243</v>
      </c>
      <c r="C113" s="271" t="s">
        <v>244</v>
      </c>
      <c r="D113" s="534">
        <v>5965512</v>
      </c>
    </row>
    <row r="114" spans="1:4">
      <c r="A114" s="262">
        <f t="shared" si="2"/>
        <v>35</v>
      </c>
      <c r="B114" s="270" t="s">
        <v>245</v>
      </c>
      <c r="C114" s="271" t="s">
        <v>246</v>
      </c>
      <c r="D114" s="534">
        <v>774900</v>
      </c>
    </row>
    <row r="115" spans="1:4">
      <c r="A115" s="262">
        <f t="shared" si="2"/>
        <v>36</v>
      </c>
      <c r="B115" s="287" t="s">
        <v>247</v>
      </c>
      <c r="C115" s="288" t="s">
        <v>248</v>
      </c>
      <c r="D115" s="499">
        <v>349115</v>
      </c>
    </row>
    <row r="116" spans="1:4">
      <c r="A116" s="262">
        <f t="shared" si="2"/>
        <v>37</v>
      </c>
      <c r="B116" s="289" t="s">
        <v>361</v>
      </c>
      <c r="C116" s="290"/>
      <c r="D116" s="291">
        <f>+SUM(D111:D115)</f>
        <v>12925410</v>
      </c>
    </row>
    <row r="117" spans="1:4" ht="8.25" customHeight="1">
      <c r="A117" s="262"/>
      <c r="B117" s="292"/>
      <c r="C117" s="293"/>
      <c r="D117" s="294"/>
    </row>
    <row r="118" spans="1:4">
      <c r="A118" s="262">
        <f>+A116+1</f>
        <v>38</v>
      </c>
      <c r="B118" s="285" t="s">
        <v>249</v>
      </c>
      <c r="C118" s="276"/>
      <c r="D118" s="257"/>
    </row>
    <row r="119" spans="1:4">
      <c r="A119" s="262">
        <f>+A118+1</f>
        <v>39</v>
      </c>
      <c r="B119" s="270" t="s">
        <v>239</v>
      </c>
      <c r="C119" s="271" t="s">
        <v>250</v>
      </c>
      <c r="D119" s="535">
        <v>689922</v>
      </c>
    </row>
    <row r="120" spans="1:4">
      <c r="A120" s="262">
        <f t="shared" ref="A120:A135" si="3">+A119+1</f>
        <v>40</v>
      </c>
      <c r="B120" s="272" t="s">
        <v>251</v>
      </c>
      <c r="C120" s="276"/>
      <c r="D120" s="481"/>
    </row>
    <row r="121" spans="1:4">
      <c r="A121" s="262">
        <f t="shared" si="3"/>
        <v>41</v>
      </c>
      <c r="B121" s="270" t="s">
        <v>252</v>
      </c>
      <c r="C121" s="271" t="s">
        <v>253</v>
      </c>
      <c r="D121" s="535">
        <f>6257390-D128-D130</f>
        <v>1771868</v>
      </c>
    </row>
    <row r="122" spans="1:4">
      <c r="A122" s="262">
        <f t="shared" si="3"/>
        <v>42</v>
      </c>
      <c r="B122" s="270" t="s">
        <v>205</v>
      </c>
      <c r="C122" s="295" t="s">
        <v>254</v>
      </c>
      <c r="D122" s="273">
        <v>0</v>
      </c>
    </row>
    <row r="123" spans="1:4">
      <c r="A123" s="262">
        <f t="shared" si="3"/>
        <v>43</v>
      </c>
      <c r="B123" s="270" t="s">
        <v>205</v>
      </c>
      <c r="C123" s="295" t="s">
        <v>255</v>
      </c>
      <c r="D123" s="273">
        <v>0</v>
      </c>
    </row>
    <row r="124" spans="1:4">
      <c r="A124" s="262">
        <f t="shared" si="3"/>
        <v>44</v>
      </c>
      <c r="B124" s="270" t="s">
        <v>205</v>
      </c>
      <c r="C124" s="295" t="s">
        <v>256</v>
      </c>
      <c r="D124" s="273">
        <v>0</v>
      </c>
    </row>
    <row r="125" spans="1:4">
      <c r="A125" s="262">
        <f t="shared" si="3"/>
        <v>45</v>
      </c>
      <c r="B125" s="270" t="s">
        <v>205</v>
      </c>
      <c r="C125" s="295" t="s">
        <v>257</v>
      </c>
      <c r="D125" s="273">
        <v>0</v>
      </c>
    </row>
    <row r="126" spans="1:4">
      <c r="A126" s="262">
        <f t="shared" si="3"/>
        <v>46</v>
      </c>
      <c r="B126" s="270" t="s">
        <v>205</v>
      </c>
      <c r="C126" s="295" t="s">
        <v>258</v>
      </c>
      <c r="D126" s="273">
        <v>0</v>
      </c>
    </row>
    <row r="127" spans="1:4">
      <c r="A127" s="262">
        <f t="shared" si="3"/>
        <v>47</v>
      </c>
      <c r="B127" s="270" t="s">
        <v>205</v>
      </c>
      <c r="C127" s="295" t="s">
        <v>259</v>
      </c>
      <c r="D127" s="273">
        <v>0</v>
      </c>
    </row>
    <row r="128" spans="1:4">
      <c r="A128" s="262">
        <f t="shared" si="3"/>
        <v>48</v>
      </c>
      <c r="B128" s="270" t="s">
        <v>260</v>
      </c>
      <c r="C128" s="271" t="s">
        <v>261</v>
      </c>
      <c r="D128" s="537">
        <v>280000</v>
      </c>
    </row>
    <row r="129" spans="1:4">
      <c r="A129" s="262">
        <f t="shared" si="3"/>
        <v>49</v>
      </c>
      <c r="B129" s="270" t="s">
        <v>262</v>
      </c>
      <c r="C129" s="271" t="s">
        <v>263</v>
      </c>
      <c r="D129" s="273">
        <v>0</v>
      </c>
    </row>
    <row r="130" spans="1:4">
      <c r="A130" s="262">
        <f t="shared" si="3"/>
        <v>50</v>
      </c>
      <c r="B130" s="270" t="s">
        <v>264</v>
      </c>
      <c r="C130" s="271" t="s">
        <v>265</v>
      </c>
      <c r="D130" s="486">
        <v>4205522</v>
      </c>
    </row>
    <row r="131" spans="1:4">
      <c r="A131" s="262">
        <f t="shared" si="3"/>
        <v>51</v>
      </c>
      <c r="B131" s="270" t="s">
        <v>205</v>
      </c>
      <c r="C131" s="271" t="s">
        <v>266</v>
      </c>
      <c r="D131" s="273">
        <v>0</v>
      </c>
    </row>
    <row r="132" spans="1:4">
      <c r="A132" s="262">
        <f t="shared" si="3"/>
        <v>52</v>
      </c>
      <c r="B132" s="270" t="s">
        <v>205</v>
      </c>
      <c r="C132" s="271" t="s">
        <v>267</v>
      </c>
      <c r="D132" s="273">
        <v>0</v>
      </c>
    </row>
    <row r="133" spans="1:4">
      <c r="A133" s="262">
        <f t="shared" si="3"/>
        <v>53</v>
      </c>
      <c r="B133" s="270" t="s">
        <v>268</v>
      </c>
      <c r="C133" s="271" t="s">
        <v>269</v>
      </c>
      <c r="D133" s="538">
        <v>438511</v>
      </c>
    </row>
    <row r="134" spans="1:4">
      <c r="A134" s="262">
        <f t="shared" si="3"/>
        <v>54</v>
      </c>
      <c r="B134" s="287" t="s">
        <v>270</v>
      </c>
      <c r="C134" s="288" t="s">
        <v>271</v>
      </c>
      <c r="D134" s="505">
        <v>63246</v>
      </c>
    </row>
    <row r="135" spans="1:4">
      <c r="A135" s="262">
        <f t="shared" si="3"/>
        <v>55</v>
      </c>
      <c r="B135" s="292" t="s">
        <v>362</v>
      </c>
      <c r="C135" s="290"/>
      <c r="D135" s="296">
        <f>+SUM(D119:D134)</f>
        <v>7449069</v>
      </c>
    </row>
    <row r="136" spans="1:4">
      <c r="A136" s="297"/>
      <c r="B136" s="298"/>
      <c r="C136" s="299"/>
      <c r="D136" s="300"/>
    </row>
    <row r="137" spans="1:4">
      <c r="A137" s="301"/>
      <c r="B137" s="233"/>
      <c r="C137" s="302"/>
      <c r="D137" s="303"/>
    </row>
    <row r="138" spans="1:4">
      <c r="A138" s="265" t="s">
        <v>8</v>
      </c>
      <c r="B138" s="812" t="s">
        <v>35</v>
      </c>
      <c r="C138" s="816" t="s">
        <v>113</v>
      </c>
      <c r="D138" s="239" t="s">
        <v>341</v>
      </c>
    </row>
    <row r="139" spans="1:4">
      <c r="A139" s="266" t="s">
        <v>10</v>
      </c>
      <c r="B139" s="813"/>
      <c r="C139" s="817"/>
      <c r="D139" s="241" t="str">
        <f>C77</f>
        <v>Accounts</v>
      </c>
    </row>
    <row r="140" spans="1:4">
      <c r="A140" s="262">
        <v>1</v>
      </c>
      <c r="B140" s="267" t="s">
        <v>272</v>
      </c>
      <c r="C140" s="252"/>
      <c r="D140" s="304"/>
    </row>
    <row r="141" spans="1:4">
      <c r="A141" s="262">
        <f>+A140+1</f>
        <v>2</v>
      </c>
      <c r="B141" s="270" t="s">
        <v>273</v>
      </c>
      <c r="C141" s="247" t="s">
        <v>274</v>
      </c>
      <c r="D141" s="540">
        <v>0</v>
      </c>
    </row>
    <row r="142" spans="1:4">
      <c r="A142" s="262">
        <f>+A141+1</f>
        <v>3</v>
      </c>
      <c r="B142" s="270" t="s">
        <v>275</v>
      </c>
      <c r="C142" s="247" t="s">
        <v>276</v>
      </c>
      <c r="D142" s="540">
        <v>117426</v>
      </c>
    </row>
    <row r="143" spans="1:4">
      <c r="A143" s="262">
        <f t="shared" ref="A143:A176" si="4">+A142+1</f>
        <v>4</v>
      </c>
      <c r="B143" s="270" t="s">
        <v>277</v>
      </c>
      <c r="C143" s="247" t="s">
        <v>276</v>
      </c>
      <c r="D143" s="540">
        <v>69711</v>
      </c>
    </row>
    <row r="144" spans="1:4">
      <c r="A144" s="262">
        <f t="shared" si="4"/>
        <v>5</v>
      </c>
      <c r="B144" s="270" t="s">
        <v>278</v>
      </c>
      <c r="C144" s="247" t="s">
        <v>276</v>
      </c>
      <c r="D144" s="540">
        <v>2875</v>
      </c>
    </row>
    <row r="145" spans="1:4">
      <c r="A145" s="262">
        <f t="shared" si="4"/>
        <v>6</v>
      </c>
      <c r="B145" s="270" t="s">
        <v>279</v>
      </c>
      <c r="C145" s="247" t="s">
        <v>280</v>
      </c>
      <c r="D145" s="540">
        <v>0</v>
      </c>
    </row>
    <row r="146" spans="1:4">
      <c r="A146" s="262">
        <f t="shared" si="4"/>
        <v>7</v>
      </c>
      <c r="B146" s="270" t="s">
        <v>281</v>
      </c>
      <c r="C146" s="247" t="s">
        <v>276</v>
      </c>
      <c r="D146" s="540">
        <v>21702</v>
      </c>
    </row>
    <row r="147" spans="1:4">
      <c r="A147" s="262">
        <f t="shared" si="4"/>
        <v>8</v>
      </c>
      <c r="B147" s="270" t="s">
        <v>282</v>
      </c>
      <c r="C147" s="247" t="s">
        <v>283</v>
      </c>
      <c r="D147" s="305">
        <v>0</v>
      </c>
    </row>
    <row r="148" spans="1:4">
      <c r="A148" s="262">
        <f t="shared" si="4"/>
        <v>9</v>
      </c>
      <c r="B148" s="270" t="s">
        <v>282</v>
      </c>
      <c r="C148" s="247" t="s">
        <v>284</v>
      </c>
      <c r="D148" s="305">
        <v>0</v>
      </c>
    </row>
    <row r="149" spans="1:4">
      <c r="A149" s="262">
        <f t="shared" si="4"/>
        <v>10</v>
      </c>
      <c r="B149" s="270" t="s">
        <v>282</v>
      </c>
      <c r="C149" s="247" t="s">
        <v>285</v>
      </c>
      <c r="D149" s="305">
        <v>0</v>
      </c>
    </row>
    <row r="150" spans="1:4">
      <c r="A150" s="262">
        <f t="shared" si="4"/>
        <v>11</v>
      </c>
      <c r="B150" s="270" t="s">
        <v>282</v>
      </c>
      <c r="C150" s="247" t="s">
        <v>286</v>
      </c>
      <c r="D150" s="305">
        <v>0</v>
      </c>
    </row>
    <row r="151" spans="1:4">
      <c r="A151" s="262">
        <f t="shared" si="4"/>
        <v>12</v>
      </c>
      <c r="B151" s="270" t="s">
        <v>282</v>
      </c>
      <c r="C151" s="247" t="s">
        <v>287</v>
      </c>
      <c r="D151" s="305">
        <v>0</v>
      </c>
    </row>
    <row r="152" spans="1:4">
      <c r="A152" s="262">
        <f t="shared" si="4"/>
        <v>13</v>
      </c>
      <c r="B152" s="270" t="s">
        <v>282</v>
      </c>
      <c r="C152" s="247" t="s">
        <v>288</v>
      </c>
      <c r="D152" s="305">
        <v>0</v>
      </c>
    </row>
    <row r="153" spans="1:4">
      <c r="A153" s="262">
        <f t="shared" si="4"/>
        <v>14</v>
      </c>
      <c r="B153" s="270" t="s">
        <v>282</v>
      </c>
      <c r="C153" s="247" t="s">
        <v>289</v>
      </c>
      <c r="D153" s="305">
        <v>0</v>
      </c>
    </row>
    <row r="154" spans="1:4">
      <c r="A154" s="262">
        <f t="shared" si="4"/>
        <v>15</v>
      </c>
      <c r="B154" s="270" t="s">
        <v>282</v>
      </c>
      <c r="C154" s="247" t="s">
        <v>290</v>
      </c>
      <c r="D154" s="305">
        <v>0</v>
      </c>
    </row>
    <row r="155" spans="1:4">
      <c r="A155" s="262">
        <f t="shared" si="4"/>
        <v>16</v>
      </c>
      <c r="B155" s="270" t="s">
        <v>282</v>
      </c>
      <c r="C155" s="247" t="s">
        <v>291</v>
      </c>
      <c r="D155" s="305">
        <v>0</v>
      </c>
    </row>
    <row r="156" spans="1:4">
      <c r="A156" s="262">
        <f t="shared" si="4"/>
        <v>17</v>
      </c>
      <c r="B156" s="270" t="s">
        <v>282</v>
      </c>
      <c r="C156" s="247" t="s">
        <v>292</v>
      </c>
      <c r="D156" s="305">
        <v>0</v>
      </c>
    </row>
    <row r="157" spans="1:4">
      <c r="A157" s="262">
        <f t="shared" si="4"/>
        <v>18</v>
      </c>
      <c r="B157" s="270" t="s">
        <v>282</v>
      </c>
      <c r="C157" s="247" t="s">
        <v>293</v>
      </c>
      <c r="D157" s="305">
        <v>0</v>
      </c>
    </row>
    <row r="158" spans="1:4">
      <c r="A158" s="262">
        <f t="shared" si="4"/>
        <v>19</v>
      </c>
      <c r="B158" s="270" t="s">
        <v>282</v>
      </c>
      <c r="C158" s="247" t="s">
        <v>294</v>
      </c>
      <c r="D158" s="306">
        <v>0</v>
      </c>
    </row>
    <row r="159" spans="1:4">
      <c r="A159" s="262">
        <f t="shared" si="4"/>
        <v>20</v>
      </c>
      <c r="B159" s="270" t="s">
        <v>295</v>
      </c>
      <c r="C159" s="247" t="s">
        <v>296</v>
      </c>
      <c r="D159" s="541">
        <v>18295</v>
      </c>
    </row>
    <row r="160" spans="1:4">
      <c r="A160" s="262">
        <f t="shared" si="4"/>
        <v>21</v>
      </c>
      <c r="B160" s="270" t="s">
        <v>297</v>
      </c>
      <c r="C160" s="247" t="s">
        <v>298</v>
      </c>
      <c r="D160" s="541">
        <v>281074</v>
      </c>
    </row>
    <row r="161" spans="1:4">
      <c r="A161" s="262">
        <f t="shared" si="4"/>
        <v>22</v>
      </c>
      <c r="B161" s="270" t="s">
        <v>282</v>
      </c>
      <c r="C161" s="247" t="s">
        <v>299</v>
      </c>
      <c r="D161" s="305">
        <v>0</v>
      </c>
    </row>
    <row r="162" spans="1:4">
      <c r="A162" s="262">
        <f t="shared" si="4"/>
        <v>23</v>
      </c>
      <c r="B162" s="270" t="s">
        <v>282</v>
      </c>
      <c r="C162" s="247" t="s">
        <v>300</v>
      </c>
      <c r="D162" s="305">
        <v>0</v>
      </c>
    </row>
    <row r="163" spans="1:4">
      <c r="A163" s="262">
        <f t="shared" si="4"/>
        <v>24</v>
      </c>
      <c r="B163" s="270" t="s">
        <v>282</v>
      </c>
      <c r="C163" s="247" t="s">
        <v>301</v>
      </c>
      <c r="D163" s="305">
        <v>0</v>
      </c>
    </row>
    <row r="164" spans="1:4">
      <c r="A164" s="262">
        <f t="shared" si="4"/>
        <v>25</v>
      </c>
      <c r="B164" s="270" t="s">
        <v>282</v>
      </c>
      <c r="C164" s="247" t="s">
        <v>302</v>
      </c>
      <c r="D164" s="305">
        <v>0</v>
      </c>
    </row>
    <row r="165" spans="1:4">
      <c r="A165" s="262">
        <f t="shared" si="4"/>
        <v>26</v>
      </c>
      <c r="B165" s="270" t="s">
        <v>282</v>
      </c>
      <c r="C165" s="247" t="s">
        <v>303</v>
      </c>
      <c r="D165" s="305">
        <v>0</v>
      </c>
    </row>
    <row r="166" spans="1:4">
      <c r="A166" s="262">
        <f t="shared" si="4"/>
        <v>27</v>
      </c>
      <c r="B166" s="270" t="s">
        <v>282</v>
      </c>
      <c r="C166" s="247" t="s">
        <v>304</v>
      </c>
      <c r="D166" s="305">
        <v>0</v>
      </c>
    </row>
    <row r="167" spans="1:4">
      <c r="A167" s="262">
        <f t="shared" si="4"/>
        <v>28</v>
      </c>
      <c r="B167" s="270" t="s">
        <v>282</v>
      </c>
      <c r="C167" s="247" t="s">
        <v>305</v>
      </c>
      <c r="D167" s="305">
        <v>0</v>
      </c>
    </row>
    <row r="168" spans="1:4">
      <c r="A168" s="262">
        <f t="shared" si="4"/>
        <v>29</v>
      </c>
      <c r="B168" s="270" t="s">
        <v>282</v>
      </c>
      <c r="C168" s="247" t="s">
        <v>306</v>
      </c>
      <c r="D168" s="305">
        <v>0</v>
      </c>
    </row>
    <row r="169" spans="1:4">
      <c r="A169" s="262">
        <f t="shared" si="4"/>
        <v>30</v>
      </c>
      <c r="B169" s="270" t="s">
        <v>282</v>
      </c>
      <c r="C169" s="247" t="s">
        <v>307</v>
      </c>
      <c r="D169" s="305">
        <v>0</v>
      </c>
    </row>
    <row r="170" spans="1:4">
      <c r="A170" s="262">
        <f t="shared" si="4"/>
        <v>31</v>
      </c>
      <c r="B170" s="270" t="s">
        <v>282</v>
      </c>
      <c r="C170" s="247" t="s">
        <v>308</v>
      </c>
      <c r="D170" s="305">
        <v>0</v>
      </c>
    </row>
    <row r="171" spans="1:4">
      <c r="A171" s="262">
        <f t="shared" si="4"/>
        <v>32</v>
      </c>
      <c r="B171" s="270" t="s">
        <v>282</v>
      </c>
      <c r="C171" s="247" t="s">
        <v>309</v>
      </c>
      <c r="D171" s="305">
        <v>0</v>
      </c>
    </row>
    <row r="172" spans="1:4">
      <c r="A172" s="262">
        <f t="shared" si="4"/>
        <v>33</v>
      </c>
      <c r="B172" s="270" t="s">
        <v>282</v>
      </c>
      <c r="C172" s="247" t="s">
        <v>310</v>
      </c>
      <c r="D172" s="305">
        <v>0</v>
      </c>
    </row>
    <row r="173" spans="1:4">
      <c r="A173" s="262">
        <f t="shared" si="4"/>
        <v>34</v>
      </c>
      <c r="B173" s="270" t="s">
        <v>282</v>
      </c>
      <c r="C173" s="247" t="s">
        <v>311</v>
      </c>
      <c r="D173" s="305">
        <v>0</v>
      </c>
    </row>
    <row r="174" spans="1:4">
      <c r="A174" s="262">
        <f t="shared" si="4"/>
        <v>35</v>
      </c>
      <c r="B174" s="270" t="s">
        <v>282</v>
      </c>
      <c r="C174" s="247" t="s">
        <v>312</v>
      </c>
      <c r="D174" s="305">
        <v>0</v>
      </c>
    </row>
    <row r="175" spans="1:4">
      <c r="A175" s="262">
        <f t="shared" si="4"/>
        <v>36</v>
      </c>
      <c r="B175" s="270" t="s">
        <v>282</v>
      </c>
      <c r="C175" s="247" t="s">
        <v>313</v>
      </c>
      <c r="D175" s="305">
        <v>0</v>
      </c>
    </row>
    <row r="176" spans="1:4">
      <c r="A176" s="262">
        <f t="shared" si="4"/>
        <v>37</v>
      </c>
      <c r="B176" s="270" t="s">
        <v>282</v>
      </c>
      <c r="C176" s="247" t="s">
        <v>314</v>
      </c>
      <c r="D176" s="305">
        <v>0</v>
      </c>
    </row>
    <row r="177" spans="1:4">
      <c r="A177" s="262">
        <f>+A176+1</f>
        <v>38</v>
      </c>
      <c r="B177" s="307" t="s">
        <v>363</v>
      </c>
      <c r="C177" s="308"/>
      <c r="D177" s="309">
        <f>+SUM(D141:D176)</f>
        <v>511083</v>
      </c>
    </row>
    <row r="178" spans="1:4" ht="8.25" customHeight="1">
      <c r="A178" s="262"/>
      <c r="B178" s="310"/>
      <c r="C178" s="311"/>
      <c r="D178" s="296"/>
    </row>
    <row r="179" spans="1:4">
      <c r="A179" s="262">
        <f>+A177+1</f>
        <v>39</v>
      </c>
      <c r="B179" s="285" t="s">
        <v>315</v>
      </c>
      <c r="C179" s="244"/>
      <c r="D179" s="312"/>
    </row>
    <row r="180" spans="1:4">
      <c r="A180" s="262">
        <f>+A179+1</f>
        <v>40</v>
      </c>
      <c r="B180" s="270" t="s">
        <v>316</v>
      </c>
      <c r="C180" s="247" t="s">
        <v>317</v>
      </c>
      <c r="D180" s="542">
        <v>19654104</v>
      </c>
    </row>
    <row r="181" spans="1:4">
      <c r="A181" s="262">
        <f t="shared" ref="A181:A194" si="5">+A180+1</f>
        <v>41</v>
      </c>
      <c r="B181" s="270" t="s">
        <v>318</v>
      </c>
      <c r="C181" s="247" t="s">
        <v>319</v>
      </c>
      <c r="D181" s="542">
        <v>5625335</v>
      </c>
    </row>
    <row r="182" spans="1:4">
      <c r="A182" s="262">
        <f t="shared" si="5"/>
        <v>42</v>
      </c>
      <c r="B182" s="270" t="s">
        <v>320</v>
      </c>
      <c r="C182" s="247" t="s">
        <v>321</v>
      </c>
      <c r="D182" s="542">
        <v>-1237577</v>
      </c>
    </row>
    <row r="183" spans="1:4">
      <c r="A183" s="262">
        <f t="shared" si="5"/>
        <v>43</v>
      </c>
      <c r="B183" s="270" t="s">
        <v>322</v>
      </c>
      <c r="C183" s="247" t="s">
        <v>323</v>
      </c>
      <c r="D183" s="542">
        <v>964074</v>
      </c>
    </row>
    <row r="184" spans="1:4">
      <c r="A184" s="262">
        <f t="shared" si="5"/>
        <v>44</v>
      </c>
      <c r="B184" s="270" t="s">
        <v>324</v>
      </c>
      <c r="C184" s="247" t="s">
        <v>325</v>
      </c>
      <c r="D184" s="542">
        <v>2253039</v>
      </c>
    </row>
    <row r="185" spans="1:4">
      <c r="A185" s="262">
        <f t="shared" si="5"/>
        <v>45</v>
      </c>
      <c r="B185" s="270" t="s">
        <v>326</v>
      </c>
      <c r="C185" s="247" t="s">
        <v>327</v>
      </c>
      <c r="D185" s="542">
        <v>1360064</v>
      </c>
    </row>
    <row r="186" spans="1:4">
      <c r="A186" s="262">
        <f t="shared" si="5"/>
        <v>46</v>
      </c>
      <c r="B186" s="270" t="s">
        <v>328</v>
      </c>
      <c r="C186" s="247" t="s">
        <v>329</v>
      </c>
      <c r="D186" s="542">
        <v>3324451</v>
      </c>
    </row>
    <row r="187" spans="1:4">
      <c r="A187" s="262">
        <f t="shared" si="5"/>
        <v>47</v>
      </c>
      <c r="B187" s="270" t="s">
        <v>330</v>
      </c>
      <c r="C187" s="247" t="s">
        <v>331</v>
      </c>
      <c r="D187" s="542">
        <v>1054841</v>
      </c>
    </row>
    <row r="188" spans="1:4">
      <c r="A188" s="262">
        <f t="shared" si="5"/>
        <v>48</v>
      </c>
      <c r="B188" s="270" t="s">
        <v>332</v>
      </c>
      <c r="C188" s="247" t="s">
        <v>333</v>
      </c>
      <c r="D188" s="694">
        <f>349890+518091</f>
        <v>867981</v>
      </c>
    </row>
    <row r="189" spans="1:4">
      <c r="A189" s="262">
        <f t="shared" si="5"/>
        <v>49</v>
      </c>
      <c r="B189" s="270" t="s">
        <v>334</v>
      </c>
      <c r="C189" s="247" t="s">
        <v>335</v>
      </c>
      <c r="D189" s="542">
        <f>365815+18270</f>
        <v>384085</v>
      </c>
    </row>
    <row r="190" spans="1:4">
      <c r="A190" s="262">
        <f t="shared" si="5"/>
        <v>50</v>
      </c>
      <c r="B190" s="270" t="s">
        <v>156</v>
      </c>
      <c r="C190" s="247" t="s">
        <v>336</v>
      </c>
      <c r="D190" s="542">
        <v>276802</v>
      </c>
    </row>
    <row r="191" spans="1:4">
      <c r="A191" s="262">
        <f t="shared" si="5"/>
        <v>51</v>
      </c>
      <c r="B191" s="270" t="s">
        <v>337</v>
      </c>
      <c r="C191" s="255" t="s">
        <v>338</v>
      </c>
      <c r="D191" s="542">
        <v>2616354</v>
      </c>
    </row>
    <row r="192" spans="1:4">
      <c r="A192" s="262">
        <f t="shared" si="5"/>
        <v>52</v>
      </c>
      <c r="B192" s="270" t="s">
        <v>115</v>
      </c>
      <c r="C192" s="247" t="s">
        <v>339</v>
      </c>
      <c r="D192" s="519">
        <v>0</v>
      </c>
    </row>
    <row r="193" spans="1:4">
      <c r="A193" s="262">
        <f t="shared" si="5"/>
        <v>53</v>
      </c>
      <c r="B193" s="313" t="s">
        <v>340</v>
      </c>
      <c r="C193" s="314"/>
      <c r="D193" s="695">
        <f>SUM(D180:D192)</f>
        <v>37143553</v>
      </c>
    </row>
    <row r="194" spans="1:4">
      <c r="A194" s="262">
        <f t="shared" si="5"/>
        <v>54</v>
      </c>
      <c r="B194" s="315" t="s">
        <v>342</v>
      </c>
      <c r="C194" s="316"/>
      <c r="D194" s="317">
        <f>D189</f>
        <v>384085</v>
      </c>
    </row>
    <row r="195" spans="1:4">
      <c r="A195" s="262"/>
      <c r="B195" s="669"/>
      <c r="C195" s="670"/>
      <c r="D195" s="671"/>
    </row>
    <row r="196" spans="1:4">
      <c r="A196" s="262">
        <f>+A194+1</f>
        <v>55</v>
      </c>
      <c r="B196" s="672" t="s">
        <v>346</v>
      </c>
      <c r="C196" s="673"/>
      <c r="D196" s="782">
        <f>+D193-D194</f>
        <v>36759468</v>
      </c>
    </row>
    <row r="197" spans="1:4">
      <c r="A197" s="318"/>
      <c r="B197" s="319"/>
      <c r="C197" s="320"/>
      <c r="D197" s="321"/>
    </row>
    <row r="200" spans="1:4">
      <c r="B200" s="480"/>
    </row>
    <row r="201" spans="1:4">
      <c r="B201" s="518"/>
    </row>
    <row r="202" spans="1:4">
      <c r="B202" s="536"/>
    </row>
  </sheetData>
  <mergeCells count="10">
    <mergeCell ref="B77:B78"/>
    <mergeCell ref="C77:C78"/>
    <mergeCell ref="B138:B139"/>
    <mergeCell ref="C138:C139"/>
    <mergeCell ref="A1:B1"/>
    <mergeCell ref="B8:B9"/>
    <mergeCell ref="C8:C9"/>
    <mergeCell ref="A2:D2"/>
    <mergeCell ref="A3:D3"/>
    <mergeCell ref="A4:D4"/>
  </mergeCells>
  <printOptions horizontalCentered="1"/>
  <pageMargins left="0.75" right="0.75" top="0.75" bottom="0.25" header="0.5" footer="0.5"/>
  <pageSetup scale="64" firstPageNumber="9" fitToHeight="3" orientation="portrait" useFirstPageNumber="1" r:id="rId1"/>
  <headerFooter alignWithMargins="0">
    <oddHeader>&amp;R&amp;"Arial,Regular"&amp;10Attachment O Work Paper
Page &amp;P of 20</oddHeader>
  </headerFooter>
  <rowBreaks count="2" manualBreakCount="2">
    <brk id="75" max="3" man="1"/>
    <brk id="1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8</vt:i4>
      </vt:variant>
    </vt:vector>
  </HeadingPairs>
  <TitlesOfParts>
    <vt:vector size="29" baseType="lpstr">
      <vt:lpstr>Page 1 - PIS</vt:lpstr>
      <vt:lpstr>Page 2 - Accum Depr</vt:lpstr>
      <vt:lpstr>Page 3 - CWIP</vt:lpstr>
      <vt:lpstr>Page 4 - ADIT</vt:lpstr>
      <vt:lpstr>Page 5 - Net Prefunded AFUDC</vt:lpstr>
      <vt:lpstr>Page 6 - PHFU</vt:lpstr>
      <vt:lpstr>Page 7 - M&amp;S</vt:lpstr>
      <vt:lpstr>Page 8 - Prepayments</vt:lpstr>
      <vt:lpstr>Page 9-11 - Funct</vt:lpstr>
      <vt:lpstr>Page 12 - A&amp;G Exp</vt:lpstr>
      <vt:lpstr>Page 13 - Depr Exp</vt:lpstr>
      <vt:lpstr>Page 14 - Prop Tax</vt:lpstr>
      <vt:lpstr>Page 15 - Invest Tax</vt:lpstr>
      <vt:lpstr>Page 16 - FERC Acct 561</vt:lpstr>
      <vt:lpstr>Page 17 - Labor Ratios</vt:lpstr>
      <vt:lpstr>Page 18 - Equity</vt:lpstr>
      <vt:lpstr>Page 19 - Elec Debt</vt:lpstr>
      <vt:lpstr>Page 20 - Revenues</vt:lpstr>
      <vt:lpstr>Page 20a - MISO Tariff Revenue</vt:lpstr>
      <vt:lpstr>Attachment GG Projects</vt:lpstr>
      <vt:lpstr>Attachment MM Projects</vt:lpstr>
      <vt:lpstr>'Page 17 - Labor Ratios'!Print_Area</vt:lpstr>
      <vt:lpstr>'Page 18 - Equity'!Print_Area</vt:lpstr>
      <vt:lpstr>'Page 19 - Elec Debt'!Print_Area</vt:lpstr>
      <vt:lpstr>'Page 2 - Accum Depr'!Print_Area</vt:lpstr>
      <vt:lpstr>'Page 4 - ADIT'!Print_Area</vt:lpstr>
      <vt:lpstr>'Page 8 - Prepayments'!Print_Area</vt:lpstr>
      <vt:lpstr>'Page 9-11 - Funct'!Print_Area</vt:lpstr>
      <vt:lpstr>'Page 9-11 - Funct'!Print_Titles</vt:lpstr>
    </vt:vector>
  </TitlesOfParts>
  <Company>Otter Tail Power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ama2</dc:creator>
  <cp:lastModifiedBy>Kyle Sem</cp:lastModifiedBy>
  <cp:lastPrinted>2012-10-24T13:42:08Z</cp:lastPrinted>
  <dcterms:created xsi:type="dcterms:W3CDTF">2009-10-01T13:58:58Z</dcterms:created>
  <dcterms:modified xsi:type="dcterms:W3CDTF">2012-10-24T13:51:04Z</dcterms:modified>
</cp:coreProperties>
</file>