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215" yWindow="-15" windowWidth="19260" windowHeight="11370" tabRatio="956"/>
  </bookViews>
  <sheets>
    <sheet name="Page 1 - PIS" sheetId="17" r:id="rId1"/>
    <sheet name="Page 2 - Accum Depr" sheetId="1" r:id="rId2"/>
    <sheet name="Page 3 - CWIP" sheetId="18" r:id="rId3"/>
    <sheet name="Page 4 - ADIT" sheetId="6" r:id="rId4"/>
    <sheet name="Page 5 - Net Prefunded AFUDC" sheetId="19" r:id="rId5"/>
    <sheet name="Page 6 - PHFU" sheetId="15" r:id="rId6"/>
    <sheet name="Page 7 - M&amp;S" sheetId="7" r:id="rId7"/>
    <sheet name="Page 8 - Prepayments" sheetId="8" r:id="rId8"/>
    <sheet name="Page 9-11 - Funct" sheetId="13" r:id="rId9"/>
    <sheet name="Page 12a - Sch 10 Exp" sheetId="31" r:id="rId10"/>
    <sheet name="Page 12b - A&amp;G Exp" sheetId="20" r:id="rId11"/>
    <sheet name="Page 13 - Depr Exp" sheetId="9" r:id="rId12"/>
    <sheet name="Page 14 - Prop Tax" sheetId="21" r:id="rId13"/>
    <sheet name="Page 15 - Invest Tax" sheetId="14" r:id="rId14"/>
    <sheet name="Page 16 - FERC Acct 561" sheetId="22" r:id="rId15"/>
    <sheet name="Page 17 - Labor Ratios" sheetId="10" r:id="rId16"/>
    <sheet name="Page 18 - Equity" sheetId="12" r:id="rId17"/>
    <sheet name="Page 19 - Elec Debt" sheetId="11" r:id="rId18"/>
    <sheet name="Page 20 - Revenues" sheetId="23" r:id="rId19"/>
    <sheet name="Page 20a - FERC 454 Recon" sheetId="30" r:id="rId20"/>
    <sheet name="Page 20b - MISO Tariff Revenue" sheetId="25" r:id="rId21"/>
    <sheet name="Page 21 - Income Tax Rate Calc" sheetId="28" r:id="rId22"/>
    <sheet name="Page 21a - Income Tax Rate Calc" sheetId="29" r:id="rId23"/>
    <sheet name="Page 22 - Acct Changes" sheetId="32" r:id="rId24"/>
    <sheet name="Attachment GG Projects" sheetId="24" r:id="rId25"/>
    <sheet name="Attachment MM Projects" sheetId="26" r:id="rId26"/>
    <sheet name="Info" sheetId="27" r:id="rId27"/>
  </sheets>
  <externalReferences>
    <externalReference r:id="rId28"/>
  </externalReferences>
  <definedNames>
    <definedName name="\P" localSheetId="25">#REF!</definedName>
    <definedName name="\P" localSheetId="9">#REF!</definedName>
    <definedName name="\P" localSheetId="2">#REF!</definedName>
    <definedName name="\P" localSheetId="4">#REF!</definedName>
    <definedName name="\P">#REF!</definedName>
    <definedName name="__HH_F">[1]factors:memo!$G$36:$N$82</definedName>
    <definedName name="_xlnm._FilterDatabase" localSheetId="19" hidden="1">'Page 20a - FERC 454 Recon'!$B$7:$K$7</definedName>
    <definedName name="_Order1" hidden="1">255</definedName>
    <definedName name="_PG1" localSheetId="25">#REF!</definedName>
    <definedName name="_PG1" localSheetId="9">#REF!</definedName>
    <definedName name="_PG1" localSheetId="2">#REF!</definedName>
    <definedName name="_PG1" localSheetId="4">#REF!</definedName>
    <definedName name="_PG1">#REF!</definedName>
    <definedName name="_PG2" localSheetId="25">#REF!</definedName>
    <definedName name="_PG2" localSheetId="9">#REF!</definedName>
    <definedName name="_PG2" localSheetId="2">#REF!</definedName>
    <definedName name="_PG2" localSheetId="4">#REF!</definedName>
    <definedName name="_PG2">#REF!</definedName>
    <definedName name="_PR1" localSheetId="25">#REF!</definedName>
    <definedName name="_PR1" localSheetId="9">#REF!</definedName>
    <definedName name="_PR1" localSheetId="13">#REF!</definedName>
    <definedName name="_PR1" localSheetId="2">#REF!</definedName>
    <definedName name="_PR1" localSheetId="4">#REF!</definedName>
    <definedName name="_PR1">#REF!</definedName>
    <definedName name="_PR2" localSheetId="25">#REF!</definedName>
    <definedName name="_PR2" localSheetId="9">#REF!</definedName>
    <definedName name="_PR2" localSheetId="13">#REF!</definedName>
    <definedName name="_PR2" localSheetId="2">#REF!</definedName>
    <definedName name="_PR2" localSheetId="4">#REF!</definedName>
    <definedName name="_PR2">#REF!</definedName>
    <definedName name="_PR3" localSheetId="25">#REF!</definedName>
    <definedName name="_PR3" localSheetId="9">#REF!</definedName>
    <definedName name="_PR3" localSheetId="13">#REF!</definedName>
    <definedName name="_PR3" localSheetId="2">#REF!</definedName>
    <definedName name="_PR3" localSheetId="4">#REF!</definedName>
    <definedName name="_PR3">#REF!</definedName>
    <definedName name="Amount" localSheetId="25">#REF!</definedName>
    <definedName name="Amount" localSheetId="9">#REF!</definedName>
    <definedName name="Amount" localSheetId="2">#REF!</definedName>
    <definedName name="Amount" localSheetId="4">#REF!</definedName>
    <definedName name="Amount">#REF!</definedName>
    <definedName name="CCOSS_Data" localSheetId="25">#REF!</definedName>
    <definedName name="CCOSS_Data" localSheetId="9">#REF!</definedName>
    <definedName name="CCOSS_Data" localSheetId="13">#REF!</definedName>
    <definedName name="CCOSS_Data" localSheetId="2">#REF!</definedName>
    <definedName name="CCOSS_Data" localSheetId="4">#REF!</definedName>
    <definedName name="CCOSS_Data">#REF!</definedName>
    <definedName name="D__M" localSheetId="25">#REF!</definedName>
    <definedName name="D__M" localSheetId="9">#REF!</definedName>
    <definedName name="D__M" localSheetId="13">#REF!</definedName>
    <definedName name="D__M" localSheetId="2">#REF!</definedName>
    <definedName name="D__M" localSheetId="4">#REF!</definedName>
    <definedName name="D__M">#REF!</definedName>
    <definedName name="DB" localSheetId="25">#REF!</definedName>
    <definedName name="DB" localSheetId="9">#REF!</definedName>
    <definedName name="DB" localSheetId="2">#REF!</definedName>
    <definedName name="DB" localSheetId="4">#REF!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 localSheetId="25">#REF!</definedName>
    <definedName name="Federal" localSheetId="9">#REF!</definedName>
    <definedName name="Federal" localSheetId="2">#REF!</definedName>
    <definedName name="Federal" localSheetId="4">#REF!</definedName>
    <definedName name="Federal">#REF!</definedName>
    <definedName name="FERC" localSheetId="25">#REF!</definedName>
    <definedName name="FERC" localSheetId="9">#REF!</definedName>
    <definedName name="FERC" localSheetId="2">#REF!</definedName>
    <definedName name="FERC" localSheetId="4">#REF!</definedName>
    <definedName name="FERC">#REF!</definedName>
    <definedName name="K2_WBEVMODE" hidden="1">0</definedName>
    <definedName name="PNT" localSheetId="25">#REF!</definedName>
    <definedName name="PNT" localSheetId="9">#REF!</definedName>
    <definedName name="PNT" localSheetId="2">#REF!</definedName>
    <definedName name="PNT" localSheetId="4">#REF!</definedName>
    <definedName name="PNT">#REF!</definedName>
    <definedName name="PRINT" localSheetId="25">#REF!</definedName>
    <definedName name="PRINT" localSheetId="9">#REF!</definedName>
    <definedName name="PRINT" localSheetId="2">#REF!</definedName>
    <definedName name="PRINT" localSheetId="4">#REF!</definedName>
    <definedName name="PRINT">#REF!</definedName>
    <definedName name="_xlnm.Print_Area" localSheetId="0">'Page 1 - PIS'!$A$1:$G$27</definedName>
    <definedName name="_xlnm.Print_Area" localSheetId="15">'Page 17 - Labor Ratios'!$A$1:$F$28</definedName>
    <definedName name="_xlnm.Print_Area" localSheetId="16">'Page 18 - Equity'!$A$1:$P$27</definedName>
    <definedName name="_xlnm.Print_Area" localSheetId="17">'Page 19 - Elec Debt'!$A$1:$U$46</definedName>
    <definedName name="_xlnm.Print_Area" localSheetId="1">'Page 2 - Accum Depr'!$A$1:$J$27</definedName>
    <definedName name="_xlnm.Print_Area" localSheetId="21">'Page 21 - Income Tax Rate Calc'!$A$1:$J$75</definedName>
    <definedName name="_xlnm.Print_Area" localSheetId="22">'Page 21a - Income Tax Rate Calc'!$A$1:$G$29</definedName>
    <definedName name="_xlnm.Print_Area" localSheetId="23">'Page 22 - Acct Changes'!$A$1:$S$38</definedName>
    <definedName name="_xlnm.Print_Area" localSheetId="2">'Page 3 - CWIP'!$A$1:$I$63</definedName>
    <definedName name="_xlnm.Print_Area" localSheetId="3">'Page 4 - ADIT'!$A$1:$F$25</definedName>
    <definedName name="_xlnm.Print_Area" localSheetId="7">'Page 8 - Prepayments'!$A$1:$D$27</definedName>
    <definedName name="_xlnm.Print_Area" localSheetId="8">'Page 9-11 - Funct'!$A$1:$D$197</definedName>
    <definedName name="_xlnm.Print_Titles" localSheetId="8">'Page 9-11 - Funct'!$1:$6</definedName>
    <definedName name="Print_Titles_MI" localSheetId="25">#REF!</definedName>
    <definedName name="Print_Titles_MI" localSheetId="9">#REF!</definedName>
    <definedName name="Print_Titles_MI" localSheetId="2">#REF!</definedName>
    <definedName name="Print_Titles_MI" localSheetId="4">#REF!</definedName>
    <definedName name="Print_Titles_MI">#REF!</definedName>
    <definedName name="PRNT" localSheetId="25">#REF!</definedName>
    <definedName name="PRNT" localSheetId="9">#REF!</definedName>
    <definedName name="PRNT" localSheetId="2">#REF!</definedName>
    <definedName name="PRNT" localSheetId="4">#REF!</definedName>
    <definedName name="PRNT">#REF!</definedName>
    <definedName name="TOTAL" localSheetId="25">#REF!</definedName>
    <definedName name="TOTAL" localSheetId="9">#REF!</definedName>
    <definedName name="TOTAL" localSheetId="13">#REF!</definedName>
    <definedName name="TOTAL" localSheetId="2">#REF!</definedName>
    <definedName name="TOTAL" localSheetId="4">#REF!</definedName>
    <definedName name="TOTAL">#REF!</definedName>
    <definedName name="TOTAL2" localSheetId="25">#REF!</definedName>
    <definedName name="TOTAL2" localSheetId="9">#REF!</definedName>
    <definedName name="TOTAL2" localSheetId="13">#REF!</definedName>
    <definedName name="TOTAL2" localSheetId="2">#REF!</definedName>
    <definedName name="TOTAL2" localSheetId="4">#REF!</definedName>
    <definedName name="TOTAL2">#REF!</definedName>
  </definedNames>
  <calcPr calcId="145621"/>
</workbook>
</file>

<file path=xl/calcChain.xml><?xml version="1.0" encoding="utf-8"?>
<calcChain xmlns="http://schemas.openxmlformats.org/spreadsheetml/2006/main">
  <c r="T27" i="11" l="1"/>
  <c r="G39" i="11"/>
  <c r="G46" i="11"/>
  <c r="G193" i="13"/>
  <c r="G181" i="13"/>
  <c r="G182" i="13"/>
  <c r="G183" i="13"/>
  <c r="G184" i="13"/>
  <c r="G185" i="13"/>
  <c r="G186" i="13"/>
  <c r="G187" i="13"/>
  <c r="G188" i="13"/>
  <c r="G189" i="13"/>
  <c r="G190" i="13"/>
  <c r="G191" i="13"/>
  <c r="G180" i="13"/>
  <c r="F193" i="13"/>
  <c r="E193" i="13"/>
  <c r="F181" i="13"/>
  <c r="F182" i="13"/>
  <c r="F183" i="13"/>
  <c r="F184" i="13"/>
  <c r="F185" i="13"/>
  <c r="F186" i="13"/>
  <c r="F187" i="13"/>
  <c r="F188" i="13"/>
  <c r="F189" i="13"/>
  <c r="F190" i="13"/>
  <c r="F191" i="13"/>
  <c r="F180" i="13"/>
  <c r="H62" i="18" l="1"/>
  <c r="G54" i="18"/>
  <c r="F50" i="18"/>
  <c r="E36" i="18"/>
  <c r="E35" i="18"/>
  <c r="A33" i="18"/>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32" i="18"/>
  <c r="A31" i="18"/>
  <c r="H61" i="18"/>
  <c r="F49" i="18"/>
  <c r="Q27" i="25" l="1"/>
  <c r="Q26" i="25"/>
  <c r="Q25" i="25" l="1"/>
  <c r="Q24" i="25"/>
  <c r="T47" i="21"/>
  <c r="T46" i="21"/>
  <c r="F21" i="6" l="1"/>
  <c r="F22" i="6"/>
  <c r="F23" i="6"/>
  <c r="F24" i="6"/>
  <c r="C25" i="6"/>
  <c r="E25" i="6"/>
  <c r="F25" i="6" l="1"/>
  <c r="A11" i="31"/>
  <c r="F23" i="1" l="1"/>
  <c r="F22" i="1"/>
  <c r="F21" i="1"/>
  <c r="F20" i="1"/>
  <c r="F19" i="1"/>
  <c r="F18" i="1"/>
  <c r="F17" i="1"/>
  <c r="F16" i="1"/>
  <c r="F15" i="1"/>
  <c r="F14" i="1"/>
  <c r="F13" i="1"/>
  <c r="F12" i="1"/>
  <c r="F11" i="1"/>
  <c r="C25" i="1" l="1"/>
  <c r="C25" i="24" l="1"/>
  <c r="C14" i="24"/>
  <c r="C15" i="24"/>
  <c r="C16" i="24"/>
  <c r="C17" i="24"/>
  <c r="C18" i="24"/>
  <c r="C19" i="24"/>
  <c r="C20" i="24"/>
  <c r="C21" i="24"/>
  <c r="C22" i="24"/>
  <c r="C23" i="24"/>
  <c r="C24" i="24"/>
  <c r="C13" i="24"/>
  <c r="E22" i="24"/>
  <c r="E21" i="24"/>
  <c r="E20" i="24"/>
  <c r="E19" i="24"/>
  <c r="K13" i="23"/>
  <c r="G22" i="9"/>
  <c r="F61" i="24" l="1"/>
  <c r="E61" i="24"/>
  <c r="D61" i="24"/>
  <c r="C61" i="24"/>
  <c r="E27" i="18"/>
  <c r="U37" i="11" l="1"/>
  <c r="H37" i="11"/>
  <c r="I37" i="11"/>
  <c r="J37" i="11"/>
  <c r="K37" i="11"/>
  <c r="L37" i="11"/>
  <c r="M37" i="11"/>
  <c r="N37" i="11"/>
  <c r="O37" i="11"/>
  <c r="P37" i="11"/>
  <c r="Q37" i="11"/>
  <c r="R37" i="11"/>
  <c r="S37" i="11"/>
  <c r="G37" i="11"/>
  <c r="E10" i="6"/>
  <c r="C10" i="6"/>
  <c r="Q17" i="25" l="1"/>
  <c r="Q19" i="25"/>
  <c r="C25" i="26"/>
  <c r="C24" i="26"/>
  <c r="C23" i="26"/>
  <c r="C22" i="26"/>
  <c r="C21" i="26"/>
  <c r="C20" i="26"/>
  <c r="C19" i="26"/>
  <c r="C18" i="26"/>
  <c r="C17" i="26"/>
  <c r="C16" i="26"/>
  <c r="C15" i="26"/>
  <c r="C14" i="26"/>
  <c r="C13" i="26"/>
  <c r="D24" i="24"/>
  <c r="D25" i="24"/>
  <c r="D23" i="24"/>
  <c r="D22" i="24"/>
  <c r="D21" i="24"/>
  <c r="D20" i="24"/>
  <c r="D19" i="24"/>
  <c r="D18" i="24"/>
  <c r="D17" i="24"/>
  <c r="D16" i="24"/>
  <c r="D15" i="24"/>
  <c r="D14" i="24"/>
  <c r="D13" i="24"/>
  <c r="E25" i="24"/>
  <c r="E24" i="24"/>
  <c r="E23" i="24"/>
  <c r="E14" i="24"/>
  <c r="E15" i="24"/>
  <c r="E16" i="24"/>
  <c r="E17" i="24"/>
  <c r="E18" i="24"/>
  <c r="D27" i="24" l="1"/>
  <c r="A4" i="29"/>
  <c r="A3" i="25"/>
  <c r="G35" i="28"/>
  <c r="J30" i="28"/>
  <c r="Q18" i="25" l="1"/>
  <c r="K25" i="23" s="1"/>
  <c r="J67" i="28"/>
  <c r="I35" i="28"/>
  <c r="Q21" i="25"/>
  <c r="Q20" i="25"/>
  <c r="Q16" i="25"/>
  <c r="K25" i="30"/>
  <c r="A11" i="22"/>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G67" i="22"/>
  <c r="G63" i="22"/>
  <c r="G16" i="22"/>
  <c r="B10" i="22"/>
  <c r="B11" i="22" s="1"/>
  <c r="K24" i="23" l="1"/>
  <c r="B65" i="22"/>
  <c r="B66" i="22"/>
  <c r="B62" i="22"/>
  <c r="B57" i="22"/>
  <c r="B56" i="22"/>
  <c r="B43" i="22"/>
  <c r="B42" i="22"/>
  <c r="B15" i="22"/>
  <c r="G45" i="20"/>
  <c r="G72" i="20"/>
  <c r="B31" i="20"/>
  <c r="B37" i="20" s="1"/>
  <c r="B35" i="20" l="1"/>
  <c r="B34" i="20"/>
  <c r="B44" i="20"/>
  <c r="B71" i="20"/>
  <c r="B41" i="20"/>
  <c r="B39" i="20"/>
  <c r="B38" i="20"/>
  <c r="A4" i="13"/>
  <c r="A4" i="31" s="1"/>
  <c r="E18" i="29" l="1"/>
  <c r="D20" i="29" l="1"/>
  <c r="E20" i="29"/>
  <c r="E23" i="29" s="1"/>
  <c r="D12" i="29" s="1"/>
  <c r="F20" i="29"/>
  <c r="F18" i="29"/>
  <c r="I39" i="28"/>
  <c r="I38" i="28"/>
  <c r="H22" i="28"/>
  <c r="I20" i="28"/>
  <c r="I22" i="28" s="1"/>
  <c r="I27" i="28" s="1"/>
  <c r="I41" i="28" l="1"/>
  <c r="I43" i="28" s="1"/>
  <c r="F23" i="29"/>
  <c r="E25" i="29"/>
  <c r="E27" i="29" s="1"/>
  <c r="H70" i="28" s="1"/>
  <c r="G36" i="28" l="1"/>
  <c r="G38" i="28" s="1"/>
  <c r="G41" i="28" s="1"/>
  <c r="G43" i="28" s="1"/>
  <c r="F43" i="28" s="1"/>
  <c r="J46" i="28" s="1"/>
  <c r="F25" i="29"/>
  <c r="F27" i="29" s="1"/>
  <c r="I70" i="28" s="1"/>
  <c r="D13" i="29"/>
  <c r="D14" i="29" s="1"/>
  <c r="D18" i="29" s="1"/>
  <c r="D23" i="29" s="1"/>
  <c r="D25" i="29" s="1"/>
  <c r="D27" i="29" s="1"/>
  <c r="G70" i="28" s="1"/>
  <c r="A6" i="26"/>
  <c r="A9" i="30"/>
  <c r="A10" i="30" s="1"/>
  <c r="A11" i="30" s="1"/>
  <c r="A12" i="30" s="1"/>
  <c r="A13" i="30" s="1"/>
  <c r="A14" i="30" s="1"/>
  <c r="A15" i="30" s="1"/>
  <c r="A16" i="30" s="1"/>
  <c r="A17" i="30" s="1"/>
  <c r="A18" i="30" s="1"/>
  <c r="A19" i="30" s="1"/>
  <c r="A20" i="30" s="1"/>
  <c r="A21" i="30" s="1"/>
  <c r="A22" i="30" s="1"/>
  <c r="A23" i="30" s="1"/>
  <c r="A24" i="30" s="1"/>
  <c r="G27" i="29" l="1"/>
  <c r="F70" i="28" s="1"/>
  <c r="G25" i="29"/>
  <c r="J73" i="28" l="1"/>
  <c r="G61" i="24" l="1"/>
  <c r="G57" i="24"/>
  <c r="B14" i="24"/>
  <c r="B14" i="26" s="1"/>
  <c r="B13" i="24"/>
  <c r="B13" i="26" s="1"/>
  <c r="E13" i="24"/>
  <c r="E27" i="24" s="1"/>
  <c r="E7" i="25" l="1"/>
  <c r="Q14" i="25" l="1"/>
  <c r="A17" i="11"/>
  <c r="A18" i="11" s="1"/>
  <c r="A19" i="11" s="1"/>
  <c r="A20" i="11" s="1"/>
  <c r="A21" i="11" s="1"/>
  <c r="A22" i="11" s="1"/>
  <c r="A23" i="11" s="1"/>
  <c r="A24" i="11" s="1"/>
  <c r="B41" i="22" l="1"/>
  <c r="B47" i="22" l="1"/>
  <c r="B51" i="22"/>
  <c r="E9" i="10"/>
  <c r="B50" i="20" l="1"/>
  <c r="B57" i="20"/>
  <c r="B33" i="20"/>
  <c r="D9" i="13"/>
  <c r="B13" i="7"/>
  <c r="B12" i="7"/>
  <c r="B12" i="15"/>
  <c r="B11" i="15"/>
  <c r="B14" i="19"/>
  <c r="B13" i="19"/>
  <c r="B13" i="18"/>
  <c r="B14" i="18"/>
  <c r="A5" i="7"/>
  <c r="A6" i="19"/>
  <c r="A5" i="15"/>
  <c r="A6" i="18"/>
  <c r="B12" i="1"/>
  <c r="B11" i="1"/>
  <c r="A5" i="1" l="1"/>
  <c r="A5" i="17"/>
  <c r="B11" i="17"/>
  <c r="B10" i="17" l="1"/>
  <c r="D57" i="24"/>
  <c r="D59" i="24" s="1"/>
  <c r="F57" i="24"/>
  <c r="D40" i="24" l="1"/>
  <c r="D41" i="24"/>
  <c r="D42" i="24"/>
  <c r="D27" i="18"/>
  <c r="F14" i="24" l="1"/>
  <c r="F15" i="24" s="1"/>
  <c r="F16" i="24" s="1"/>
  <c r="F17" i="24" s="1"/>
  <c r="F18" i="24" s="1"/>
  <c r="F19" i="24" s="1"/>
  <c r="F20" i="24" s="1"/>
  <c r="F21" i="24" s="1"/>
  <c r="F22" i="24" s="1"/>
  <c r="F23" i="24" s="1"/>
  <c r="F24" i="24" s="1"/>
  <c r="F25" i="24" s="1"/>
  <c r="D61" i="26" l="1"/>
  <c r="C61" i="26"/>
  <c r="C57" i="26"/>
  <c r="T36" i="11" l="1"/>
  <c r="T34" i="11"/>
  <c r="T35" i="11"/>
  <c r="T33" i="11"/>
  <c r="T28" i="11"/>
  <c r="T37" i="11" l="1"/>
  <c r="F43" i="26"/>
  <c r="G19" i="20" l="1"/>
  <c r="G11" i="20" l="1"/>
  <c r="G15" i="20" s="1"/>
  <c r="I25" i="18" l="1"/>
  <c r="I24" i="18"/>
  <c r="I23" i="18"/>
  <c r="I22" i="18"/>
  <c r="I21" i="18"/>
  <c r="I20" i="18"/>
  <c r="I19" i="18"/>
  <c r="I18" i="18"/>
  <c r="I17" i="18"/>
  <c r="I16" i="18"/>
  <c r="I15" i="18"/>
  <c r="I14" i="18"/>
  <c r="I13" i="18"/>
  <c r="G52" i="20" l="1"/>
  <c r="B51" i="20"/>
  <c r="B48" i="20"/>
  <c r="B70" i="20"/>
  <c r="B69" i="20"/>
  <c r="B68" i="20"/>
  <c r="B65" i="20"/>
  <c r="B64" i="20"/>
  <c r="B63" i="20"/>
  <c r="B62" i="20"/>
  <c r="B61" i="20"/>
  <c r="B58" i="20"/>
  <c r="B56" i="20"/>
  <c r="B55" i="20"/>
  <c r="B54" i="20"/>
  <c r="B49" i="20"/>
  <c r="B47" i="20"/>
  <c r="B36" i="20"/>
  <c r="B40" i="20"/>
  <c r="B42" i="20"/>
  <c r="B43" i="20"/>
  <c r="B32" i="20"/>
  <c r="C38" i="26" l="1"/>
  <c r="D38" i="26"/>
  <c r="E38" i="26"/>
  <c r="F38" i="26"/>
  <c r="B38" i="26"/>
  <c r="D57" i="26" l="1"/>
  <c r="E57" i="26"/>
  <c r="E14" i="26"/>
  <c r="E15" i="26"/>
  <c r="E16" i="26"/>
  <c r="E17" i="26"/>
  <c r="E18" i="26"/>
  <c r="E19" i="26"/>
  <c r="E20" i="26"/>
  <c r="E21" i="26"/>
  <c r="E22" i="26"/>
  <c r="E23" i="26"/>
  <c r="E24" i="26"/>
  <c r="E25" i="26"/>
  <c r="E13" i="26"/>
  <c r="D14" i="26"/>
  <c r="D15" i="26"/>
  <c r="D16" i="26"/>
  <c r="D17" i="26"/>
  <c r="D18" i="26"/>
  <c r="D19" i="26"/>
  <c r="D20" i="26"/>
  <c r="D21" i="26"/>
  <c r="D22" i="26"/>
  <c r="D23" i="26"/>
  <c r="D24" i="26"/>
  <c r="D25" i="26"/>
  <c r="D13" i="26"/>
  <c r="E61" i="26"/>
  <c r="F52" i="26"/>
  <c r="F51" i="26"/>
  <c r="F50" i="26"/>
  <c r="F49" i="26"/>
  <c r="F48" i="26"/>
  <c r="F47" i="26"/>
  <c r="F46" i="26"/>
  <c r="F45" i="26"/>
  <c r="F44" i="26"/>
  <c r="B44" i="26"/>
  <c r="A44" i="26"/>
  <c r="A45" i="26" s="1"/>
  <c r="A46" i="26" s="1"/>
  <c r="A47" i="26" s="1"/>
  <c r="A48" i="26" s="1"/>
  <c r="A49" i="26" s="1"/>
  <c r="A50" i="26" s="1"/>
  <c r="A51" i="26" s="1"/>
  <c r="A52" i="26" s="1"/>
  <c r="A53" i="26" s="1"/>
  <c r="A54" i="26" s="1"/>
  <c r="A55" i="26" s="1"/>
  <c r="A56" i="26" s="1"/>
  <c r="A57" i="26" s="1"/>
  <c r="B43" i="26"/>
  <c r="E42" i="26"/>
  <c r="D42" i="26"/>
  <c r="C42" i="26"/>
  <c r="E41" i="26"/>
  <c r="D41" i="26"/>
  <c r="C41" i="26"/>
  <c r="E40" i="26"/>
  <c r="D40" i="26"/>
  <c r="C40" i="26"/>
  <c r="A14" i="26"/>
  <c r="A15" i="26" s="1"/>
  <c r="A16" i="26" s="1"/>
  <c r="A17" i="26" s="1"/>
  <c r="A18" i="26" s="1"/>
  <c r="A19" i="26" s="1"/>
  <c r="A20" i="26" s="1"/>
  <c r="A21" i="26" s="1"/>
  <c r="A22" i="26" s="1"/>
  <c r="A23" i="26" s="1"/>
  <c r="A24" i="26" s="1"/>
  <c r="A25" i="26" s="1"/>
  <c r="A26" i="26" s="1"/>
  <c r="A27" i="26" s="1"/>
  <c r="F57" i="26" l="1"/>
  <c r="F19" i="26"/>
  <c r="F17" i="26"/>
  <c r="F15" i="26"/>
  <c r="F24" i="26"/>
  <c r="F22" i="26"/>
  <c r="F13" i="26"/>
  <c r="C27" i="26"/>
  <c r="C59" i="26" s="1"/>
  <c r="F20" i="26"/>
  <c r="F18" i="26"/>
  <c r="F16" i="26"/>
  <c r="F14" i="26"/>
  <c r="F25" i="26"/>
  <c r="F23" i="26"/>
  <c r="F21" i="26"/>
  <c r="F55" i="26"/>
  <c r="F61" i="26" s="1"/>
  <c r="F54" i="26"/>
  <c r="F53" i="26"/>
  <c r="E27" i="26"/>
  <c r="E59" i="26" s="1"/>
  <c r="D27" i="26"/>
  <c r="D59" i="26" s="1"/>
  <c r="F62" i="26" l="1"/>
  <c r="F27" i="26"/>
  <c r="G27" i="26" l="1"/>
  <c r="F59" i="26"/>
  <c r="G59" i="26" s="1"/>
  <c r="F12" i="6" l="1"/>
  <c r="F10" i="6"/>
  <c r="C27" i="18"/>
  <c r="F27" i="18"/>
  <c r="G27" i="18"/>
  <c r="H27" i="18"/>
  <c r="I27" i="18" l="1"/>
  <c r="H44" i="24"/>
  <c r="H45" i="24"/>
  <c r="H46" i="24"/>
  <c r="H47" i="24"/>
  <c r="H48" i="24"/>
  <c r="H49" i="24"/>
  <c r="H50" i="24"/>
  <c r="H51" i="24"/>
  <c r="H52" i="24"/>
  <c r="H53" i="24"/>
  <c r="H54" i="24"/>
  <c r="H55" i="24"/>
  <c r="H43" i="24"/>
  <c r="H25" i="24"/>
  <c r="H24" i="24"/>
  <c r="H22" i="24"/>
  <c r="H20" i="24"/>
  <c r="H18" i="24"/>
  <c r="H16" i="24"/>
  <c r="H14" i="24"/>
  <c r="G42" i="24"/>
  <c r="H61" i="24" l="1"/>
  <c r="H23" i="24"/>
  <c r="H21" i="24"/>
  <c r="H19" i="24"/>
  <c r="H17" i="24"/>
  <c r="H15" i="24"/>
  <c r="H13" i="24"/>
  <c r="T29" i="11" l="1"/>
  <c r="T39" i="11" s="1"/>
  <c r="B44" i="24" l="1"/>
  <c r="B43" i="24"/>
  <c r="G40" i="24"/>
  <c r="G41" i="24"/>
  <c r="G27" i="24"/>
  <c r="G59" i="24" s="1"/>
  <c r="H29" i="11" l="1"/>
  <c r="I29" i="11"/>
  <c r="J29" i="11"/>
  <c r="K29" i="11"/>
  <c r="L29" i="11"/>
  <c r="M29" i="11"/>
  <c r="N29" i="11"/>
  <c r="O29" i="11"/>
  <c r="P29" i="11"/>
  <c r="Q29" i="11"/>
  <c r="R29" i="11"/>
  <c r="S29" i="11"/>
  <c r="G29" i="11"/>
  <c r="U29" i="11" l="1"/>
  <c r="B61" i="22" l="1"/>
  <c r="G59" i="22"/>
  <c r="G71" i="22" s="1"/>
  <c r="B50" i="22"/>
  <c r="B52" i="22"/>
  <c r="B53" i="22"/>
  <c r="B48" i="22"/>
  <c r="B49" i="22"/>
  <c r="B45" i="22"/>
  <c r="B46" i="22"/>
  <c r="B38" i="22"/>
  <c r="B39" i="22"/>
  <c r="B40" i="22"/>
  <c r="G35" i="22"/>
  <c r="B21" i="22"/>
  <c r="B22" i="22"/>
  <c r="B18" i="22"/>
  <c r="B19" i="22"/>
  <c r="G69" i="22" l="1"/>
  <c r="A32" i="20"/>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G59" i="20"/>
  <c r="G66" i="20"/>
  <c r="Q15" i="25" l="1"/>
  <c r="Q13" i="25"/>
  <c r="Q12" i="25"/>
  <c r="Q11" i="25"/>
  <c r="Q10" i="25"/>
  <c r="Q9" i="25"/>
  <c r="A10" i="25"/>
  <c r="A11" i="25" s="1"/>
  <c r="A12" i="25" s="1"/>
  <c r="A13" i="25" s="1"/>
  <c r="A14" i="25" s="1"/>
  <c r="A15" i="25" s="1"/>
  <c r="A16" i="25" s="1"/>
  <c r="A17" i="25" s="1"/>
  <c r="A18" i="25" s="1"/>
  <c r="A19" i="25" s="1"/>
  <c r="A20" i="25" s="1"/>
  <c r="A21" i="25" s="1"/>
  <c r="Q7" i="25"/>
  <c r="P7" i="25"/>
  <c r="O7" i="25"/>
  <c r="N7" i="25"/>
  <c r="M7" i="25"/>
  <c r="L7" i="25"/>
  <c r="K7" i="25"/>
  <c r="J7" i="25"/>
  <c r="I7" i="25"/>
  <c r="H7" i="25"/>
  <c r="G7" i="25"/>
  <c r="F7" i="25"/>
  <c r="A41" i="11"/>
  <c r="A42" i="11" s="1"/>
  <c r="A43" i="11" s="1"/>
  <c r="A44" i="11" s="1"/>
  <c r="A45" i="11" s="1"/>
  <c r="A46" i="11" s="1"/>
  <c r="D12" i="6"/>
  <c r="P16" i="12"/>
  <c r="E40" i="24"/>
  <c r="C40" i="24"/>
  <c r="F40" i="24"/>
  <c r="E41" i="24"/>
  <c r="C41" i="24"/>
  <c r="F41" i="24"/>
  <c r="E42" i="24"/>
  <c r="C42" i="24"/>
  <c r="F42" i="24"/>
  <c r="B58" i="22"/>
  <c r="B55" i="22"/>
  <c r="B54" i="22"/>
  <c r="B44" i="22"/>
  <c r="B37" i="22"/>
  <c r="B34" i="22"/>
  <c r="B33" i="22"/>
  <c r="B32" i="22"/>
  <c r="B31" i="22"/>
  <c r="B30" i="22"/>
  <c r="B29" i="22"/>
  <c r="B28" i="22"/>
  <c r="B27" i="22"/>
  <c r="B26" i="22"/>
  <c r="B25" i="22"/>
  <c r="B24" i="22"/>
  <c r="B23" i="22"/>
  <c r="B20" i="22"/>
  <c r="B13" i="22"/>
  <c r="B14" i="22"/>
  <c r="B12" i="22"/>
  <c r="A36" i="24"/>
  <c r="A36" i="26" s="1"/>
  <c r="A5" i="10"/>
  <c r="A4" i="20"/>
  <c r="A5" i="9" s="1"/>
  <c r="A5" i="23" s="1"/>
  <c r="A4" i="30" s="1"/>
  <c r="E57" i="24"/>
  <c r="E59" i="24" s="1"/>
  <c r="C57" i="24"/>
  <c r="A44" i="24"/>
  <c r="A45" i="24" s="1"/>
  <c r="A46" i="24" s="1"/>
  <c r="A47" i="24" s="1"/>
  <c r="A48" i="24" s="1"/>
  <c r="A49" i="24" s="1"/>
  <c r="A50" i="24" s="1"/>
  <c r="A51" i="24" s="1"/>
  <c r="A52" i="24" s="1"/>
  <c r="A53" i="24" s="1"/>
  <c r="A54" i="24" s="1"/>
  <c r="A55" i="24" s="1"/>
  <c r="A56" i="24" s="1"/>
  <c r="A57" i="24" s="1"/>
  <c r="F27" i="24"/>
  <c r="F59" i="24" s="1"/>
  <c r="A14" i="24"/>
  <c r="A15" i="24" s="1"/>
  <c r="A16" i="24" s="1"/>
  <c r="A17" i="24" s="1"/>
  <c r="A18" i="24" s="1"/>
  <c r="A19" i="24" s="1"/>
  <c r="A20" i="24" s="1"/>
  <c r="A21" i="24" s="1"/>
  <c r="A22" i="24" s="1"/>
  <c r="A23" i="24" s="1"/>
  <c r="A24" i="24" s="1"/>
  <c r="A25" i="24" s="1"/>
  <c r="A26" i="24" s="1"/>
  <c r="A27" i="24" s="1"/>
  <c r="A12" i="23"/>
  <c r="A13" i="23" s="1"/>
  <c r="A14" i="23" s="1"/>
  <c r="A15" i="23" s="1"/>
  <c r="A16" i="23" s="1"/>
  <c r="A17" i="23" s="1"/>
  <c r="A18" i="23" s="1"/>
  <c r="A19" i="23" s="1"/>
  <c r="B12" i="21"/>
  <c r="T11" i="21"/>
  <c r="S9" i="21"/>
  <c r="R9" i="21"/>
  <c r="Q9" i="21"/>
  <c r="P9" i="21"/>
  <c r="O9" i="21"/>
  <c r="N9" i="21"/>
  <c r="M9" i="21"/>
  <c r="L9" i="21"/>
  <c r="K9" i="21"/>
  <c r="J9" i="21"/>
  <c r="I9" i="21"/>
  <c r="A11" i="20"/>
  <c r="E27" i="19"/>
  <c r="D27" i="19"/>
  <c r="C27" i="19"/>
  <c r="F25" i="19"/>
  <c r="F24" i="19"/>
  <c r="F23" i="19"/>
  <c r="F22" i="19"/>
  <c r="F21" i="19"/>
  <c r="F20" i="19"/>
  <c r="F19" i="19"/>
  <c r="F18" i="19"/>
  <c r="F17" i="19"/>
  <c r="F16" i="19"/>
  <c r="F15" i="19"/>
  <c r="F14" i="19"/>
  <c r="A14" i="19"/>
  <c r="A15" i="19" s="1"/>
  <c r="A16" i="19" s="1"/>
  <c r="A17" i="19" s="1"/>
  <c r="A18" i="19" s="1"/>
  <c r="A19" i="19" s="1"/>
  <c r="A20" i="19" s="1"/>
  <c r="A21" i="19" s="1"/>
  <c r="A22" i="19" s="1"/>
  <c r="A23" i="19" s="1"/>
  <c r="A24" i="19" s="1"/>
  <c r="A25" i="19" s="1"/>
  <c r="A26" i="19" s="1"/>
  <c r="A27" i="19" s="1"/>
  <c r="F13" i="19"/>
  <c r="A14" i="18"/>
  <c r="A15" i="18" s="1"/>
  <c r="A16" i="18" s="1"/>
  <c r="A17" i="18" s="1"/>
  <c r="A18" i="18" s="1"/>
  <c r="A19" i="18" s="1"/>
  <c r="A20" i="18" s="1"/>
  <c r="A21" i="18" s="1"/>
  <c r="A22" i="18" s="1"/>
  <c r="A23" i="18" s="1"/>
  <c r="A24" i="18" s="1"/>
  <c r="A25" i="18" s="1"/>
  <c r="A26" i="18" s="1"/>
  <c r="A27" i="18" s="1"/>
  <c r="A11" i="17"/>
  <c r="A12" i="17" s="1"/>
  <c r="A13" i="17" s="1"/>
  <c r="A14" i="17" s="1"/>
  <c r="A15" i="17" s="1"/>
  <c r="A16" i="17" s="1"/>
  <c r="A17" i="17" s="1"/>
  <c r="A18" i="17" s="1"/>
  <c r="A19" i="17" s="1"/>
  <c r="A20" i="17" s="1"/>
  <c r="A21" i="17" s="1"/>
  <c r="A22" i="17" s="1"/>
  <c r="A23" i="17" s="1"/>
  <c r="A24" i="17" s="1"/>
  <c r="A12" i="15"/>
  <c r="A13" i="15" s="1"/>
  <c r="A14" i="15" s="1"/>
  <c r="A15" i="15" s="1"/>
  <c r="A16" i="15" s="1"/>
  <c r="A17" i="15" s="1"/>
  <c r="A18" i="15" s="1"/>
  <c r="A19" i="15" s="1"/>
  <c r="A20" i="15" s="1"/>
  <c r="A21" i="15" s="1"/>
  <c r="A22" i="15" s="1"/>
  <c r="A23" i="15" s="1"/>
  <c r="A24" i="15" s="1"/>
  <c r="A25" i="15" s="1"/>
  <c r="C16" i="6"/>
  <c r="C18" i="6" s="1"/>
  <c r="C14" i="14"/>
  <c r="A11" i="14"/>
  <c r="A12" i="14" s="1"/>
  <c r="A13" i="14" s="1"/>
  <c r="A14" i="14" s="1"/>
  <c r="D139" i="13"/>
  <c r="D78" i="13"/>
  <c r="A11" i="13"/>
  <c r="A12" i="13" s="1"/>
  <c r="A13" i="13" s="1"/>
  <c r="A14" i="13" s="1"/>
  <c r="A15" i="13" s="1"/>
  <c r="A16" i="13" s="1"/>
  <c r="A17" i="13" s="1"/>
  <c r="A19" i="13" s="1"/>
  <c r="A20" i="13" s="1"/>
  <c r="A21" i="13" s="1"/>
  <c r="A22" i="13" s="1"/>
  <c r="A23" i="13" s="1"/>
  <c r="A24" i="13" s="1"/>
  <c r="A25" i="13" s="1"/>
  <c r="A27" i="13" s="1"/>
  <c r="A28" i="13" s="1"/>
  <c r="A29" i="13" s="1"/>
  <c r="A30" i="13" s="1"/>
  <c r="A32" i="13" s="1"/>
  <c r="A33" i="13" s="1"/>
  <c r="A34" i="13" s="1"/>
  <c r="A35" i="13" s="1"/>
  <c r="A36" i="13" s="1"/>
  <c r="A37" i="13" s="1"/>
  <c r="A39" i="13" s="1"/>
  <c r="A40" i="13" s="1"/>
  <c r="A41" i="13" s="1"/>
  <c r="A42" i="13" s="1"/>
  <c r="A43" i="13" s="1"/>
  <c r="A44" i="13" s="1"/>
  <c r="A45" i="13" s="1"/>
  <c r="A46" i="13" s="1"/>
  <c r="A47" i="13" s="1"/>
  <c r="A48" i="13" s="1"/>
  <c r="A49" i="13" s="1"/>
  <c r="A51" i="13" s="1"/>
  <c r="A52" i="13" s="1"/>
  <c r="A53" i="13" s="1"/>
  <c r="A54" i="13" s="1"/>
  <c r="A56" i="13" s="1"/>
  <c r="A57" i="13" s="1"/>
  <c r="A58" i="13" s="1"/>
  <c r="A59" i="13" s="1"/>
  <c r="A60" i="13" s="1"/>
  <c r="A61" i="13" s="1"/>
  <c r="A62" i="13" s="1"/>
  <c r="A63" i="13" s="1"/>
  <c r="A64" i="13" s="1"/>
  <c r="A65" i="13" s="1"/>
  <c r="A66" i="13" s="1"/>
  <c r="A67" i="13" s="1"/>
  <c r="A68" i="13" s="1"/>
  <c r="A69" i="13" s="1"/>
  <c r="A70" i="13" s="1"/>
  <c r="A71" i="13" s="1"/>
  <c r="A72" i="13" s="1"/>
  <c r="A73" i="13" s="1"/>
  <c r="A74" i="13" s="1"/>
  <c r="A13" i="10"/>
  <c r="A14" i="10" s="1"/>
  <c r="A15" i="10" s="1"/>
  <c r="A16" i="10" s="1"/>
  <c r="A17" i="10" s="1"/>
  <c r="A18" i="10" s="1"/>
  <c r="A19" i="10" s="1"/>
  <c r="A20" i="10" s="1"/>
  <c r="A21" i="10" s="1"/>
  <c r="A22" i="10" s="1"/>
  <c r="A23" i="10" s="1"/>
  <c r="A24" i="10" s="1"/>
  <c r="A25" i="10" s="1"/>
  <c r="C14" i="10"/>
  <c r="C25" i="10" s="1"/>
  <c r="D16" i="10" s="1"/>
  <c r="F15" i="9"/>
  <c r="F24" i="9" s="1"/>
  <c r="E15" i="9"/>
  <c r="D15" i="9"/>
  <c r="D24" i="9" s="1"/>
  <c r="C15" i="9"/>
  <c r="A12" i="9"/>
  <c r="A13" i="9" s="1"/>
  <c r="A14" i="9" s="1"/>
  <c r="A15" i="9" s="1"/>
  <c r="A16" i="9" s="1"/>
  <c r="A17" i="9" s="1"/>
  <c r="A18" i="9" s="1"/>
  <c r="A19" i="9" s="1"/>
  <c r="A20" i="9" s="1"/>
  <c r="A21" i="9" s="1"/>
  <c r="A22" i="9" s="1"/>
  <c r="A23" i="9" s="1"/>
  <c r="A24" i="9" s="1"/>
  <c r="A10" i="8"/>
  <c r="A11" i="8" s="1"/>
  <c r="A12" i="8" s="1"/>
  <c r="A13" i="8" s="1"/>
  <c r="A14" i="8" s="1"/>
  <c r="A15" i="8" s="1"/>
  <c r="A16" i="8" s="1"/>
  <c r="A17" i="8" s="1"/>
  <c r="A18" i="8" s="1"/>
  <c r="A19" i="8" s="1"/>
  <c r="A20" i="8" s="1"/>
  <c r="A21" i="8" s="1"/>
  <c r="A22" i="8" s="1"/>
  <c r="A23" i="8" s="1"/>
  <c r="A24" i="8" s="1"/>
  <c r="A25" i="8" s="1"/>
  <c r="E15" i="6"/>
  <c r="F15" i="6" s="1"/>
  <c r="A11" i="6"/>
  <c r="A12" i="6" s="1"/>
  <c r="A13" i="6" s="1"/>
  <c r="A14" i="6" s="1"/>
  <c r="A15" i="6" s="1"/>
  <c r="A16" i="6" s="1"/>
  <c r="A17" i="6" s="1"/>
  <c r="A18" i="6" s="1"/>
  <c r="H25" i="1"/>
  <c r="G25" i="1"/>
  <c r="A12" i="1"/>
  <c r="A13" i="1" s="1"/>
  <c r="A14" i="1" s="1"/>
  <c r="A15" i="1" s="1"/>
  <c r="A16" i="1" s="1"/>
  <c r="A17" i="1" s="1"/>
  <c r="A18" i="1" s="1"/>
  <c r="A19" i="1" s="1"/>
  <c r="A20" i="1" s="1"/>
  <c r="A21" i="1" s="1"/>
  <c r="A22" i="1" s="1"/>
  <c r="A23" i="1" s="1"/>
  <c r="A24" i="1" s="1"/>
  <c r="A25" i="1" s="1"/>
  <c r="A80" i="13"/>
  <c r="A81" i="13"/>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10" i="13" s="1"/>
  <c r="A111" i="13" s="1"/>
  <c r="A112" i="13" s="1"/>
  <c r="A113" i="13" s="1"/>
  <c r="A114" i="13" s="1"/>
  <c r="A115" i="13" s="1"/>
  <c r="A116"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41" i="13"/>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9" i="13" s="1"/>
  <c r="A180" i="13" s="1"/>
  <c r="A181" i="13" s="1"/>
  <c r="A182" i="13" s="1"/>
  <c r="A183" i="13" s="1"/>
  <c r="A184" i="13" s="1"/>
  <c r="A185" i="13" s="1"/>
  <c r="A186" i="13" s="1"/>
  <c r="A187" i="13" s="1"/>
  <c r="A188" i="13" s="1"/>
  <c r="A189" i="13" s="1"/>
  <c r="A190" i="13" s="1"/>
  <c r="A191" i="13" s="1"/>
  <c r="A192" i="13" s="1"/>
  <c r="A193" i="13" s="1"/>
  <c r="A194" i="13" s="1"/>
  <c r="A196" i="13" s="1"/>
  <c r="A12" i="20" l="1"/>
  <c r="A13" i="20" s="1"/>
  <c r="A14" i="20" s="1"/>
  <c r="A15" i="20" s="1"/>
  <c r="A16" i="20" s="1"/>
  <c r="A17" i="20" s="1"/>
  <c r="A18" i="20" s="1"/>
  <c r="A19" i="20" s="1"/>
  <c r="A20" i="20" s="1"/>
  <c r="A21" i="20" s="1"/>
  <c r="E14" i="10"/>
  <c r="Q22" i="25"/>
  <c r="I15" i="1"/>
  <c r="I23" i="1"/>
  <c r="D25" i="1"/>
  <c r="I16" i="1"/>
  <c r="I13" i="1"/>
  <c r="I20" i="1"/>
  <c r="I21" i="1"/>
  <c r="I22" i="1"/>
  <c r="I19" i="1"/>
  <c r="I18" i="1"/>
  <c r="D28" i="7"/>
  <c r="E25" i="1"/>
  <c r="I11" i="1"/>
  <c r="I17" i="1"/>
  <c r="I14" i="1"/>
  <c r="E28" i="7"/>
  <c r="I12" i="1"/>
  <c r="E24" i="9"/>
  <c r="A4" i="22"/>
  <c r="A7" i="12"/>
  <c r="A5" i="14"/>
  <c r="F27" i="19"/>
  <c r="H57" i="24"/>
  <c r="A20" i="23"/>
  <c r="A21" i="23" s="1"/>
  <c r="A22" i="23" s="1"/>
  <c r="A24" i="23" s="1"/>
  <c r="A25" i="23" s="1"/>
  <c r="A23" i="23" s="1"/>
  <c r="A26" i="23" s="1"/>
  <c r="A27" i="23" s="1"/>
  <c r="A28" i="23" s="1"/>
  <c r="G62" i="24"/>
  <c r="D21" i="10"/>
  <c r="C27" i="24"/>
  <c r="C59" i="24" s="1"/>
  <c r="G73" i="22"/>
  <c r="B13" i="21"/>
  <c r="B14" i="21" s="1"/>
  <c r="B15" i="21" s="1"/>
  <c r="B16" i="21" s="1"/>
  <c r="B17" i="21" s="1"/>
  <c r="B18" i="21" s="1"/>
  <c r="B19" i="21" s="1"/>
  <c r="B20" i="21" s="1"/>
  <c r="B21" i="21" s="1"/>
  <c r="B22" i="21" s="1"/>
  <c r="B23" i="21" s="1"/>
  <c r="B24" i="21" s="1"/>
  <c r="B25" i="21" s="1"/>
  <c r="F25" i="1"/>
  <c r="D10" i="6"/>
  <c r="D18" i="10"/>
  <c r="C24" i="9"/>
  <c r="D22" i="10"/>
  <c r="K18" i="23" l="1"/>
  <c r="D12" i="10"/>
  <c r="D25" i="10" s="1"/>
  <c r="H27" i="24"/>
  <c r="B26" i="21"/>
  <c r="B27" i="21" s="1"/>
  <c r="B28" i="21" s="1"/>
  <c r="B29" i="21" s="1"/>
  <c r="U24" i="11" l="1"/>
  <c r="U39" i="11" s="1"/>
  <c r="U46" i="11" s="1"/>
  <c r="E23" i="10"/>
  <c r="E25" i="10" s="1"/>
  <c r="F14" i="10" s="1"/>
  <c r="T28" i="21"/>
  <c r="P43" i="11"/>
  <c r="L24" i="11"/>
  <c r="L39" i="11" s="1"/>
  <c r="T17" i="11"/>
  <c r="Q43" i="11"/>
  <c r="D25" i="12"/>
  <c r="E25" i="12" s="1"/>
  <c r="F25" i="12" s="1"/>
  <c r="G25" i="12" s="1"/>
  <c r="H25" i="12" s="1"/>
  <c r="I25" i="12" s="1"/>
  <c r="J25" i="12" s="1"/>
  <c r="K25" i="12" s="1"/>
  <c r="L25" i="12" s="1"/>
  <c r="M25" i="12" s="1"/>
  <c r="N25" i="12" s="1"/>
  <c r="O25" i="12" s="1"/>
  <c r="T20" i="11"/>
  <c r="T35" i="21"/>
  <c r="T33" i="21"/>
  <c r="T34" i="21"/>
  <c r="T18" i="11"/>
  <c r="J43" i="11"/>
  <c r="T27" i="21"/>
  <c r="O43" i="11"/>
  <c r="J24" i="11"/>
  <c r="J39" i="11" s="1"/>
  <c r="D18" i="12"/>
  <c r="C24" i="12"/>
  <c r="D20" i="12" s="1"/>
  <c r="D24" i="12" s="1"/>
  <c r="E20" i="12" s="1"/>
  <c r="E24" i="12" s="1"/>
  <c r="F20" i="12" s="1"/>
  <c r="F24" i="12" s="1"/>
  <c r="G20" i="12" s="1"/>
  <c r="G24" i="12" s="1"/>
  <c r="E18" i="12"/>
  <c r="K24" i="11"/>
  <c r="K39" i="11" s="1"/>
  <c r="T31" i="21"/>
  <c r="N24" i="11"/>
  <c r="N39" i="11" s="1"/>
  <c r="Q24" i="11"/>
  <c r="Q39" i="11" s="1"/>
  <c r="M24" i="11"/>
  <c r="M39" i="11" s="1"/>
  <c r="T30" i="21"/>
  <c r="I43" i="11"/>
  <c r="K43" i="11"/>
  <c r="P23" i="12"/>
  <c r="T41" i="11"/>
  <c r="T43" i="11" s="1"/>
  <c r="G43" i="11"/>
  <c r="K23" i="23"/>
  <c r="K26" i="23" s="1"/>
  <c r="R24" i="11"/>
  <c r="R39" i="11" s="1"/>
  <c r="C18" i="12"/>
  <c r="T22" i="11"/>
  <c r="T23" i="11"/>
  <c r="T16" i="11"/>
  <c r="G24" i="11"/>
  <c r="P22" i="12"/>
  <c r="T37" i="21"/>
  <c r="P24" i="11"/>
  <c r="P39" i="11" s="1"/>
  <c r="P21" i="12"/>
  <c r="T19" i="11"/>
  <c r="L43" i="11"/>
  <c r="T32" i="21"/>
  <c r="O24" i="11"/>
  <c r="O39" i="11" s="1"/>
  <c r="M43" i="11"/>
  <c r="H43" i="11"/>
  <c r="H24" i="11"/>
  <c r="H39" i="11" s="1"/>
  <c r="R43" i="11"/>
  <c r="I24" i="11"/>
  <c r="I39" i="11" s="1"/>
  <c r="I46" i="11" s="1"/>
  <c r="N43" i="11"/>
  <c r="T21" i="11"/>
  <c r="S24" i="11"/>
  <c r="S39" i="11" s="1"/>
  <c r="F18" i="12"/>
  <c r="G18" i="12" s="1"/>
  <c r="H18" i="12" s="1"/>
  <c r="I18" i="12" s="1"/>
  <c r="J18" i="12" s="1"/>
  <c r="S43" i="11"/>
  <c r="K20" i="23"/>
  <c r="H59" i="24"/>
  <c r="I59" i="24" s="1"/>
  <c r="I27" i="24"/>
  <c r="B30" i="21"/>
  <c r="B31" i="21" s="1"/>
  <c r="B32" i="21" s="1"/>
  <c r="B33" i="21" s="1"/>
  <c r="B34" i="21" s="1"/>
  <c r="B35" i="21" s="1"/>
  <c r="B36" i="21" s="1"/>
  <c r="B37" i="21" s="1"/>
  <c r="K18" i="12"/>
  <c r="M46" i="11" l="1"/>
  <c r="D26" i="12"/>
  <c r="P46" i="11"/>
  <c r="R46" i="11"/>
  <c r="S46" i="11"/>
  <c r="P25" i="12"/>
  <c r="O46" i="11"/>
  <c r="F18" i="10"/>
  <c r="K28" i="23"/>
  <c r="H46" i="11"/>
  <c r="T24" i="11"/>
  <c r="T46" i="11" s="1"/>
  <c r="N46" i="11"/>
  <c r="F16" i="10"/>
  <c r="L46" i="11"/>
  <c r="F23" i="10"/>
  <c r="J46" i="11"/>
  <c r="K46" i="11"/>
  <c r="Q46" i="11"/>
  <c r="E26" i="12"/>
  <c r="F21" i="10"/>
  <c r="F22" i="10"/>
  <c r="C26" i="12"/>
  <c r="B38" i="21"/>
  <c r="B39" i="21" s="1"/>
  <c r="B40" i="21" s="1"/>
  <c r="L18" i="12"/>
  <c r="F26" i="12"/>
  <c r="F25" i="10" l="1"/>
  <c r="M18" i="12"/>
  <c r="H20" i="12"/>
  <c r="H24" i="12" s="1"/>
  <c r="C25" i="15" l="1"/>
  <c r="G26" i="12"/>
  <c r="N18" i="12"/>
  <c r="I25" i="1" l="1"/>
  <c r="I20" i="12"/>
  <c r="I24" i="12" s="1"/>
  <c r="H26" i="12" l="1"/>
  <c r="O18" i="12"/>
  <c r="P14" i="12"/>
  <c r="P18" i="12" s="1"/>
  <c r="I26" i="12" l="1"/>
  <c r="J20" i="12"/>
  <c r="J24" i="12" l="1"/>
  <c r="K20" i="12" s="1"/>
  <c r="K24" i="12" s="1"/>
  <c r="L20" i="12" s="1"/>
  <c r="L24" i="12" s="1"/>
  <c r="T36" i="21"/>
  <c r="J26" i="12" l="1"/>
  <c r="M20" i="12"/>
  <c r="M24" i="12" s="1"/>
  <c r="K26" i="12"/>
  <c r="N20" i="12" l="1"/>
  <c r="N24" i="12" s="1"/>
  <c r="O20" i="12" s="1"/>
  <c r="O24" i="12" s="1"/>
  <c r="L26" i="12"/>
  <c r="M26" i="12" l="1"/>
  <c r="H38" i="21" l="1"/>
  <c r="D54" i="13"/>
  <c r="E19" i="15"/>
  <c r="T24" i="21"/>
  <c r="S38" i="21"/>
  <c r="F24" i="7"/>
  <c r="E15" i="15"/>
  <c r="F14" i="7"/>
  <c r="G14" i="20"/>
  <c r="J38" i="21"/>
  <c r="E13" i="15"/>
  <c r="D25" i="13"/>
  <c r="F22" i="7"/>
  <c r="G19" i="17"/>
  <c r="G11" i="17"/>
  <c r="C24" i="17"/>
  <c r="F23" i="7"/>
  <c r="D37" i="13"/>
  <c r="R38" i="21"/>
  <c r="M38" i="21"/>
  <c r="T19" i="21"/>
  <c r="F16" i="7"/>
  <c r="K38" i="21"/>
  <c r="T17" i="21"/>
  <c r="N38" i="21"/>
  <c r="T23" i="21"/>
  <c r="G17" i="17"/>
  <c r="F20" i="7"/>
  <c r="F21" i="7"/>
  <c r="T21" i="21"/>
  <c r="E23" i="15"/>
  <c r="D108" i="13"/>
  <c r="F17" i="7"/>
  <c r="T20" i="21"/>
  <c r="F24" i="17"/>
  <c r="T26" i="21"/>
  <c r="E18" i="15"/>
  <c r="C19" i="8"/>
  <c r="G16" i="17"/>
  <c r="C14" i="8"/>
  <c r="D49" i="13"/>
  <c r="T18" i="21"/>
  <c r="G12" i="17"/>
  <c r="T16" i="21"/>
  <c r="E12" i="15"/>
  <c r="O38" i="21"/>
  <c r="E21" i="15"/>
  <c r="G18" i="17"/>
  <c r="C17" i="8"/>
  <c r="G20" i="17"/>
  <c r="D177" i="13"/>
  <c r="L38" i="21"/>
  <c r="T12" i="21"/>
  <c r="C12" i="8"/>
  <c r="T15" i="21"/>
  <c r="T39" i="21" s="1"/>
  <c r="D193" i="13"/>
  <c r="T14" i="21"/>
  <c r="D24" i="8"/>
  <c r="D25" i="8" s="1"/>
  <c r="F13" i="7"/>
  <c r="E20" i="15"/>
  <c r="C11" i="8"/>
  <c r="C15" i="8"/>
  <c r="G22" i="17"/>
  <c r="Q38" i="21"/>
  <c r="E22" i="15"/>
  <c r="F12" i="7"/>
  <c r="C28" i="7"/>
  <c r="F19" i="7"/>
  <c r="D24" i="17"/>
  <c r="C22" i="8"/>
  <c r="D14" i="6"/>
  <c r="D16" i="6" s="1"/>
  <c r="D18" i="6" s="1"/>
  <c r="F14" i="6"/>
  <c r="F16" i="6" s="1"/>
  <c r="F18" i="6" s="1"/>
  <c r="E16" i="6"/>
  <c r="E18" i="6" s="1"/>
  <c r="E17" i="15"/>
  <c r="T29" i="21"/>
  <c r="D194" i="13"/>
  <c r="G16" i="20"/>
  <c r="D73" i="13"/>
  <c r="D116" i="13"/>
  <c r="C13" i="8"/>
  <c r="F18" i="7"/>
  <c r="G15" i="17"/>
  <c r="P38" i="21"/>
  <c r="E14" i="15"/>
  <c r="G13" i="17"/>
  <c r="C16" i="8"/>
  <c r="E11" i="15"/>
  <c r="D25" i="15"/>
  <c r="G14" i="17"/>
  <c r="T13" i="21"/>
  <c r="I38" i="21"/>
  <c r="G15" i="9"/>
  <c r="G24" i="9" s="1"/>
  <c r="T22" i="21"/>
  <c r="T25" i="21"/>
  <c r="E24" i="17"/>
  <c r="G10" i="17"/>
  <c r="F15" i="7"/>
  <c r="C20" i="8"/>
  <c r="C18" i="8"/>
  <c r="D72" i="13"/>
  <c r="C21" i="8"/>
  <c r="G21" i="17"/>
  <c r="D135" i="13"/>
  <c r="D17" i="13"/>
  <c r="E16" i="15"/>
  <c r="N26" i="12"/>
  <c r="G17" i="20" l="1"/>
  <c r="G21" i="20" s="1"/>
  <c r="E25" i="15"/>
  <c r="T38" i="21"/>
  <c r="T40" i="21" s="1"/>
  <c r="G24" i="17"/>
  <c r="F28" i="7"/>
  <c r="D74" i="13"/>
  <c r="D196" i="13"/>
  <c r="P20" i="12"/>
  <c r="O26" i="12" l="1"/>
  <c r="P24" i="12"/>
  <c r="P26" i="12" s="1"/>
  <c r="G74" i="20"/>
  <c r="G77" i="20" s="1"/>
</calcChain>
</file>

<file path=xl/sharedStrings.xml><?xml version="1.0" encoding="utf-8"?>
<sst xmlns="http://schemas.openxmlformats.org/spreadsheetml/2006/main" count="1605" uniqueCount="730">
  <si>
    <t>Otter Tail Power Company</t>
  </si>
  <si>
    <t>(A)</t>
  </si>
  <si>
    <t>(B)</t>
  </si>
  <si>
    <t>(C)</t>
  </si>
  <si>
    <t>(D)</t>
  </si>
  <si>
    <t>(E)</t>
  </si>
  <si>
    <t>(G)</t>
  </si>
  <si>
    <t>(F)</t>
  </si>
  <si>
    <t>Line</t>
  </si>
  <si>
    <t>Unclassified</t>
  </si>
  <si>
    <t>No.</t>
  </si>
  <si>
    <t>Production</t>
  </si>
  <si>
    <t>Transmission</t>
  </si>
  <si>
    <t>Distribution</t>
  </si>
  <si>
    <t>Intangible</t>
  </si>
  <si>
    <t>Reserve</t>
  </si>
  <si>
    <t>Total</t>
  </si>
  <si>
    <t>February</t>
  </si>
  <si>
    <t>March</t>
  </si>
  <si>
    <t>April</t>
  </si>
  <si>
    <t>May</t>
  </si>
  <si>
    <t>June</t>
  </si>
  <si>
    <t>July</t>
  </si>
  <si>
    <t>August</t>
  </si>
  <si>
    <t>September</t>
  </si>
  <si>
    <t>October</t>
  </si>
  <si>
    <t>November</t>
  </si>
  <si>
    <t>December</t>
  </si>
  <si>
    <t>13-Month Average</t>
  </si>
  <si>
    <t>Plant Account Balances</t>
  </si>
  <si>
    <t>(H)</t>
  </si>
  <si>
    <t>(I)</t>
  </si>
  <si>
    <t>(J)</t>
  </si>
  <si>
    <t>FERC</t>
  </si>
  <si>
    <t>January</t>
  </si>
  <si>
    <t>Description</t>
  </si>
  <si>
    <t>Plant Held for Future Use</t>
  </si>
  <si>
    <t>Accumulated Deferred Income Tax</t>
  </si>
  <si>
    <t>Line No.</t>
  </si>
  <si>
    <t>Balance Per Books</t>
  </si>
  <si>
    <t>Change</t>
  </si>
  <si>
    <t>Account 282 ADIT - Utility operations</t>
  </si>
  <si>
    <t>Account 283 ADIT Other utility operations</t>
  </si>
  <si>
    <t>Account 283.10 ADIT Big Stone</t>
  </si>
  <si>
    <t>Account 190 Accumulated Deferred Income Taxes  - Utility</t>
  </si>
  <si>
    <t>Materials and Supplies</t>
  </si>
  <si>
    <t>End of Month</t>
  </si>
  <si>
    <t>Total M&amp;S</t>
  </si>
  <si>
    <t>Prepayments</t>
  </si>
  <si>
    <t>Monthly Change</t>
  </si>
  <si>
    <t>Prepaid Insurance and Interest                 FERC 165</t>
  </si>
  <si>
    <t>Depreciation Expense</t>
  </si>
  <si>
    <t>Minnesota</t>
  </si>
  <si>
    <t>North Dakota</t>
  </si>
  <si>
    <t>South Dakota</t>
  </si>
  <si>
    <t xml:space="preserve">  Steam (Excl Un Tr &amp; Ort)</t>
  </si>
  <si>
    <t xml:space="preserve">  Hydro</t>
  </si>
  <si>
    <t xml:space="preserve">  Other - I.C.</t>
  </si>
  <si>
    <t xml:space="preserve">  Other - Wind</t>
  </si>
  <si>
    <t xml:space="preserve">    Total Production</t>
  </si>
  <si>
    <t xml:space="preserve">  Transmission</t>
  </si>
  <si>
    <t xml:space="preserve">  Distribution</t>
  </si>
  <si>
    <t xml:space="preserve">     Total</t>
  </si>
  <si>
    <t>Labor Ratios</t>
  </si>
  <si>
    <t>Function Labor</t>
  </si>
  <si>
    <t>Amount</t>
  </si>
  <si>
    <t>Portion of  Total</t>
  </si>
  <si>
    <t xml:space="preserve"> </t>
  </si>
  <si>
    <t>Customer Accounts</t>
  </si>
  <si>
    <t>Customer Service &amp; Information, &amp; Sales</t>
  </si>
  <si>
    <t xml:space="preserve">    Subtotal</t>
  </si>
  <si>
    <t>Budget 2009</t>
  </si>
  <si>
    <t>Total Production</t>
  </si>
  <si>
    <t>Embedded Cost of Debt Capital</t>
  </si>
  <si>
    <t>(K)</t>
  </si>
  <si>
    <t>(L)</t>
  </si>
  <si>
    <t>(M)</t>
  </si>
  <si>
    <t>(N)</t>
  </si>
  <si>
    <t>(O)</t>
  </si>
  <si>
    <t>(P)</t>
  </si>
  <si>
    <t>(Q)</t>
  </si>
  <si>
    <t>Rate</t>
  </si>
  <si>
    <t>Interest</t>
  </si>
  <si>
    <t>of</t>
  </si>
  <si>
    <t>Monthly</t>
  </si>
  <si>
    <t>Cost</t>
  </si>
  <si>
    <t>Principal Amounts Outstanding</t>
  </si>
  <si>
    <t>Balances</t>
  </si>
  <si>
    <t>Debentures</t>
  </si>
  <si>
    <t xml:space="preserve">  Total Debentures</t>
  </si>
  <si>
    <t>Pollution Control Revenue Bonds</t>
  </si>
  <si>
    <t>4.65% series 2017 PCR Bonds (BSP)</t>
  </si>
  <si>
    <t>4.85% Series 2022 PCR Bonds (Coyote)</t>
  </si>
  <si>
    <t xml:space="preserve">    Total Poll Control </t>
  </si>
  <si>
    <t>Total Long-Term Debt Capital</t>
  </si>
  <si>
    <t>Common Equity</t>
  </si>
  <si>
    <t>Title</t>
  </si>
  <si>
    <t xml:space="preserve">    Current Year Capital Contributions </t>
  </si>
  <si>
    <t>Common Stock Balance</t>
  </si>
  <si>
    <t>Retained Earnings -</t>
  </si>
  <si>
    <t>End of Month Balance</t>
  </si>
  <si>
    <t>Total Electric Common Equity</t>
  </si>
  <si>
    <t xml:space="preserve">   Other</t>
  </si>
  <si>
    <t>Accounts</t>
  </si>
  <si>
    <t xml:space="preserve">   Station Equipment</t>
  </si>
  <si>
    <t xml:space="preserve">   Radio Load Control Equipment</t>
  </si>
  <si>
    <t>Steam Power Generation:</t>
  </si>
  <si>
    <t xml:space="preserve">   Supervision and Engineering</t>
  </si>
  <si>
    <t>401 - 500</t>
  </si>
  <si>
    <t xml:space="preserve">   Fuel</t>
  </si>
  <si>
    <t>401 - 501</t>
  </si>
  <si>
    <t xml:space="preserve">   Steam Expense</t>
  </si>
  <si>
    <t>401 - 502</t>
  </si>
  <si>
    <t xml:space="preserve">   Electrical Expense</t>
  </si>
  <si>
    <t>401 - 505</t>
  </si>
  <si>
    <t xml:space="preserve">   Miscellaneous Expense</t>
  </si>
  <si>
    <t>401 - 506</t>
  </si>
  <si>
    <t xml:space="preserve">   Rent</t>
  </si>
  <si>
    <t>401 - 507</t>
  </si>
  <si>
    <t>Maintenance:</t>
  </si>
  <si>
    <t>402 - 510</t>
  </si>
  <si>
    <t xml:space="preserve">   Structures</t>
  </si>
  <si>
    <t>402 - 511</t>
  </si>
  <si>
    <t xml:space="preserve">   Boiler</t>
  </si>
  <si>
    <t>402 - 512</t>
  </si>
  <si>
    <t xml:space="preserve">   Electric</t>
  </si>
  <si>
    <t>402 - 513</t>
  </si>
  <si>
    <t xml:space="preserve">   Miscellaneous</t>
  </si>
  <si>
    <t>402 - 514</t>
  </si>
  <si>
    <t>Hydro:</t>
  </si>
  <si>
    <t>401 - 535</t>
  </si>
  <si>
    <t xml:space="preserve">   Electric Expense</t>
  </si>
  <si>
    <t>401 - 539</t>
  </si>
  <si>
    <t xml:space="preserve">   Supervision &amp; Engineering</t>
  </si>
  <si>
    <t>402 - 541</t>
  </si>
  <si>
    <t>402 - 542</t>
  </si>
  <si>
    <t xml:space="preserve">   Reservoirs - Dams</t>
  </si>
  <si>
    <t>402 - 543</t>
  </si>
  <si>
    <t>402 - 544</t>
  </si>
  <si>
    <t>402 - 545</t>
  </si>
  <si>
    <t>IC:</t>
  </si>
  <si>
    <t>401 - 546</t>
  </si>
  <si>
    <t>401 - 547</t>
  </si>
  <si>
    <t xml:space="preserve">   Generation Expense</t>
  </si>
  <si>
    <t>401 - 548</t>
  </si>
  <si>
    <t>401 - 549</t>
  </si>
  <si>
    <t xml:space="preserve">   Rents</t>
  </si>
  <si>
    <t>401 - 550</t>
  </si>
  <si>
    <t>402 - 551</t>
  </si>
  <si>
    <t>402 - 552</t>
  </si>
  <si>
    <t xml:space="preserve">   Generating and Electric</t>
  </si>
  <si>
    <t>402 - 553</t>
  </si>
  <si>
    <t>402 - 554</t>
  </si>
  <si>
    <t>Other Power Supply Expenses:</t>
  </si>
  <si>
    <t xml:space="preserve">   System Control and Dispatch</t>
  </si>
  <si>
    <t>401 - 556</t>
  </si>
  <si>
    <t xml:space="preserve">   Other Expenses</t>
  </si>
  <si>
    <t>401 - 557</t>
  </si>
  <si>
    <t>401 - 560</t>
  </si>
  <si>
    <t xml:space="preserve">   Load Dispatching</t>
  </si>
  <si>
    <t>401 - 561</t>
  </si>
  <si>
    <t xml:space="preserve">   Station Expense</t>
  </si>
  <si>
    <t>401 - 562</t>
  </si>
  <si>
    <t xml:space="preserve">   Overhead Lines</t>
  </si>
  <si>
    <t>401 - 563</t>
  </si>
  <si>
    <t xml:space="preserve">   Transmission of Electricity by Others</t>
  </si>
  <si>
    <t>401 - 565</t>
  </si>
  <si>
    <t>401 - 566</t>
  </si>
  <si>
    <t>401 - 567</t>
  </si>
  <si>
    <t>402 - 568</t>
  </si>
  <si>
    <t xml:space="preserve">   Computer Hardware, Software, etc</t>
  </si>
  <si>
    <t>402 - 569</t>
  </si>
  <si>
    <t>402 - 570</t>
  </si>
  <si>
    <t xml:space="preserve">   Overhead System</t>
  </si>
  <si>
    <t>402 - 571</t>
  </si>
  <si>
    <t xml:space="preserve">   Underground Lines</t>
  </si>
  <si>
    <t>402 - 572</t>
  </si>
  <si>
    <t xml:space="preserve">   Maintenance of Miscellaneous Plant</t>
  </si>
  <si>
    <t>402 - 573</t>
  </si>
  <si>
    <t xml:space="preserve">   Day-Ahead &amp; Real-Time and Transmission Market Expense</t>
  </si>
  <si>
    <t>401 - 575</t>
  </si>
  <si>
    <t xml:space="preserve">   Computer Software</t>
  </si>
  <si>
    <t>402 - 576</t>
  </si>
  <si>
    <t>Distribution Expense:</t>
  </si>
  <si>
    <t xml:space="preserve">   Operation, Supervision &amp; Engineering</t>
  </si>
  <si>
    <t>401 - 580</t>
  </si>
  <si>
    <t>401 - 581</t>
  </si>
  <si>
    <t xml:space="preserve">   Station Expenses</t>
  </si>
  <si>
    <t>401 - 582</t>
  </si>
  <si>
    <t xml:space="preserve">   Line Expenses</t>
  </si>
  <si>
    <t>401 - 583</t>
  </si>
  <si>
    <t xml:space="preserve">   Underground Line Expenses</t>
  </si>
  <si>
    <t>401 - 584</t>
  </si>
  <si>
    <t xml:space="preserve">   Streetlighting &amp; Signal System</t>
  </si>
  <si>
    <t>401 - 585</t>
  </si>
  <si>
    <t xml:space="preserve">     Not Used</t>
  </si>
  <si>
    <t>401 - 586.01</t>
  </si>
  <si>
    <t>401 - 586.02</t>
  </si>
  <si>
    <t>401 - 586.03</t>
  </si>
  <si>
    <t>401 - 586.04</t>
  </si>
  <si>
    <t>401 - 586.05</t>
  </si>
  <si>
    <t>401 - 586.06</t>
  </si>
  <si>
    <t>401 - 586.07</t>
  </si>
  <si>
    <t xml:space="preserve">   Meter Expenses:</t>
  </si>
  <si>
    <t>401 - 586</t>
  </si>
  <si>
    <t xml:space="preserve">   Other Distribution Expenses</t>
  </si>
  <si>
    <t>401 - 587</t>
  </si>
  <si>
    <t xml:space="preserve">   Miscellaneous Distribution Expenses</t>
  </si>
  <si>
    <t>401 - 588</t>
  </si>
  <si>
    <t>401 - 589</t>
  </si>
  <si>
    <t xml:space="preserve">   Maintenance, Supervision &amp; Engineering</t>
  </si>
  <si>
    <t>402 - 590</t>
  </si>
  <si>
    <t xml:space="preserve">   Maintenance of Station Equipment</t>
  </si>
  <si>
    <t>402 - 592</t>
  </si>
  <si>
    <t xml:space="preserve">   Maintenance of Overhead Lines</t>
  </si>
  <si>
    <t>402 - 593</t>
  </si>
  <si>
    <t xml:space="preserve">   Maintenance of Underground Lines</t>
  </si>
  <si>
    <t>402 - 594</t>
  </si>
  <si>
    <t xml:space="preserve">   Maintenance of Line Transformers</t>
  </si>
  <si>
    <t>402 - 595</t>
  </si>
  <si>
    <t xml:space="preserve">   Maintenance of Streetlighting &amp; Signal</t>
  </si>
  <si>
    <t>402 - 596</t>
  </si>
  <si>
    <t xml:space="preserve">   Maintenance of Meters:</t>
  </si>
  <si>
    <t>402 - 597.01</t>
  </si>
  <si>
    <t>402 - 597.02</t>
  </si>
  <si>
    <t>402 - 597.03</t>
  </si>
  <si>
    <t xml:space="preserve">   Maintenance of Property in A/C 371</t>
  </si>
  <si>
    <t>402 - 598</t>
  </si>
  <si>
    <t>Customer Accounting:</t>
  </si>
  <si>
    <t xml:space="preserve">   Supervision</t>
  </si>
  <si>
    <t>401 - 901</t>
  </si>
  <si>
    <t xml:space="preserve">   Meter Reading Expenses</t>
  </si>
  <si>
    <t>401 - 902</t>
  </si>
  <si>
    <t xml:space="preserve">   Customer Records &amp; Collection Expense</t>
  </si>
  <si>
    <t>401 - 903</t>
  </si>
  <si>
    <t xml:space="preserve">   Uncollectible Accounts</t>
  </si>
  <si>
    <t>401 - 904</t>
  </si>
  <si>
    <t xml:space="preserve">   Miscellaneous Expenses</t>
  </si>
  <si>
    <t>401 - 905</t>
  </si>
  <si>
    <t>Customer Service and Information Expense:</t>
  </si>
  <si>
    <t>401 - 907</t>
  </si>
  <si>
    <t xml:space="preserve">   Customer Assistance Expenses</t>
  </si>
  <si>
    <t xml:space="preserve">     Salary</t>
  </si>
  <si>
    <t>401 - 908</t>
  </si>
  <si>
    <t>401 - 908.2</t>
  </si>
  <si>
    <t>401 - 908.3</t>
  </si>
  <si>
    <t>401 - 908.4</t>
  </si>
  <si>
    <t>401 - 908.11</t>
  </si>
  <si>
    <t>401 - 908.12</t>
  </si>
  <si>
    <t>401 - 908.13</t>
  </si>
  <si>
    <t xml:space="preserve">     Conservation Investment Program - SD</t>
  </si>
  <si>
    <t>401 - 908.16</t>
  </si>
  <si>
    <t xml:space="preserve">     Conservation Investment Program - ND</t>
  </si>
  <si>
    <t>401 - 908.17</t>
  </si>
  <si>
    <t xml:space="preserve">     Conservation Investment Program - MN</t>
  </si>
  <si>
    <t>401 - 908.18</t>
  </si>
  <si>
    <t>401 - 908.22</t>
  </si>
  <si>
    <t>401 - 908.23</t>
  </si>
  <si>
    <t xml:space="preserve">     Info &amp; Instr Advertising Expense</t>
  </si>
  <si>
    <t>401 - 909</t>
  </si>
  <si>
    <t xml:space="preserve">     Miscellaneous Expenses</t>
  </si>
  <si>
    <t>401 - 910</t>
  </si>
  <si>
    <t>Sales Expenses:</t>
  </si>
  <si>
    <t xml:space="preserve">   Supervisory Labor and Expenses</t>
  </si>
  <si>
    <t>401 - 911</t>
  </si>
  <si>
    <t xml:space="preserve">   Minnesota Economic Development</t>
  </si>
  <si>
    <t>401 - 912</t>
  </si>
  <si>
    <t xml:space="preserve">   North Dakota Economic Development</t>
  </si>
  <si>
    <t xml:space="preserve">   South Dakota Economic Development</t>
  </si>
  <si>
    <t xml:space="preserve">   Labor - Sales &amp; Demonstrations</t>
  </si>
  <si>
    <t>401 - 912.04</t>
  </si>
  <si>
    <t xml:space="preserve">   Expenses - Sales &amp; Demonstrations</t>
  </si>
  <si>
    <t xml:space="preserve">   Not Used</t>
  </si>
  <si>
    <t>401 - 912.10</t>
  </si>
  <si>
    <t>401 - 912.11 &amp;12</t>
  </si>
  <si>
    <t>401 - 912.13</t>
  </si>
  <si>
    <t>401 - 912.14</t>
  </si>
  <si>
    <t>401 - 912.20</t>
  </si>
  <si>
    <t>401 - 912.21 &amp; .22</t>
  </si>
  <si>
    <t>401 - 912.23</t>
  </si>
  <si>
    <t>401 - 912.24</t>
  </si>
  <si>
    <t>401 - 912.30</t>
  </si>
  <si>
    <t>401 - 912.32</t>
  </si>
  <si>
    <t>401 - 912.33</t>
  </si>
  <si>
    <t>401 - 912.34</t>
  </si>
  <si>
    <t xml:space="preserve">   Advertising</t>
  </si>
  <si>
    <t>401 - 913</t>
  </si>
  <si>
    <t xml:space="preserve">   Communciations Services</t>
  </si>
  <si>
    <t>401 - 916</t>
  </si>
  <si>
    <t>401 - 916.02</t>
  </si>
  <si>
    <t>401 - 916.03</t>
  </si>
  <si>
    <t>401 - 916.04</t>
  </si>
  <si>
    <t>401 - 916.08</t>
  </si>
  <si>
    <t>401 - 916.10</t>
  </si>
  <si>
    <t>401 - 916.11</t>
  </si>
  <si>
    <t>401 - 916.12</t>
  </si>
  <si>
    <t>401 - 916.13</t>
  </si>
  <si>
    <t>401 - 916.20</t>
  </si>
  <si>
    <t>401 - 916.21</t>
  </si>
  <si>
    <t>401 - 916.22</t>
  </si>
  <si>
    <t>401 - 916.23</t>
  </si>
  <si>
    <t>401 - 916.30</t>
  </si>
  <si>
    <t>401 - 916.31</t>
  </si>
  <si>
    <t>401 - 916.32</t>
  </si>
  <si>
    <t>401 - 916.33</t>
  </si>
  <si>
    <t>Operating Expenses - Admin &amp; General:</t>
  </si>
  <si>
    <t xml:space="preserve">   Salaries, Office Supplies &amp; Expenses</t>
  </si>
  <si>
    <t>401 - 920</t>
  </si>
  <si>
    <t xml:space="preserve">   Various Admin &amp; General Expenses</t>
  </si>
  <si>
    <t>401 - 921</t>
  </si>
  <si>
    <t xml:space="preserve">   Capitalized Admin &amp; General Expenses</t>
  </si>
  <si>
    <t>401 - 922</t>
  </si>
  <si>
    <t xml:space="preserve">   Outside Services Employed</t>
  </si>
  <si>
    <t>401 - 923</t>
  </si>
  <si>
    <t xml:space="preserve">   Property Insurance</t>
  </si>
  <si>
    <t>401 - 924</t>
  </si>
  <si>
    <t xml:space="preserve">   Injuries &amp; Damages</t>
  </si>
  <si>
    <t>401 - 925</t>
  </si>
  <si>
    <t xml:space="preserve">   Employee Pensions &amp; Benefits</t>
  </si>
  <si>
    <t>401 - 926</t>
  </si>
  <si>
    <t xml:space="preserve">   Regulatory Commission Expenses</t>
  </si>
  <si>
    <t>401 - 928</t>
  </si>
  <si>
    <t xml:space="preserve">   Miscellaneous General Expenses</t>
  </si>
  <si>
    <t>401 - 930</t>
  </si>
  <si>
    <t xml:space="preserve">   Informational Advertising</t>
  </si>
  <si>
    <t>401 - 930.01</t>
  </si>
  <si>
    <t>401 - 931</t>
  </si>
  <si>
    <t xml:space="preserve">   Maintenance Expenses</t>
  </si>
  <si>
    <t>402 - 935</t>
  </si>
  <si>
    <t>402 - 935.06</t>
  </si>
  <si>
    <t>Subtotal</t>
  </si>
  <si>
    <t>Statement Amounts</t>
  </si>
  <si>
    <t>Less: 930.01 (Included in 930.0)</t>
  </si>
  <si>
    <t>Labor &amp; Travel Expenses</t>
  </si>
  <si>
    <t>Repair Parts&amp; Supplies</t>
  </si>
  <si>
    <t>Maintenance of Load Management Switches</t>
  </si>
  <si>
    <t>Total Operating Expenses - Admin &amp; General</t>
  </si>
  <si>
    <t>Investment Tax Credit</t>
  </si>
  <si>
    <t>Accout 255</t>
  </si>
  <si>
    <t>Current Year ITC Amortization</t>
  </si>
  <si>
    <t xml:space="preserve">North Dakota Wind ITC </t>
  </si>
  <si>
    <t>Account 283 Subtotal</t>
  </si>
  <si>
    <t>Simple Average Calculation</t>
  </si>
  <si>
    <t>Total Utility Accumulated Deferred Income Taxes Per Books</t>
  </si>
  <si>
    <t>Total Steam Power Generation</t>
  </si>
  <si>
    <t>Total Maintenance</t>
  </si>
  <si>
    <t>Total Hydro</t>
  </si>
  <si>
    <t>Total IC</t>
  </si>
  <si>
    <t>Total Other Power Supply Expenses</t>
  </si>
  <si>
    <t>Transmission:</t>
  </si>
  <si>
    <t>Total Distribution Expense</t>
  </si>
  <si>
    <t>Total Customer Accounting</t>
  </si>
  <si>
    <t>Total Customer Service and Information Expense</t>
  </si>
  <si>
    <t>Total Sales Expense</t>
  </si>
  <si>
    <t>Total Other</t>
  </si>
  <si>
    <t>Other:</t>
  </si>
  <si>
    <t>General &amp; Intangible</t>
  </si>
  <si>
    <t>CapX 2020 CWIP 13-Month Average</t>
  </si>
  <si>
    <t>CAPX 2020 Bemidji</t>
  </si>
  <si>
    <t>CAPX 2020 Fargo</t>
  </si>
  <si>
    <t>CAPX 2020 Brookings</t>
  </si>
  <si>
    <t>(103487)</t>
  </si>
  <si>
    <t>Operating and Maintenance Expense</t>
  </si>
  <si>
    <t>Net Prefunded AFUDC on CWIP</t>
  </si>
  <si>
    <t>Project</t>
  </si>
  <si>
    <t>Total Transmission O&amp;M for Attachment O</t>
  </si>
  <si>
    <t xml:space="preserve">                  Total Transmission</t>
  </si>
  <si>
    <t xml:space="preserve">                  Less: FERC 575 &amp; 576</t>
  </si>
  <si>
    <t>Administrative &amp; General Expense</t>
  </si>
  <si>
    <t>Administrative &amp; General Expenses</t>
  </si>
  <si>
    <t>FERC Annual Fees:</t>
  </si>
  <si>
    <t>Filing Fees</t>
  </si>
  <si>
    <t>(1)</t>
  </si>
  <si>
    <t>(2)</t>
  </si>
  <si>
    <t>EPRI &amp; Regulatory Commission Expense &amp; Non-safety Ad:</t>
  </si>
  <si>
    <t>Regulatory Commission Expenses</t>
  </si>
  <si>
    <t>Less: FERC Annual Fees</t>
  </si>
  <si>
    <t>Plus: Informational Advertising</t>
  </si>
  <si>
    <t>External Services - FERC Transmission Legal Fees</t>
  </si>
  <si>
    <t>Total A&amp;G Expenses</t>
  </si>
  <si>
    <t>BU</t>
  </si>
  <si>
    <t>CC</t>
  </si>
  <si>
    <t>Sub</t>
  </si>
  <si>
    <t>Misc</t>
  </si>
  <si>
    <t>100</t>
  </si>
  <si>
    <t>0570</t>
  </si>
  <si>
    <t>5101</t>
  </si>
  <si>
    <t>2500</t>
  </si>
  <si>
    <t>000000</t>
  </si>
  <si>
    <t>5100</t>
  </si>
  <si>
    <t>1100</t>
  </si>
  <si>
    <t>0690</t>
  </si>
  <si>
    <t>0850</t>
  </si>
  <si>
    <t>Meals</t>
  </si>
  <si>
    <t>2600</t>
  </si>
  <si>
    <t>Travel</t>
  </si>
  <si>
    <t>5103</t>
  </si>
  <si>
    <t>0000</t>
  </si>
  <si>
    <t>External Services</t>
  </si>
  <si>
    <t>0670</t>
  </si>
  <si>
    <t>5110</t>
  </si>
  <si>
    <t>1000</t>
  </si>
  <si>
    <t>Filing Fees and Assessments</t>
  </si>
  <si>
    <t>5106</t>
  </si>
  <si>
    <t>2000</t>
  </si>
  <si>
    <t xml:space="preserve">Total </t>
  </si>
  <si>
    <t>Less: Corporate Amounts</t>
  </si>
  <si>
    <t>Forecast</t>
  </si>
  <si>
    <t>Item</t>
  </si>
  <si>
    <t>Account</t>
  </si>
  <si>
    <t>Sub-Acct</t>
  </si>
  <si>
    <t>Jan</t>
  </si>
  <si>
    <t>Feb</t>
  </si>
  <si>
    <t>Mar</t>
  </si>
  <si>
    <t>Apr</t>
  </si>
  <si>
    <t>Jun</t>
  </si>
  <si>
    <t>Jul</t>
  </si>
  <si>
    <t>Aug</t>
  </si>
  <si>
    <t>Sep</t>
  </si>
  <si>
    <t>Oct</t>
  </si>
  <si>
    <t>Nov</t>
  </si>
  <si>
    <t>Dec</t>
  </si>
  <si>
    <t>Property Taxes</t>
  </si>
  <si>
    <t>1020 Hoot Lake Plant</t>
  </si>
  <si>
    <t>1100 Big Stone Plant</t>
  </si>
  <si>
    <t>1200 Coyote Plant</t>
  </si>
  <si>
    <t>1200 ND Conversion Tax</t>
  </si>
  <si>
    <t>1310 Hoot Lake Hydro</t>
  </si>
  <si>
    <t>1320 Wright Hydro</t>
  </si>
  <si>
    <t>1330 Pisgah Hydro</t>
  </si>
  <si>
    <t>1340 Dayton Hollow Hydro</t>
  </si>
  <si>
    <t>1350 Taplin Gorge Hydro</t>
  </si>
  <si>
    <t>1380 Bemidji Hydro</t>
  </si>
  <si>
    <t>1400 Jamestown CT</t>
  </si>
  <si>
    <t>1410 Lake Preston CT</t>
  </si>
  <si>
    <t>1430 Fergus Control Center Unit #1</t>
  </si>
  <si>
    <t>1440 Solway Combustion Turbine</t>
  </si>
  <si>
    <t>1600 Langdon</t>
  </si>
  <si>
    <t>1610 Ashtabula</t>
  </si>
  <si>
    <t>1620 Luverne</t>
  </si>
  <si>
    <t>T&amp;D and General Assets</t>
  </si>
  <si>
    <t>CAPX2020</t>
  </si>
  <si>
    <t>Others</t>
  </si>
  <si>
    <t>1990 Transportation</t>
  </si>
  <si>
    <t>0360</t>
  </si>
  <si>
    <t>0460</t>
  </si>
  <si>
    <t>Year</t>
  </si>
  <si>
    <t>Acct</t>
  </si>
  <si>
    <t>Acty</t>
  </si>
  <si>
    <t>Proj</t>
  </si>
  <si>
    <t>Co</t>
  </si>
  <si>
    <t>0310</t>
  </si>
  <si>
    <t>5615</t>
  </si>
  <si>
    <t>0320</t>
  </si>
  <si>
    <t>Total FERC Acct 561</t>
  </si>
  <si>
    <t>Totals</t>
  </si>
  <si>
    <t>(1)  Not included in Attachment O calculation.</t>
  </si>
  <si>
    <t>FERC Account 561</t>
  </si>
  <si>
    <t>Revenues</t>
  </si>
  <si>
    <t>ITA Deficiency Payments</t>
  </si>
  <si>
    <t>Wheeling</t>
  </si>
  <si>
    <t>MISO Tariff Revenue</t>
  </si>
  <si>
    <t>4110</t>
  </si>
  <si>
    <t>4540</t>
  </si>
  <si>
    <t>Rent from Electric Property:</t>
  </si>
  <si>
    <t>Less: Schedule 1 &amp; 2 Revenue</t>
  </si>
  <si>
    <t>Other Electric Revenue:</t>
  </si>
  <si>
    <t>Total Other Electric Revenue</t>
  </si>
  <si>
    <t>Less: Other Plant Related Taxes</t>
  </si>
  <si>
    <t xml:space="preserve">   Total Property Taxes</t>
  </si>
  <si>
    <t>Project (103487)</t>
  </si>
  <si>
    <t>MTEP No. 279</t>
  </si>
  <si>
    <t>MTEP No. 286</t>
  </si>
  <si>
    <t>MTEP No. 1203</t>
  </si>
  <si>
    <t>Project (103897)</t>
  </si>
  <si>
    <t>MTEP No. 1462</t>
  </si>
  <si>
    <t>13-Month Average CWIP and Plant Balances for GG Projects</t>
  </si>
  <si>
    <t>Total Depreciation Expense</t>
  </si>
  <si>
    <t>13-Month Average Accumulated Depreciation and Net Plant for GG Projects</t>
  </si>
  <si>
    <t>13-Month Net Plant Balance</t>
  </si>
  <si>
    <t>13-Month Average A/D</t>
  </si>
  <si>
    <t>Accumulated</t>
  </si>
  <si>
    <t>Depreciation</t>
  </si>
  <si>
    <t>Rugby - G380</t>
  </si>
  <si>
    <t>AQCS Big Stone Plant</t>
  </si>
  <si>
    <t>401 - 537 &amp; 538</t>
  </si>
  <si>
    <t>Rents</t>
  </si>
  <si>
    <t>401 - 540</t>
  </si>
  <si>
    <t>Average</t>
  </si>
  <si>
    <t>Unsecured Series A 2017 Senior Notes</t>
  </si>
  <si>
    <t>Unsecured Series B 2022 Senior Notes</t>
  </si>
  <si>
    <t>Unsecured Series C 2027 Senior Notes</t>
  </si>
  <si>
    <t>Series D 2037 Unsecured Senior Notes</t>
  </si>
  <si>
    <t>New 2011 December Debt/2021</t>
  </si>
  <si>
    <t>Dividend Series</t>
  </si>
  <si>
    <t>Formerly $3.60 Dividend Series, 60,000 shares</t>
  </si>
  <si>
    <t>Formerly $4.40 Dividend Series, 25,000 shares</t>
  </si>
  <si>
    <t>Formerly $4.65 Dividend Series, 30,000 shares</t>
  </si>
  <si>
    <t>Formerly $6.75 Dividend Series, 40,000 shares</t>
  </si>
  <si>
    <t>Total Dividend Series</t>
  </si>
  <si>
    <t>Loss/Gain on Reacquired Debt</t>
  </si>
  <si>
    <t xml:space="preserve">Less:  </t>
  </si>
  <si>
    <t>Total Other Electric Revenue w/o Wheeling &amp; Sch 26</t>
  </si>
  <si>
    <t>General &amp;</t>
  </si>
  <si>
    <t>(1)  See Detail below</t>
  </si>
  <si>
    <t>0760</t>
  </si>
  <si>
    <t>0100</t>
  </si>
  <si>
    <t>Remove Loss/Gain on Reacquired Debt</t>
  </si>
  <si>
    <t>Other Operating Revenues</t>
  </si>
  <si>
    <t>Otter Tail Power</t>
  </si>
  <si>
    <t>Code</t>
  </si>
  <si>
    <t>4045.0000.4560</t>
  </si>
  <si>
    <t>Other Power Supply Rev / Misc MISO Trans Rev</t>
  </si>
  <si>
    <t>4045.0010.4560</t>
  </si>
  <si>
    <t>Other Power Supply Rev / MISO Trans Rev Sched 1</t>
  </si>
  <si>
    <t>4045.0020.4560</t>
  </si>
  <si>
    <t>Other Power Supply Rev / MISO Trans Rev Sched 2</t>
  </si>
  <si>
    <t>4045.0070.4560</t>
  </si>
  <si>
    <t>Other Power Supply Rev / MISO Trans Rev Sched 7</t>
  </si>
  <si>
    <t>4045.0080.4560</t>
  </si>
  <si>
    <t>Other Power Supply Rev / MISO Trans Rev Sched 8</t>
  </si>
  <si>
    <t>4045.0240.4560</t>
  </si>
  <si>
    <t>Other Power Supply Rev / MISO Trans Rev Sched 24</t>
  </si>
  <si>
    <t>4045.0260.4560</t>
  </si>
  <si>
    <t>Other Power Supply Rev / MISO Trans Rev Sched 26</t>
  </si>
  <si>
    <t>BSS - Brookings</t>
  </si>
  <si>
    <t>BSS - Ellendale</t>
  </si>
  <si>
    <t>MTEP No. 2220</t>
  </si>
  <si>
    <t>MTEP No. 2221</t>
  </si>
  <si>
    <t xml:space="preserve"> 12 Month Ended 12/31/13</t>
  </si>
  <si>
    <t>0880</t>
  </si>
  <si>
    <t>0200</t>
  </si>
  <si>
    <t>4000</t>
  </si>
  <si>
    <t>0620</t>
  </si>
  <si>
    <t>0480</t>
  </si>
  <si>
    <t>Casselton-Buffalo 115kv Line</t>
  </si>
  <si>
    <t>Project (104761)</t>
  </si>
  <si>
    <t>Schedule 26a</t>
  </si>
  <si>
    <t>4045.0265.4560</t>
  </si>
  <si>
    <t>Other Power Supply Rev / MISO Trans Rev Sched 26a</t>
  </si>
  <si>
    <t>MTEP No. 3481</t>
  </si>
  <si>
    <t>&lt;=check</t>
  </si>
  <si>
    <t>13-Month Average CWIP and Plant Balances for MM Projects</t>
  </si>
  <si>
    <t>Accumulated Depreciation</t>
  </si>
  <si>
    <t>Project (104593)</t>
  </si>
  <si>
    <t>Project (See Below)</t>
  </si>
  <si>
    <t>MTEP 1203 - CAPX Brookings consists of numerous Internal Project #'s.</t>
  </si>
  <si>
    <t>MTEP 286 - CAPX Fargo consists of numerous Internal Project #'s.</t>
  </si>
  <si>
    <t>Year 2013</t>
  </si>
  <si>
    <t>Project (104395 &amp; 104587)</t>
  </si>
  <si>
    <t>MTEP No. 3156</t>
  </si>
  <si>
    <t>Project 103487</t>
  </si>
  <si>
    <t>Project 104395 &amp; 104587</t>
  </si>
  <si>
    <t>Scenario</t>
  </si>
  <si>
    <t>Month</t>
  </si>
  <si>
    <t>Report</t>
  </si>
  <si>
    <t>Non-Plant Amortization</t>
  </si>
  <si>
    <t>COSS - NOI - Total Company</t>
  </si>
  <si>
    <t>COSS - WP - NOI - per Books</t>
  </si>
  <si>
    <t>COSS - WP - NOI - 12ME</t>
  </si>
  <si>
    <t>COSS - WP - RB - per Books</t>
  </si>
  <si>
    <t>COSS - WP - RB - 13MA</t>
  </si>
  <si>
    <t>COSS - Adjustment - Setup</t>
  </si>
  <si>
    <t>COSS - Labor Ratios</t>
  </si>
  <si>
    <t>COSS - Allocation Factors</t>
  </si>
  <si>
    <t>COSS - Effective Tax Rates</t>
  </si>
  <si>
    <t>Income Tax - Ms - Common</t>
  </si>
  <si>
    <t>Income Statement</t>
  </si>
  <si>
    <t>Balance Sheet</t>
  </si>
  <si>
    <t>Entity</t>
  </si>
  <si>
    <t>Minnesota State</t>
  </si>
  <si>
    <t>North Dakota State</t>
  </si>
  <si>
    <t>MIP - July 2013</t>
  </si>
  <si>
    <t>2014 Simple Average Calculation</t>
  </si>
  <si>
    <t>O&amp;M by FERC</t>
  </si>
  <si>
    <t>0860</t>
  </si>
  <si>
    <t>Casselton Buffalo</t>
  </si>
  <si>
    <t>Sheyenne Audubon</t>
  </si>
  <si>
    <t>Mapleton-Sheyenne</t>
  </si>
  <si>
    <t>NERC Compliance</t>
  </si>
  <si>
    <t>Less: Regional Market Labor (1)</t>
  </si>
  <si>
    <t>Dividends</t>
  </si>
  <si>
    <t>2014 Term Loan $40.9M</t>
  </si>
  <si>
    <t>2028 Series</t>
  </si>
  <si>
    <t>2043 Series</t>
  </si>
  <si>
    <t>Other Power Supply Rev / MISO Trans Rev Sched 9</t>
  </si>
  <si>
    <t>4045.0090.4560</t>
  </si>
  <si>
    <t>Income Tax - Ms - Common-DIT Bal Fed</t>
  </si>
  <si>
    <t>See Below</t>
  </si>
  <si>
    <t>MTEP 286 - CAPX 2020  Fargo consists of numerous Internal Project #'s.</t>
  </si>
  <si>
    <t>Effective Tax Rates</t>
  </si>
  <si>
    <t>Tax Rates:</t>
  </si>
  <si>
    <t>SD Special Hearing Fund Assessment Rate:</t>
  </si>
  <si>
    <t xml:space="preserve">  Federal</t>
  </si>
  <si>
    <t xml:space="preserve">  Minnesota</t>
  </si>
  <si>
    <t xml:space="preserve">  North Dakota</t>
  </si>
  <si>
    <t>Federal</t>
  </si>
  <si>
    <t xml:space="preserve">          ==&gt;  Minnesota</t>
  </si>
  <si>
    <t xml:space="preserve">  Income</t>
  </si>
  <si>
    <t xml:space="preserve">  MN Income Tax</t>
  </si>
  <si>
    <t xml:space="preserve">  Federal Tax Rate</t>
  </si>
  <si>
    <t xml:space="preserve">  Total Tax</t>
  </si>
  <si>
    <t xml:space="preserve">  Effective Tax Rates - MN</t>
  </si>
  <si>
    <t>Gross Revenue Conversion Factor:</t>
  </si>
  <si>
    <t>1 / (1 - Total ETR)</t>
  </si>
  <si>
    <t xml:space="preserve">          ==&gt;  North Dakota</t>
  </si>
  <si>
    <t xml:space="preserve">  ND / Federal Income Tax</t>
  </si>
  <si>
    <t xml:space="preserve">  Effective Tax Rates - ND</t>
  </si>
  <si>
    <t xml:space="preserve">          ==&gt;  South Dakota</t>
  </si>
  <si>
    <t xml:space="preserve">  Effective Tax Rates - SD</t>
  </si>
  <si>
    <t xml:space="preserve">    (No State Income Tax in South Dakota)</t>
  </si>
  <si>
    <t>SD Gross Revenue Conversion Factor:</t>
  </si>
  <si>
    <t xml:space="preserve">  (Including Recognition of SD Special Hearing Fund Assessment)</t>
  </si>
  <si>
    <t xml:space="preserve">      Where "X" = Gross Revenue Deficiency</t>
  </si>
  <si>
    <t xml:space="preserve">            "Y" = Conversion Factor</t>
  </si>
  <si>
    <t xml:space="preserve"> = SDPUC Special Hearing Fund Assessment</t>
  </si>
  <si>
    <t xml:space="preserve"> = Federal Tax Rate</t>
  </si>
  <si>
    <t>X = [X - .0015X - [(X - .0015X) * .34]] * Y</t>
  </si>
  <si>
    <t>X = [.9985X - (.9985X * .34)] * Y</t>
  </si>
  <si>
    <t>X = (.9985X - .33949X) * Y</t>
  </si>
  <si>
    <t>X = .65901XY</t>
  </si>
  <si>
    <t>1 = .65901Y</t>
  </si>
  <si>
    <t xml:space="preserve">Y = </t>
  </si>
  <si>
    <t xml:space="preserve">          ==&gt;  Total Company</t>
  </si>
  <si>
    <t xml:space="preserve">  Effective Tax Rates - System</t>
  </si>
  <si>
    <t>(4)</t>
  </si>
  <si>
    <t>Otter Tail Corporation</t>
  </si>
  <si>
    <t>(Stand Alone)</t>
  </si>
  <si>
    <t>Effective Tax Rate</t>
  </si>
  <si>
    <t>Income</t>
  </si>
  <si>
    <t>Tax Expense Deductions</t>
  </si>
  <si>
    <t>Appotionment Factor (OTP Separate)</t>
  </si>
  <si>
    <t>Taxable Income</t>
  </si>
  <si>
    <t>Tax Rate</t>
  </si>
  <si>
    <t>Tax</t>
  </si>
  <si>
    <t>Rate to Use:  (Insert for Rounding)</t>
  </si>
  <si>
    <t>Comp</t>
  </si>
  <si>
    <t>Activity</t>
  </si>
  <si>
    <t>FERC1</t>
  </si>
  <si>
    <t>FERC2</t>
  </si>
  <si>
    <t>Dec-10 Bal</t>
  </si>
  <si>
    <t>MTEP 2221 - BSS- Brookings consists of Internal Project #'s 104393, 104829, 105046 &amp; 105047.</t>
  </si>
  <si>
    <t>For the 13 Months Ended December 31, 2013</t>
  </si>
  <si>
    <t>December 2012</t>
  </si>
  <si>
    <t>January 2013</t>
  </si>
  <si>
    <t>Property Tax summary</t>
  </si>
  <si>
    <t>0960</t>
  </si>
  <si>
    <t>020</t>
  </si>
  <si>
    <t>4045.0370.4560</t>
  </si>
  <si>
    <t>4045.0380.4560</t>
  </si>
  <si>
    <t>Other Power Supply Rev / MISO Trans Rev Sched 37</t>
  </si>
  <si>
    <t>Other Power Supply Rev / MISO Trans Rev Sched 38</t>
  </si>
  <si>
    <t>South Dakota State</t>
  </si>
  <si>
    <t>Income Tax - State Rates</t>
  </si>
  <si>
    <t>States for income tax</t>
  </si>
  <si>
    <t>Actual Year 2013</t>
  </si>
  <si>
    <t>FERC Acct 190 Balance at year end</t>
  </si>
  <si>
    <t>Less account 1900.1895.0000 ITC</t>
  </si>
  <si>
    <t>Less account 1900.1895.9300 SFAS 109 ADIT Debits</t>
  </si>
  <si>
    <t>Post Retirement Pension M-00300 from Corey Tax calc</t>
  </si>
  <si>
    <t xml:space="preserve">  General &amp; Intangible</t>
  </si>
  <si>
    <t>4045.0261.4560</t>
  </si>
  <si>
    <t>4045.0266.4560</t>
  </si>
  <si>
    <t>Other Power Supply Rev / MISO Trans Rev Sched 26 True up</t>
  </si>
  <si>
    <t>Other Power Supply Rev / MISO Trans Rev Sched 26a True up</t>
  </si>
  <si>
    <t>Inventory Balances</t>
  </si>
  <si>
    <t>Actual Year Ended 2013</t>
  </si>
  <si>
    <r>
      <t xml:space="preserve"> Less: </t>
    </r>
    <r>
      <rPr>
        <sz val="10"/>
        <rFont val="Arial"/>
        <family val="2"/>
      </rPr>
      <t>FERC Acct 5615 through 5617</t>
    </r>
  </si>
  <si>
    <t>Schedules 26, 37 and 38</t>
  </si>
  <si>
    <t>Transmission: Miscellaneous Expense</t>
  </si>
  <si>
    <t xml:space="preserve">Schedule 10 </t>
  </si>
  <si>
    <t>(1)  LSE expenses were incorrectly recorded to FERC 566 instead of FERC 561.4 for 2013. As a result, the amount reported on FERC Form 1 will show zero but the correct amount to exclude from recovery is listed above. For future years these costs will be appropriately recorded in FERC Account 561.4.</t>
  </si>
  <si>
    <t>LSE Expense</t>
  </si>
  <si>
    <t>Accounting Changes for MISO Attachments</t>
  </si>
  <si>
    <t>Time Period:</t>
  </si>
  <si>
    <t>Historic 2013</t>
  </si>
  <si>
    <t>Sources:</t>
  </si>
  <si>
    <t>Quarterly Checklists, Abby Reports, 10-K, Accounting Circulars, Deloitte Error Listing, and Position Papers</t>
  </si>
  <si>
    <t>4. With respect to any change in accounting that affects inputs to the formula rate or the resulting charges billed under the formula rate (“Accounting Change”):</t>
  </si>
  <si>
    <t>i.             The initial implementation of an accounting standard or policy;</t>
  </si>
  <si>
    <t>None</t>
  </si>
  <si>
    <t>iii.           correction of errors and prior period adjustments that impact the projected net revenue requirement calculation;</t>
  </si>
  <si>
    <t>iv.           the implementation of new estimation methods or policies that change prior estimates; and</t>
  </si>
  <si>
    <t>- Unbilled Revenue definitions were revised so that the definition of a Cooling Degree Day has been revised to temperatures greater than 65 degrees and the definition of a Heating Degree Day has been revised to temperatures below 55 degrees. In addition, actual meter read dates will be adopted rather than scheduled meter read dates.</t>
  </si>
  <si>
    <t>- IBNR Accrual of ~$180k at year end - New estimation method in that OTP has incurred the expense but we haven't been able to identify all of the outstanding invoices that pertain to 2013 prior to Year-End AP Cutoff.</t>
  </si>
  <si>
    <t>v.            changes to income tax elections;</t>
  </si>
  <si>
    <t xml:space="preserve">OTP established separate GAAs for each asset treated as a retirement unit for FERC reporting purposes that were placed in service between January 1, 1987 and December 31, 2011. See below for more information. </t>
  </si>
  <si>
    <t>Otter Tail Power Company made a general asset account (“GAA”) election under I.R.C. §168(i)(4) and Treas. Reg. §1.168(i)-1 and 1.168(i)-1T.  Specifically, OTP made the GAA election for all linear electric transmission and distribution (“T&amp;D”) assets placed in service between January 1, 1987 and December 31, 2011.  OTP also made an election to recognize gain or loss on the disposition of certain assets that are the subject of the late GAA election in accordance with Treas. Reg. §1.168(i)-1T(e)(3)(ii).  The collective purpose of these elections is to: (1) not deduct casualty losses related to the assets that were the subject of the request, whether or not such losses were deducted prior to January 1, 2013; (2) deduct losses upon non-casualty-related dispositions (e.g., retirements) of the assets that were the subject of the request if OTP capitalized the associated replacement costs as improvements under I.R.C. §263(a) and Rev. Proc. 2011-43 (i.e., if OTP replaced 10% or more of a unit of linear property) prior to January 1, 2013; (3) not deduct losses upon non-casualty related dispositions of the assets that were the subject of the request if OTP deducted the associated replacement costs as repair and maintenance under I.R.C. §162 and Treas. Reg. 1.162-4, and Rev. Proc. 2011-43 (i.e., if OTP replaced less than 10% of a unit of linear property) prior to January 1, 2013; and (4) maintain otherwise deductible repair and maintenance costs that are not required to be capitalized under Treas. Reg. §1.263(a)-3T(i)(1)(i)-(iii) or Treas. Reg. 1.263(a)-3(k)(1)(i)-(iii), as applicable.</t>
  </si>
  <si>
    <t>`</t>
  </si>
  <si>
    <t>(2)  See Tab "Pages 9-11 - Funct"</t>
  </si>
  <si>
    <t>Other Comprehensive Income</t>
  </si>
  <si>
    <t xml:space="preserve">   Dividends</t>
  </si>
  <si>
    <t xml:space="preserve">   Net Income</t>
  </si>
  <si>
    <t xml:space="preserve">   Beginning Balance </t>
  </si>
  <si>
    <t>Contributed Capital</t>
  </si>
  <si>
    <r>
      <t xml:space="preserve">    a.            </t>
    </r>
    <r>
      <rPr>
        <b/>
        <sz val="11"/>
        <rFont val="Calibri"/>
        <family val="2"/>
        <scheme val="minor"/>
      </rPr>
      <t>Identify any Accounting Changes, including</t>
    </r>
  </si>
  <si>
    <t>ii.            the initial implementation of accounting practices for unusual or unconventional items where FERC has not provided specific accounting direction;</t>
  </si>
  <si>
    <t>Total Non-Utility Property Taxes</t>
  </si>
  <si>
    <t>uigetwork argument 5: '' not Found.</t>
  </si>
  <si>
    <t>FERC Form 1 page 263 line 7, cl H</t>
  </si>
  <si>
    <t>FERC Form 1 page 263 line 12, cl H</t>
  </si>
  <si>
    <t>FERC Form 1 page 263 line 18, cl H</t>
  </si>
  <si>
    <t>MISO Tariff Revenue found on FERC form 1 Page 330</t>
  </si>
  <si>
    <t>No-Utility property tax expense was incorrectly included on FERC Form 1 page 263, Column H. The schedule above correctly removes the non-utility portion form the calculation to include in Attachment O.</t>
  </si>
  <si>
    <t>Difference</t>
  </si>
  <si>
    <t>Schedule 24 Revenue from Above</t>
  </si>
  <si>
    <t>Fargo recon to FERC Form 1 Page 216</t>
  </si>
  <si>
    <t>Line 5</t>
  </si>
  <si>
    <t>Line 8</t>
  </si>
  <si>
    <t>Dec balance of Phase 1 from CWIP file, in the misc projects under 100K</t>
  </si>
  <si>
    <t>Capx Brookings recon to FERC Form 1 Page 216</t>
  </si>
  <si>
    <t>Line 2</t>
  </si>
  <si>
    <t>Line 10</t>
  </si>
  <si>
    <t>Line 11</t>
  </si>
  <si>
    <t>Line 12</t>
  </si>
  <si>
    <t>Line 13</t>
  </si>
  <si>
    <t>Line 14</t>
  </si>
  <si>
    <t>Line 15</t>
  </si>
  <si>
    <t>Line 16</t>
  </si>
  <si>
    <t>Line 17</t>
  </si>
  <si>
    <t>Project 104837 under 100K so in the misc projects</t>
  </si>
  <si>
    <t>BSS Ellendale recon to FERC Form 1 Page 216</t>
  </si>
  <si>
    <t>Line 6</t>
  </si>
  <si>
    <t>BSS Brookings recon to FERC Form 1 Page 216</t>
  </si>
  <si>
    <t>Line 4</t>
  </si>
  <si>
    <t>Project 104829, under 100K in misc projects</t>
  </si>
  <si>
    <t>Project 105046, under 100K in misc projects</t>
  </si>
  <si>
    <t>Project 105047, under 100K in misc projects</t>
  </si>
  <si>
    <t>Increase(Decrease)</t>
  </si>
  <si>
    <t>%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</si>
</sst>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mm/dd/yy_)"/>
    <numFmt numFmtId="167" formatCode="hh:mm\ AM/PM_)"/>
    <numFmt numFmtId="168" formatCode="dd\-mmm\-yy_)"/>
    <numFmt numFmtId="169" formatCode="#,##0;\-#,##0;&quot;-&quot;"/>
    <numFmt numFmtId="170" formatCode="#,##0.00&quot;£&quot;_);\(#,##0.00&quot;£&quot;\)"/>
    <numFmt numFmtId="171" formatCode="mm/dd/yy"/>
    <numFmt numFmtId="172" formatCode="0.000%"/>
    <numFmt numFmtId="173" formatCode="0.000000_)"/>
    <numFmt numFmtId="174" formatCode="0_)"/>
    <numFmt numFmtId="175" formatCode="_(&quot;$&quot;* #,##0_);_(&quot;$&quot;* \(#,##0\);_(&quot;$&quot;* &quot;-&quot;??_);_(@_)"/>
    <numFmt numFmtId="176" formatCode="#,##0_);[Red]\(#,##0\);&quot; &quot;"/>
    <numFmt numFmtId="177" formatCode="0.0000_)"/>
    <numFmt numFmtId="178" formatCode="0.0_)"/>
    <numFmt numFmtId="179" formatCode="0.00_)"/>
    <numFmt numFmtId="180" formatCode="0.0%"/>
    <numFmt numFmtId="181" formatCode="0.0000%"/>
    <numFmt numFmtId="182" formatCode="0.000000"/>
    <numFmt numFmtId="183" formatCode="000"/>
    <numFmt numFmtId="184" formatCode="0000"/>
    <numFmt numFmtId="185" formatCode="000000"/>
    <numFmt numFmtId="186" formatCode="00000"/>
    <numFmt numFmtId="187" formatCode="_(* #,##0.0000_);_(* \(#,##0.0000\);_(* &quot;-&quot;??_);_(@_)"/>
  </numFmts>
  <fonts count="100">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MT"/>
    </font>
    <font>
      <b/>
      <sz val="10"/>
      <name val="Arial MT"/>
    </font>
    <font>
      <sz val="10"/>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b/>
      <sz val="10"/>
      <color indexed="8"/>
      <name val="Arial"/>
      <family val="2"/>
    </font>
    <font>
      <b/>
      <sz val="12"/>
      <name val="Arial MT"/>
    </font>
    <font>
      <sz val="11"/>
      <color indexed="8"/>
      <name val="Calibri"/>
      <family val="2"/>
    </font>
    <font>
      <sz val="10"/>
      <color indexed="8"/>
      <name val="Arial"/>
      <family val="2"/>
    </font>
    <font>
      <b/>
      <sz val="10"/>
      <color indexed="8"/>
      <name val="Arial"/>
      <family val="2"/>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rebuchet MS"/>
      <family val="2"/>
    </font>
    <font>
      <sz val="10"/>
      <color theme="4" tint="-0.249977111117893"/>
      <name val="Arial"/>
      <family val="2"/>
    </font>
    <font>
      <b/>
      <sz val="18"/>
      <color indexed="56"/>
      <name val="Cambria"/>
      <family val="2"/>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sz val="11"/>
      <color rgb="FF000000"/>
      <name val="Calibri"/>
      <family val="2"/>
    </font>
    <font>
      <sz val="10"/>
      <name val="Arial MT"/>
      <family val="2"/>
    </font>
    <font>
      <sz val="11"/>
      <name val="Calibri"/>
      <family val="2"/>
      <scheme val="minor"/>
    </font>
    <font>
      <sz val="8"/>
      <name val="Calibri"/>
      <family val="2"/>
      <scheme val="minor"/>
    </font>
    <font>
      <b/>
      <sz val="12"/>
      <name val="TimesNewRomanPS"/>
    </font>
    <font>
      <b/>
      <sz val="10"/>
      <name val="Arial MT"/>
      <family val="2"/>
    </font>
    <font>
      <u val="double"/>
      <sz val="10"/>
      <name val="Arial MT"/>
      <family val="2"/>
    </font>
    <font>
      <b/>
      <i/>
      <sz val="11"/>
      <name val="Calibri"/>
      <family val="2"/>
      <scheme val="minor"/>
    </font>
    <font>
      <b/>
      <sz val="11"/>
      <name val="Calibri"/>
      <family val="2"/>
      <scheme val="minor"/>
    </font>
    <font>
      <b/>
      <sz val="8"/>
      <name val="Calibri"/>
      <family val="2"/>
      <scheme val="minor"/>
    </font>
    <font>
      <sz val="10"/>
      <color rgb="FFFF0000"/>
      <name val="Arial"/>
      <family val="2"/>
    </font>
  </fonts>
  <fills count="65">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theme="0" tint="-0.14999847407452621"/>
        <bgColor indexed="64"/>
      </patternFill>
    </fill>
    <fill>
      <patternFill patternType="solid">
        <fgColor rgb="FFFFFF00"/>
        <bgColor indexed="64"/>
      </patternFill>
    </fill>
  </fills>
  <borders count="109">
    <border>
      <left/>
      <right/>
      <top/>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style="thin">
        <color indexed="64"/>
      </left>
      <right style="thin">
        <color indexed="64"/>
      </right>
      <top/>
      <bottom style="thin">
        <color indexed="8"/>
      </bottom>
      <diagonal/>
    </border>
    <border>
      <left/>
      <right style="thin">
        <color indexed="64"/>
      </right>
      <top/>
      <bottom style="double">
        <color indexed="64"/>
      </bottom>
      <diagonal/>
    </border>
    <border>
      <left/>
      <right style="thin">
        <color indexed="8"/>
      </right>
      <top/>
      <bottom style="thin">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8"/>
      </top>
      <bottom style="thin">
        <color indexed="8"/>
      </bottom>
      <diagonal/>
    </border>
    <border>
      <left style="thin">
        <color indexed="3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8"/>
      </left>
      <right style="thin">
        <color indexed="8"/>
      </right>
      <top style="thin">
        <color indexed="8"/>
      </top>
      <bottom style="medium">
        <color indexed="8"/>
      </bottom>
      <diagonal/>
    </border>
    <border>
      <left/>
      <right style="thin">
        <color indexed="8"/>
      </right>
      <top/>
      <bottom style="double">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diagonal/>
    </border>
    <border>
      <left/>
      <right/>
      <top style="thin">
        <color auto="1"/>
      </top>
      <bottom/>
      <diagonal/>
    </border>
    <border>
      <left/>
      <right style="thin">
        <color indexed="64"/>
      </right>
      <top style="thin">
        <color indexed="64"/>
      </top>
      <bottom/>
      <diagonal/>
    </border>
    <border>
      <left/>
      <right style="thin">
        <color indexed="64"/>
      </right>
      <top/>
      <bottom style="thin">
        <color auto="1"/>
      </bottom>
      <diagonal/>
    </border>
    <border>
      <left/>
      <right style="thin">
        <color indexed="64"/>
      </right>
      <top style="thin">
        <color indexed="64"/>
      </top>
      <bottom style="thin">
        <color indexed="64"/>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6711">
    <xf numFmtId="0" fontId="0" fillId="0" borderId="0"/>
    <xf numFmtId="0" fontId="46" fillId="2"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4" borderId="0" applyNumberFormat="0" applyBorder="0" applyAlignment="0" applyProtection="0"/>
    <xf numFmtId="0" fontId="46" fillId="9" borderId="0" applyNumberFormat="0" applyBorder="0" applyAlignment="0" applyProtection="0"/>
    <xf numFmtId="0" fontId="46" fillId="3" borderId="0" applyNumberFormat="0" applyBorder="0" applyAlignment="0" applyProtection="0"/>
    <xf numFmtId="0" fontId="46" fillId="8" borderId="0" applyNumberFormat="0" applyBorder="0" applyAlignment="0" applyProtection="0"/>
    <xf numFmtId="0" fontId="46"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7" fillId="10" borderId="0" applyNumberFormat="0" applyBorder="0" applyAlignment="0" applyProtection="0"/>
    <xf numFmtId="0" fontId="47" fillId="3" borderId="0" applyNumberFormat="0" applyBorder="0" applyAlignment="0" applyProtection="0"/>
    <xf numFmtId="0" fontId="47" fillId="8" borderId="0" applyNumberFormat="0" applyBorder="0" applyAlignment="0" applyProtection="0"/>
    <xf numFmtId="0" fontId="47" fillId="4" borderId="0" applyNumberFormat="0" applyBorder="0" applyAlignment="0" applyProtection="0"/>
    <xf numFmtId="0" fontId="47" fillId="13" borderId="0" applyNumberFormat="0" applyBorder="0" applyAlignment="0" applyProtection="0"/>
    <xf numFmtId="0" fontId="47" fillId="11"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14" borderId="0" applyNumberFormat="0" applyBorder="0" applyAlignment="0" applyProtection="0"/>
    <xf numFmtId="0" fontId="48" fillId="6" borderId="0" applyNumberFormat="0" applyBorder="0" applyAlignment="0" applyProtection="0"/>
    <xf numFmtId="0" fontId="32" fillId="0" borderId="1">
      <alignment horizontal="right"/>
    </xf>
    <xf numFmtId="169" fontId="30" fillId="0" borderId="0" applyFill="0" applyBorder="0" applyAlignment="0"/>
    <xf numFmtId="0" fontId="49" fillId="16" borderId="2" applyNumberFormat="0" applyAlignment="0" applyProtection="0"/>
    <xf numFmtId="0" fontId="50" fillId="17" borderId="3" applyNumberFormat="0" applyAlignment="0" applyProtection="0"/>
    <xf numFmtId="43" fontId="27"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63"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7"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0" fontId="35" fillId="0" borderId="0" applyNumberFormat="0" applyAlignment="0">
      <alignment horizontal="left"/>
    </xf>
    <xf numFmtId="0" fontId="32" fillId="0" borderId="0"/>
    <xf numFmtId="44" fontId="31" fillId="0" borderId="0" applyFont="0" applyFill="0" applyBorder="0" applyAlignment="0" applyProtection="0"/>
    <xf numFmtId="44" fontId="28" fillId="0" borderId="0" applyFont="0" applyFill="0" applyBorder="0" applyAlignment="0" applyProtection="0"/>
    <xf numFmtId="44" fontId="63" fillId="0" borderId="0" applyFont="0" applyFill="0" applyBorder="0" applyAlignment="0" applyProtection="0"/>
    <xf numFmtId="44" fontId="4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34" fillId="0" borderId="0" applyFont="0" applyFill="0" applyBorder="0" applyAlignment="0" applyProtection="0"/>
    <xf numFmtId="44" fontId="63" fillId="0" borderId="0" applyFont="0" applyFill="0" applyBorder="0" applyAlignment="0" applyProtection="0"/>
    <xf numFmtId="165" fontId="28" fillId="0" borderId="0" applyFont="0" applyFill="0" applyBorder="0" applyAlignment="0" applyProtection="0"/>
    <xf numFmtId="0" fontId="36" fillId="0" borderId="0" applyNumberFormat="0" applyAlignment="0">
      <alignment horizontal="left"/>
    </xf>
    <xf numFmtId="0" fontId="51" fillId="0" borderId="0" applyNumberFormat="0" applyFill="0" applyBorder="0" applyAlignment="0" applyProtection="0"/>
    <xf numFmtId="0" fontId="52" fillId="8" borderId="0" applyNumberFormat="0" applyBorder="0" applyAlignment="0" applyProtection="0"/>
    <xf numFmtId="38" fontId="37" fillId="18" borderId="0" applyNumberFormat="0" applyBorder="0" applyAlignment="0" applyProtection="0"/>
    <xf numFmtId="0" fontId="38" fillId="0" borderId="4" applyNumberFormat="0" applyAlignment="0" applyProtection="0">
      <alignment horizontal="left" vertical="center"/>
    </xf>
    <xf numFmtId="0" fontId="38" fillId="0" borderId="5">
      <alignment horizontal="left" vertical="center"/>
    </xf>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10" fontId="37" fillId="19" borderId="9" applyNumberFormat="0" applyBorder="0" applyAlignment="0" applyProtection="0"/>
    <xf numFmtId="0" fontId="56" fillId="9" borderId="2" applyNumberFormat="0" applyAlignment="0" applyProtection="0"/>
    <xf numFmtId="0" fontId="57" fillId="0" borderId="10" applyNumberFormat="0" applyFill="0" applyAlignment="0" applyProtection="0"/>
    <xf numFmtId="0" fontId="58" fillId="9" borderId="0" applyNumberFormat="0" applyBorder="0" applyAlignment="0" applyProtection="0"/>
    <xf numFmtId="170" fontId="31" fillId="0" borderId="0"/>
    <xf numFmtId="17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3" fillId="0" borderId="0"/>
    <xf numFmtId="0" fontId="28" fillId="0" borderId="0"/>
    <xf numFmtId="0" fontId="63" fillId="0" borderId="0"/>
    <xf numFmtId="0" fontId="63" fillId="0" borderId="0"/>
    <xf numFmtId="0" fontId="33" fillId="0" borderId="0"/>
    <xf numFmtId="0" fontId="33" fillId="0" borderId="0"/>
    <xf numFmtId="0" fontId="33" fillId="0" borderId="0"/>
    <xf numFmtId="0" fontId="63" fillId="0" borderId="0"/>
    <xf numFmtId="0" fontId="33" fillId="0" borderId="0"/>
    <xf numFmtId="0" fontId="63" fillId="0" borderId="0"/>
    <xf numFmtId="0" fontId="28" fillId="0" borderId="0"/>
    <xf numFmtId="0" fontId="28" fillId="0" borderId="0"/>
    <xf numFmtId="0" fontId="28" fillId="0" borderId="0"/>
    <xf numFmtId="0" fontId="28" fillId="0" borderId="0"/>
    <xf numFmtId="0" fontId="33" fillId="0" borderId="0"/>
    <xf numFmtId="0" fontId="6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3" fillId="0" borderId="0"/>
    <xf numFmtId="0" fontId="28" fillId="0" borderId="0"/>
    <xf numFmtId="0" fontId="63" fillId="0" borderId="0"/>
    <xf numFmtId="0" fontId="28" fillId="0" borderId="0"/>
    <xf numFmtId="0" fontId="28" fillId="0" borderId="0"/>
    <xf numFmtId="0" fontId="28" fillId="0" borderId="0"/>
    <xf numFmtId="0" fontId="6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30" fillId="0" borderId="0"/>
    <xf numFmtId="0" fontId="28" fillId="0" borderId="0"/>
    <xf numFmtId="0" fontId="33" fillId="0" borderId="0"/>
    <xf numFmtId="0" fontId="62" fillId="0" borderId="0"/>
    <xf numFmtId="0" fontId="6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39" fontId="24" fillId="0" borderId="0"/>
    <xf numFmtId="39" fontId="24" fillId="0" borderId="0"/>
    <xf numFmtId="0" fontId="33" fillId="0" borderId="0"/>
    <xf numFmtId="0" fontId="6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39" fontId="24" fillId="0" borderId="0"/>
    <xf numFmtId="0" fontId="33" fillId="0" borderId="0"/>
    <xf numFmtId="0" fontId="63" fillId="0" borderId="0"/>
    <xf numFmtId="0" fontId="28" fillId="0" borderId="0"/>
    <xf numFmtId="0" fontId="28" fillId="0" borderId="0"/>
    <xf numFmtId="0" fontId="28" fillId="0" borderId="0"/>
    <xf numFmtId="0" fontId="63" fillId="0" borderId="0"/>
    <xf numFmtId="0" fontId="28" fillId="0" borderId="0"/>
    <xf numFmtId="0" fontId="63" fillId="0" borderId="0"/>
    <xf numFmtId="0" fontId="28" fillId="0" borderId="0"/>
    <xf numFmtId="0" fontId="63" fillId="0" borderId="0"/>
    <xf numFmtId="0" fontId="28" fillId="0" borderId="0"/>
    <xf numFmtId="0" fontId="63" fillId="0" borderId="0"/>
    <xf numFmtId="0" fontId="28" fillId="0" borderId="0"/>
    <xf numFmtId="0" fontId="63" fillId="0" borderId="0"/>
    <xf numFmtId="0" fontId="28" fillId="0" borderId="0"/>
    <xf numFmtId="0" fontId="63" fillId="0" borderId="0"/>
    <xf numFmtId="0" fontId="28" fillId="0" borderId="0"/>
    <xf numFmtId="0" fontId="63" fillId="0" borderId="0"/>
    <xf numFmtId="0" fontId="28" fillId="0" borderId="0"/>
    <xf numFmtId="0" fontId="33" fillId="0" borderId="0"/>
    <xf numFmtId="0" fontId="28" fillId="0" borderId="0"/>
    <xf numFmtId="0" fontId="63" fillId="0" borderId="0"/>
    <xf numFmtId="0" fontId="63" fillId="0" borderId="0"/>
    <xf numFmtId="0" fontId="28" fillId="0" borderId="0"/>
    <xf numFmtId="0" fontId="33" fillId="0" borderId="0"/>
    <xf numFmtId="0" fontId="28" fillId="0" borderId="0"/>
    <xf numFmtId="0" fontId="33" fillId="0" borderId="0"/>
    <xf numFmtId="0" fontId="28" fillId="0" borderId="0"/>
    <xf numFmtId="0" fontId="33" fillId="0" borderId="0"/>
    <xf numFmtId="0" fontId="28" fillId="0" borderId="0"/>
    <xf numFmtId="0" fontId="33" fillId="0" borderId="0"/>
    <xf numFmtId="0" fontId="28" fillId="0" borderId="0"/>
    <xf numFmtId="0" fontId="33"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0" fontId="63"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39"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5" borderId="11" applyNumberFormat="0" applyFont="0" applyAlignment="0" applyProtection="0"/>
    <xf numFmtId="0" fontId="33" fillId="5" borderId="11" applyNumberFormat="0" applyFont="0" applyAlignment="0" applyProtection="0"/>
    <xf numFmtId="0" fontId="33" fillId="5" borderId="11" applyNumberFormat="0" applyFont="0" applyAlignment="0" applyProtection="0"/>
    <xf numFmtId="0" fontId="59" fillId="16" borderId="12" applyNumberFormat="0" applyAlignment="0" applyProtection="0"/>
    <xf numFmtId="9" fontId="24" fillId="0" borderId="0" applyFont="0" applyFill="0" applyBorder="0" applyAlignment="0" applyProtection="0"/>
    <xf numFmtId="10" fontId="31" fillId="0" borderId="0" applyFont="0" applyFill="0" applyBorder="0" applyAlignment="0" applyProtection="0"/>
    <xf numFmtId="10" fontId="2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71" fontId="39" fillId="0" borderId="0" applyNumberFormat="0" applyFill="0" applyBorder="0" applyAlignment="0" applyProtection="0">
      <alignment horizontal="left"/>
    </xf>
    <xf numFmtId="40" fontId="40" fillId="0" borderId="0" applyBorder="0">
      <alignment horizontal="right"/>
    </xf>
    <xf numFmtId="0" fontId="60" fillId="0" borderId="0" applyNumberFormat="0" applyFill="0" applyBorder="0" applyAlignment="0" applyProtection="0"/>
    <xf numFmtId="0" fontId="61" fillId="0" borderId="13" applyNumberFormat="0" applyFill="0" applyAlignment="0" applyProtection="0"/>
    <xf numFmtId="0" fontId="57" fillId="0" borderId="0" applyNumberFormat="0" applyFill="0" applyBorder="0" applyAlignment="0" applyProtection="0"/>
    <xf numFmtId="0" fontId="64" fillId="0" borderId="0" applyNumberFormat="0" applyFill="0" applyBorder="0" applyAlignment="0" applyProtection="0"/>
    <xf numFmtId="0" fontId="65" fillId="0" borderId="68" applyNumberFormat="0" applyFill="0" applyAlignment="0" applyProtection="0"/>
    <xf numFmtId="0" fontId="66" fillId="0" borderId="69" applyNumberFormat="0" applyFill="0" applyAlignment="0" applyProtection="0"/>
    <xf numFmtId="0" fontId="67" fillId="0" borderId="70" applyNumberFormat="0" applyFill="0" applyAlignment="0" applyProtection="0"/>
    <xf numFmtId="0" fontId="67" fillId="0" borderId="0" applyNumberFormat="0" applyFill="0" applyBorder="0" applyAlignment="0" applyProtection="0"/>
    <xf numFmtId="0" fontId="68" fillId="22" borderId="0" applyNumberFormat="0" applyBorder="0" applyAlignment="0" applyProtection="0"/>
    <xf numFmtId="0" fontId="69" fillId="23" borderId="0" applyNumberFormat="0" applyBorder="0" applyAlignment="0" applyProtection="0"/>
    <xf numFmtId="0" fontId="70" fillId="24" borderId="0" applyNumberFormat="0" applyBorder="0" applyAlignment="0" applyProtection="0"/>
    <xf numFmtId="0" fontId="71" fillId="25" borderId="71" applyNumberFormat="0" applyAlignment="0" applyProtection="0"/>
    <xf numFmtId="0" fontId="72" fillId="26" borderId="72" applyNumberFormat="0" applyAlignment="0" applyProtection="0"/>
    <xf numFmtId="0" fontId="73" fillId="26" borderId="71" applyNumberFormat="0" applyAlignment="0" applyProtection="0"/>
    <xf numFmtId="0" fontId="74" fillId="0" borderId="73" applyNumberFormat="0" applyFill="0" applyAlignment="0" applyProtection="0"/>
    <xf numFmtId="0" fontId="75" fillId="27" borderId="7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6" applyNumberFormat="0" applyFill="0" applyAlignment="0" applyProtection="0"/>
    <xf numFmtId="0" fontId="79"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79" fillId="36" borderId="0" applyNumberFormat="0" applyBorder="0" applyAlignment="0" applyProtection="0"/>
    <xf numFmtId="0" fontId="79"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79" fillId="40" borderId="0" applyNumberFormat="0" applyBorder="0" applyAlignment="0" applyProtection="0"/>
    <xf numFmtId="0" fontId="79"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79" fillId="44" borderId="0" applyNumberFormat="0" applyBorder="0" applyAlignment="0" applyProtection="0"/>
    <xf numFmtId="0" fontId="79"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79" fillId="52" borderId="0" applyNumberFormat="0" applyBorder="0" applyAlignment="0" applyProtection="0"/>
    <xf numFmtId="0" fontId="23" fillId="0" borderId="0"/>
    <xf numFmtId="0" fontId="23" fillId="0" borderId="0"/>
    <xf numFmtId="0" fontId="23" fillId="28" borderId="75" applyNumberFormat="0" applyFont="0" applyAlignment="0" applyProtection="0"/>
    <xf numFmtId="0" fontId="23" fillId="0" borderId="0"/>
    <xf numFmtId="0" fontId="22" fillId="0" borderId="0"/>
    <xf numFmtId="0" fontId="22" fillId="0" borderId="0"/>
    <xf numFmtId="0" fontId="22" fillId="28" borderId="75" applyNumberFormat="0" applyFont="0" applyAlignment="0" applyProtection="0"/>
    <xf numFmtId="0" fontId="22" fillId="30" borderId="0" applyNumberFormat="0" applyBorder="0" applyAlignment="0" applyProtection="0"/>
    <xf numFmtId="0" fontId="22" fillId="31"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28" borderId="75" applyNumberFormat="0" applyFont="0" applyAlignment="0" applyProtection="0"/>
    <xf numFmtId="0" fontId="21" fillId="30" borderId="0" applyNumberFormat="0" applyBorder="0" applyAlignment="0" applyProtection="0"/>
    <xf numFmtId="0" fontId="21" fillId="31"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0" fillId="0" borderId="0"/>
    <xf numFmtId="0" fontId="20" fillId="0" borderId="0"/>
    <xf numFmtId="0" fontId="20" fillId="28" borderId="75" applyNumberFormat="0" applyFont="0" applyAlignment="0" applyProtection="0"/>
    <xf numFmtId="0" fontId="20" fillId="30"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9" fillId="0" borderId="0"/>
    <xf numFmtId="0" fontId="19" fillId="28" borderId="75" applyNumberFormat="0" applyFont="0" applyAlignment="0" applyProtection="0"/>
    <xf numFmtId="0" fontId="19" fillId="30" borderId="0" applyNumberFormat="0" applyBorder="0" applyAlignment="0" applyProtection="0"/>
    <xf numFmtId="0" fontId="19" fillId="3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28" borderId="75" applyNumberFormat="0" applyFont="0" applyAlignment="0" applyProtection="0"/>
    <xf numFmtId="0" fontId="18" fillId="30" borderId="0" applyNumberFormat="0" applyBorder="0" applyAlignment="0" applyProtection="0"/>
    <xf numFmtId="0" fontId="18" fillId="31"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0" borderId="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80" fillId="0" borderId="0"/>
    <xf numFmtId="0" fontId="80" fillId="0" borderId="0"/>
    <xf numFmtId="0" fontId="80" fillId="0" borderId="0"/>
    <xf numFmtId="44" fontId="17" fillId="0" borderId="0" applyFont="0" applyFill="0" applyBorder="0" applyAlignment="0" applyProtection="0"/>
    <xf numFmtId="0" fontId="15" fillId="0" borderId="0"/>
    <xf numFmtId="0" fontId="24"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8" borderId="75" applyNumberFormat="0" applyFont="0" applyAlignment="0" applyProtection="0"/>
    <xf numFmtId="0" fontId="14" fillId="0" borderId="0"/>
    <xf numFmtId="0" fontId="14" fillId="0" borderId="0"/>
    <xf numFmtId="0" fontId="14" fillId="30" borderId="0" applyNumberFormat="0" applyBorder="0" applyAlignment="0" applyProtection="0"/>
    <xf numFmtId="0" fontId="14" fillId="31"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0" borderId="0"/>
    <xf numFmtId="0" fontId="14" fillId="42" borderId="0" applyNumberFormat="0" applyBorder="0" applyAlignment="0" applyProtection="0"/>
    <xf numFmtId="0" fontId="14" fillId="43" borderId="0" applyNumberFormat="0" applyBorder="0" applyAlignment="0" applyProtection="0"/>
    <xf numFmtId="0" fontId="14" fillId="0" borderId="0"/>
    <xf numFmtId="0" fontId="14" fillId="46" borderId="0" applyNumberFormat="0" applyBorder="0" applyAlignment="0" applyProtection="0"/>
    <xf numFmtId="0" fontId="14" fillId="47" borderId="0" applyNumberFormat="0" applyBorder="0" applyAlignment="0" applyProtection="0"/>
    <xf numFmtId="0" fontId="14" fillId="0" borderId="0"/>
    <xf numFmtId="0" fontId="14" fillId="50" borderId="0" applyNumberFormat="0" applyBorder="0" applyAlignment="0" applyProtection="0"/>
    <xf numFmtId="0" fontId="14" fillId="51" borderId="0" applyNumberFormat="0" applyBorder="0" applyAlignment="0" applyProtection="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43" fontId="28" fillId="0" borderId="0" applyFont="0" applyFill="0" applyBorder="0" applyAlignment="0" applyProtection="0"/>
    <xf numFmtId="43" fontId="13" fillId="0" borderId="0" applyFont="0" applyFill="0" applyBorder="0" applyAlignment="0" applyProtection="0"/>
    <xf numFmtId="43" fontId="2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0" borderId="0"/>
    <xf numFmtId="0" fontId="13" fillId="0" borderId="0"/>
    <xf numFmtId="0" fontId="13" fillId="28" borderId="75" applyNumberFormat="0" applyFont="0" applyAlignment="0" applyProtection="0"/>
    <xf numFmtId="0" fontId="13" fillId="0" borderId="0"/>
    <xf numFmtId="0" fontId="13" fillId="0" borderId="0"/>
    <xf numFmtId="0" fontId="13" fillId="0" borderId="0"/>
    <xf numFmtId="0" fontId="13" fillId="28" borderId="75" applyNumberFormat="0" applyFont="0" applyAlignment="0" applyProtection="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8" borderId="75" applyNumberFormat="0" applyFont="0" applyAlignment="0" applyProtection="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0" borderId="0"/>
    <xf numFmtId="0" fontId="13" fillId="0" borderId="0"/>
    <xf numFmtId="0" fontId="13" fillId="28" borderId="75" applyNumberFormat="0" applyFont="0" applyAlignment="0" applyProtection="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0" borderId="0"/>
    <xf numFmtId="0" fontId="13" fillId="28" borderId="75" applyNumberFormat="0" applyFont="0" applyAlignment="0" applyProtection="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28" borderId="75" applyNumberFormat="0" applyFont="0" applyAlignment="0" applyProtection="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0" borderId="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8" borderId="75" applyNumberFormat="0" applyFont="0" applyAlignment="0" applyProtection="0"/>
    <xf numFmtId="0" fontId="13" fillId="0" borderId="0"/>
    <xf numFmtId="0" fontId="13" fillId="0" borderId="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0" borderId="0"/>
    <xf numFmtId="0" fontId="13" fillId="42" borderId="0" applyNumberFormat="0" applyBorder="0" applyAlignment="0" applyProtection="0"/>
    <xf numFmtId="0" fontId="13" fillId="43" borderId="0" applyNumberFormat="0" applyBorder="0" applyAlignment="0" applyProtection="0"/>
    <xf numFmtId="0" fontId="13" fillId="0" borderId="0"/>
    <xf numFmtId="0" fontId="13" fillId="46" borderId="0" applyNumberFormat="0" applyBorder="0" applyAlignment="0" applyProtection="0"/>
    <xf numFmtId="0" fontId="13" fillId="47" borderId="0" applyNumberFormat="0" applyBorder="0" applyAlignment="0" applyProtection="0"/>
    <xf numFmtId="0" fontId="13" fillId="0" borderId="0"/>
    <xf numFmtId="0" fontId="13" fillId="50" borderId="0" applyNumberFormat="0" applyBorder="0" applyAlignment="0" applyProtection="0"/>
    <xf numFmtId="0" fontId="13" fillId="51" borderId="0" applyNumberFormat="0" applyBorder="0" applyAlignment="0" applyProtection="0"/>
    <xf numFmtId="0" fontId="13" fillId="0" borderId="0"/>
    <xf numFmtId="0" fontId="13" fillId="0" borderId="0"/>
    <xf numFmtId="0" fontId="13" fillId="0" borderId="0"/>
    <xf numFmtId="0" fontId="13" fillId="0" borderId="0"/>
    <xf numFmtId="0" fontId="13" fillId="30" borderId="0" applyNumberFormat="0" applyBorder="0" applyAlignment="0" applyProtection="0"/>
    <xf numFmtId="0" fontId="46" fillId="54" borderId="0" applyNumberFormat="0" applyBorder="0" applyAlignment="0" applyProtection="0"/>
    <xf numFmtId="0" fontId="46" fillId="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8" borderId="0" applyNumberFormat="0" applyBorder="0" applyAlignment="0" applyProtection="0"/>
    <xf numFmtId="0" fontId="46" fillId="55" borderId="0" applyNumberFormat="0" applyBorder="0" applyAlignment="0" applyProtection="0"/>
    <xf numFmtId="0" fontId="46" fillId="5"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46" fillId="7" borderId="0" applyNumberFormat="0" applyBorder="0" applyAlignment="0" applyProtection="0"/>
    <xf numFmtId="0" fontId="46" fillId="5"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31" borderId="0" applyNumberFormat="0" applyBorder="0" applyAlignment="0" applyProtection="0"/>
    <xf numFmtId="0" fontId="46" fillId="2" borderId="0" applyNumberFormat="0" applyBorder="0" applyAlignment="0" applyProtection="0"/>
    <xf numFmtId="0" fontId="46" fillId="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46" fillId="56" borderId="0" applyNumberFormat="0" applyBorder="0" applyAlignment="0" applyProtection="0"/>
    <xf numFmtId="0" fontId="46" fillId="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46" fillId="2" borderId="0" applyNumberFormat="0" applyBorder="0" applyAlignment="0" applyProtection="0"/>
    <xf numFmtId="0" fontId="46" fillId="8"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47" fillId="57" borderId="0" applyNumberFormat="0" applyBorder="0" applyAlignment="0" applyProtection="0"/>
    <xf numFmtId="0" fontId="47" fillId="8" borderId="0" applyNumberFormat="0" applyBorder="0" applyAlignment="0" applyProtection="0"/>
    <xf numFmtId="0" fontId="47" fillId="4" borderId="0" applyNumberFormat="0" applyBorder="0" applyAlignment="0" applyProtection="0"/>
    <xf numFmtId="0" fontId="47" fillId="11" borderId="0" applyNumberFormat="0" applyBorder="0" applyAlignment="0" applyProtection="0"/>
    <xf numFmtId="0" fontId="47" fillId="56" borderId="0" applyNumberFormat="0" applyBorder="0" applyAlignment="0" applyProtection="0"/>
    <xf numFmtId="0" fontId="47" fillId="10" borderId="0" applyNumberFormat="0" applyBorder="0" applyAlignment="0" applyProtection="0"/>
    <xf numFmtId="0" fontId="47" fillId="58" borderId="0" applyNumberFormat="0" applyBorder="0" applyAlignment="0" applyProtection="0"/>
    <xf numFmtId="0" fontId="47" fillId="3" borderId="0" applyNumberFormat="0" applyBorder="0" applyAlignment="0" applyProtection="0"/>
    <xf numFmtId="0" fontId="47" fillId="12" borderId="0" applyNumberFormat="0" applyBorder="0" applyAlignment="0" applyProtection="0"/>
    <xf numFmtId="0" fontId="47" fillId="8" borderId="0" applyNumberFormat="0" applyBorder="0" applyAlignment="0" applyProtection="0"/>
    <xf numFmtId="0" fontId="47" fillId="59" borderId="0" applyNumberFormat="0" applyBorder="0" applyAlignment="0" applyProtection="0"/>
    <xf numFmtId="0" fontId="47" fillId="4" borderId="0" applyNumberFormat="0" applyBorder="0" applyAlignment="0" applyProtection="0"/>
    <xf numFmtId="0" fontId="47" fillId="6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1" borderId="0" applyNumberFormat="0" applyBorder="0" applyAlignment="0" applyProtection="0"/>
    <xf numFmtId="0" fontId="47" fillId="61" borderId="0" applyNumberFormat="0" applyBorder="0" applyAlignment="0" applyProtection="0"/>
    <xf numFmtId="0" fontId="47" fillId="10" borderId="0" applyNumberFormat="0" applyBorder="0" applyAlignment="0" applyProtection="0"/>
    <xf numFmtId="0" fontId="47" fillId="58" borderId="0" applyNumberFormat="0" applyBorder="0" applyAlignment="0" applyProtection="0"/>
    <xf numFmtId="0" fontId="47" fillId="15"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83" fillId="62" borderId="2" applyNumberFormat="0" applyAlignment="0" applyProtection="0"/>
    <xf numFmtId="0" fontId="83" fillId="62" borderId="2" applyNumberFormat="0" applyAlignment="0" applyProtection="0"/>
    <xf numFmtId="0" fontId="49" fillId="16" borderId="2" applyNumberFormat="0" applyAlignment="0" applyProtection="0"/>
    <xf numFmtId="0" fontId="49" fillId="16" borderId="2" applyNumberFormat="0" applyAlignment="0" applyProtection="0"/>
    <xf numFmtId="0" fontId="49" fillId="16" borderId="2" applyNumberFormat="0" applyAlignment="0" applyProtection="0"/>
    <xf numFmtId="41" fontId="34" fillId="0" borderId="0" applyFont="0" applyFill="0" applyBorder="0" applyAlignment="0" applyProtection="0"/>
    <xf numFmtId="43" fontId="43" fillId="0" borderId="0" applyFont="0" applyFill="0" applyBorder="0" applyAlignment="0" applyProtection="0"/>
    <xf numFmtId="43" fontId="34"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28"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 fillId="0" borderId="0" applyFont="0" applyFill="0" applyBorder="0" applyAlignment="0" applyProtection="0"/>
    <xf numFmtId="43" fontId="4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7" fontId="34"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8"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34"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52" fillId="55" borderId="0" applyNumberFormat="0" applyBorder="0" applyAlignment="0" applyProtection="0"/>
    <xf numFmtId="0" fontId="52" fillId="8" borderId="0" applyNumberFormat="0" applyBorder="0" applyAlignment="0" applyProtection="0"/>
    <xf numFmtId="0" fontId="38" fillId="0" borderId="5">
      <alignment horizontal="left" vertical="center"/>
    </xf>
    <xf numFmtId="0" fontId="84" fillId="0" borderId="78" applyNumberFormat="0" applyFill="0" applyAlignment="0" applyProtection="0"/>
    <xf numFmtId="0" fontId="53" fillId="0" borderId="6" applyNumberFormat="0" applyFill="0" applyAlignment="0" applyProtection="0"/>
    <xf numFmtId="0" fontId="85" fillId="0" borderId="79" applyNumberFormat="0" applyFill="0" applyAlignment="0" applyProtection="0"/>
    <xf numFmtId="0" fontId="54" fillId="0" borderId="7" applyNumberFormat="0" applyFill="0" applyAlignment="0" applyProtection="0"/>
    <xf numFmtId="0" fontId="86" fillId="0" borderId="80" applyNumberFormat="0" applyFill="0" applyAlignment="0" applyProtection="0"/>
    <xf numFmtId="0" fontId="55" fillId="0" borderId="8" applyNumberFormat="0" applyFill="0" applyAlignment="0" applyProtection="0"/>
    <xf numFmtId="0" fontId="86" fillId="0" borderId="0" applyNumberFormat="0" applyFill="0" applyBorder="0" applyAlignment="0" applyProtection="0"/>
    <xf numFmtId="0" fontId="55" fillId="0" borderId="0" applyNumberFormat="0" applyFill="0" applyBorder="0" applyAlignment="0" applyProtection="0"/>
    <xf numFmtId="10" fontId="37" fillId="19" borderId="9" applyNumberFormat="0" applyBorder="0" applyAlignment="0" applyProtection="0"/>
    <xf numFmtId="0" fontId="56" fillId="7" borderId="2" applyNumberFormat="0" applyAlignment="0" applyProtection="0"/>
    <xf numFmtId="0" fontId="56" fillId="7" borderId="2" applyNumberFormat="0" applyAlignment="0" applyProtection="0"/>
    <xf numFmtId="0" fontId="56" fillId="9" borderId="2" applyNumberFormat="0" applyAlignment="0" applyProtection="0"/>
    <xf numFmtId="0" fontId="56" fillId="7" borderId="2" applyNumberFormat="0" applyAlignment="0" applyProtection="0"/>
    <xf numFmtId="0" fontId="56" fillId="7" borderId="2" applyNumberFormat="0" applyAlignment="0" applyProtection="0"/>
    <xf numFmtId="0" fontId="56" fillId="9" borderId="2" applyNumberFormat="0" applyAlignment="0" applyProtection="0"/>
    <xf numFmtId="0" fontId="56" fillId="9" borderId="2" applyNumberFormat="0" applyAlignment="0" applyProtection="0"/>
    <xf numFmtId="0" fontId="56" fillId="9" borderId="2" applyNumberFormat="0" applyAlignment="0" applyProtection="0"/>
    <xf numFmtId="0" fontId="56" fillId="9" borderId="2" applyNumberFormat="0" applyAlignment="0" applyProtection="0"/>
    <xf numFmtId="0" fontId="56" fillId="9" borderId="2" applyNumberFormat="0" applyAlignment="0" applyProtection="0"/>
    <xf numFmtId="0" fontId="56" fillId="9" borderId="2" applyNumberFormat="0" applyAlignment="0" applyProtection="0"/>
    <xf numFmtId="0" fontId="56" fillId="9" borderId="2" applyNumberFormat="0" applyAlignment="0" applyProtection="0"/>
    <xf numFmtId="0" fontId="56" fillId="9" borderId="2" applyNumberFormat="0" applyAlignment="0" applyProtection="0"/>
    <xf numFmtId="0" fontId="87" fillId="0" borderId="81" applyNumberFormat="0" applyFill="0" applyAlignment="0" applyProtection="0"/>
    <xf numFmtId="0" fontId="57" fillId="0" borderId="10" applyNumberFormat="0" applyFill="0" applyAlignment="0" applyProtection="0"/>
    <xf numFmtId="0" fontId="88" fillId="9" borderId="0" applyNumberFormat="0" applyBorder="0" applyAlignment="0" applyProtection="0"/>
    <xf numFmtId="0" fontId="58" fillId="9" borderId="0" applyNumberFormat="0" applyBorder="0" applyAlignment="0" applyProtection="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9"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39"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9"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9" fontId="24" fillId="0" borderId="0"/>
    <xf numFmtId="0" fontId="13" fillId="0" borderId="0"/>
    <xf numFmtId="0" fontId="13" fillId="0" borderId="0"/>
    <xf numFmtId="0" fontId="13" fillId="0" borderId="0"/>
    <xf numFmtId="0" fontId="13" fillId="0" borderId="0"/>
    <xf numFmtId="0" fontId="13" fillId="0" borderId="0"/>
    <xf numFmtId="39" fontId="24" fillId="0" borderId="0"/>
    <xf numFmtId="39" fontId="24" fillId="0" borderId="0"/>
    <xf numFmtId="39" fontId="24" fillId="0" borderId="0"/>
    <xf numFmtId="39" fontId="24" fillId="0" borderId="0"/>
    <xf numFmtId="39" fontId="24" fillId="0" borderId="0"/>
    <xf numFmtId="39" fontId="24" fillId="0" borderId="0"/>
    <xf numFmtId="0" fontId="13" fillId="0" borderId="0"/>
    <xf numFmtId="0" fontId="13" fillId="0" borderId="0"/>
    <xf numFmtId="0" fontId="13" fillId="0" borderId="0"/>
    <xf numFmtId="0" fontId="13" fillId="0" borderId="0"/>
    <xf numFmtId="0" fontId="13" fillId="0" borderId="0"/>
    <xf numFmtId="39" fontId="24" fillId="0" borderId="0"/>
    <xf numFmtId="39" fontId="24" fillId="0" borderId="0"/>
    <xf numFmtId="39" fontId="24" fillId="0" borderId="0"/>
    <xf numFmtId="39" fontId="24" fillId="0" borderId="0"/>
    <xf numFmtId="0" fontId="13" fillId="0" borderId="0"/>
    <xf numFmtId="0" fontId="33" fillId="0" borderId="0"/>
    <xf numFmtId="0" fontId="13" fillId="0" borderId="0"/>
    <xf numFmtId="0" fontId="24" fillId="0" borderId="0"/>
    <xf numFmtId="0" fontId="13" fillId="0" borderId="0"/>
    <xf numFmtId="0" fontId="13" fillId="0" borderId="0"/>
    <xf numFmtId="0" fontId="28" fillId="0" borderId="0"/>
    <xf numFmtId="39"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28" borderId="75" applyNumberFormat="0" applyFont="0" applyAlignment="0" applyProtection="0"/>
    <xf numFmtId="0" fontId="13" fillId="28" borderId="75" applyNumberFormat="0" applyFont="0" applyAlignment="0" applyProtection="0"/>
    <xf numFmtId="0" fontId="13" fillId="28" borderId="75" applyNumberFormat="0" applyFont="0" applyAlignment="0" applyProtection="0"/>
    <xf numFmtId="0" fontId="13" fillId="28" borderId="75" applyNumberFormat="0" applyFont="0" applyAlignment="0" applyProtection="0"/>
    <xf numFmtId="0" fontId="13" fillId="28" borderId="75" applyNumberFormat="0" applyFont="0" applyAlignment="0" applyProtection="0"/>
    <xf numFmtId="0" fontId="13" fillId="28" borderId="75" applyNumberFormat="0" applyFont="0" applyAlignment="0" applyProtection="0"/>
    <xf numFmtId="0" fontId="59" fillId="62" borderId="12" applyNumberFormat="0" applyAlignment="0" applyProtection="0"/>
    <xf numFmtId="0" fontId="59" fillId="16" borderId="1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4" fillId="0" borderId="0" applyFont="0" applyFill="0" applyBorder="0" applyAlignment="0" applyProtection="0"/>
    <xf numFmtId="9" fontId="43" fillId="0" borderId="0" applyFont="0" applyFill="0" applyBorder="0" applyAlignment="0" applyProtection="0"/>
    <xf numFmtId="9" fontId="34"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34"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34"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82" fillId="0" borderId="0" applyNumberFormat="0" applyFill="0" applyBorder="0" applyAlignment="0" applyProtection="0"/>
    <xf numFmtId="0" fontId="60" fillId="0" borderId="0" applyNumberFormat="0" applyFill="0" applyBorder="0" applyAlignment="0" applyProtection="0"/>
    <xf numFmtId="0" fontId="61" fillId="0" borderId="82" applyNumberFormat="0" applyFill="0" applyAlignment="0" applyProtection="0"/>
    <xf numFmtId="0" fontId="61" fillId="0" borderId="13" applyNumberFormat="0" applyFill="0" applyAlignment="0" applyProtection="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0" fillId="0" borderId="0"/>
    <xf numFmtId="0" fontId="10" fillId="0" borderId="0"/>
    <xf numFmtId="0" fontId="10" fillId="28" borderId="75" applyNumberFormat="0" applyFont="0" applyAlignment="0" applyProtection="0"/>
    <xf numFmtId="0" fontId="10" fillId="30"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49" fillId="16" borderId="8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8" fillId="0" borderId="90">
      <alignment horizontal="left" vertical="center"/>
    </xf>
    <xf numFmtId="10" fontId="37" fillId="19" borderId="87" applyNumberFormat="0" applyBorder="0" applyAlignment="0" applyProtection="0"/>
    <xf numFmtId="0" fontId="56" fillId="9" borderId="89"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0" fontId="9" fillId="0" borderId="0"/>
    <xf numFmtId="0" fontId="9" fillId="28" borderId="75" applyNumberFormat="0" applyFont="0" applyAlignment="0" applyProtection="0"/>
    <xf numFmtId="0" fontId="9" fillId="0" borderId="0"/>
    <xf numFmtId="0" fontId="9" fillId="0" borderId="0"/>
    <xf numFmtId="0" fontId="9" fillId="0" borderId="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0" fontId="9" fillId="0" borderId="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75" applyNumberFormat="0" applyFont="0" applyAlignment="0" applyProtection="0"/>
    <xf numFmtId="0" fontId="9" fillId="0" borderId="0"/>
    <xf numFmtId="0" fontId="9" fillId="0" borderId="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42" borderId="0" applyNumberFormat="0" applyBorder="0" applyAlignment="0" applyProtection="0"/>
    <xf numFmtId="0" fontId="9" fillId="43" borderId="0" applyNumberFormat="0" applyBorder="0" applyAlignment="0" applyProtection="0"/>
    <xf numFmtId="0" fontId="9" fillId="0" borderId="0"/>
    <xf numFmtId="0" fontId="9" fillId="46" borderId="0" applyNumberFormat="0" applyBorder="0" applyAlignment="0" applyProtection="0"/>
    <xf numFmtId="0" fontId="9" fillId="47" borderId="0" applyNumberFormat="0" applyBorder="0" applyAlignment="0" applyProtection="0"/>
    <xf numFmtId="0" fontId="9" fillId="0" borderId="0"/>
    <xf numFmtId="0" fontId="9" fillId="50" borderId="0" applyNumberFormat="0" applyBorder="0" applyAlignment="0" applyProtection="0"/>
    <xf numFmtId="0" fontId="9" fillId="51" borderId="0" applyNumberFormat="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0" fontId="9" fillId="0" borderId="0"/>
    <xf numFmtId="0" fontId="9" fillId="28" borderId="75" applyNumberFormat="0" applyFont="0" applyAlignment="0" applyProtection="0"/>
    <xf numFmtId="0" fontId="9" fillId="0" borderId="0"/>
    <xf numFmtId="0" fontId="9" fillId="0" borderId="0"/>
    <xf numFmtId="0" fontId="9" fillId="0" borderId="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0" fontId="9" fillId="0" borderId="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75" applyNumberFormat="0" applyFont="0" applyAlignment="0" applyProtection="0"/>
    <xf numFmtId="0" fontId="9" fillId="0" borderId="0"/>
    <xf numFmtId="0" fontId="9" fillId="0" borderId="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42" borderId="0" applyNumberFormat="0" applyBorder="0" applyAlignment="0" applyProtection="0"/>
    <xf numFmtId="0" fontId="9" fillId="43" borderId="0" applyNumberFormat="0" applyBorder="0" applyAlignment="0" applyProtection="0"/>
    <xf numFmtId="0" fontId="9" fillId="0" borderId="0"/>
    <xf numFmtId="0" fontId="9" fillId="46" borderId="0" applyNumberFormat="0" applyBorder="0" applyAlignment="0" applyProtection="0"/>
    <xf numFmtId="0" fontId="9" fillId="47" borderId="0" applyNumberFormat="0" applyBorder="0" applyAlignment="0" applyProtection="0"/>
    <xf numFmtId="0" fontId="9" fillId="0" borderId="0"/>
    <xf numFmtId="0" fontId="9" fillId="50" borderId="0" applyNumberFormat="0" applyBorder="0" applyAlignment="0" applyProtection="0"/>
    <xf numFmtId="0" fontId="9" fillId="51" borderId="0" applyNumberFormat="0" applyBorder="0" applyAlignment="0" applyProtection="0"/>
    <xf numFmtId="0" fontId="9" fillId="0" borderId="0"/>
    <xf numFmtId="0" fontId="9" fillId="0" borderId="0"/>
    <xf numFmtId="0" fontId="9" fillId="0" borderId="0"/>
    <xf numFmtId="0" fontId="9" fillId="0" borderId="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83" fillId="62" borderId="89" applyNumberFormat="0" applyAlignment="0" applyProtection="0"/>
    <xf numFmtId="0" fontId="83" fillId="62" borderId="89" applyNumberFormat="0" applyAlignment="0" applyProtection="0"/>
    <xf numFmtId="0" fontId="49" fillId="16" borderId="89" applyNumberFormat="0" applyAlignment="0" applyProtection="0"/>
    <xf numFmtId="0" fontId="49" fillId="16" borderId="89" applyNumberFormat="0" applyAlignment="0" applyProtection="0"/>
    <xf numFmtId="0" fontId="49" fillId="16" borderId="8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8" fillId="0" borderId="90">
      <alignment horizontal="left" vertical="center"/>
    </xf>
    <xf numFmtId="10" fontId="37" fillId="19" borderId="87" applyNumberFormat="0" applyBorder="0" applyAlignment="0" applyProtection="0"/>
    <xf numFmtId="0" fontId="56" fillId="7" borderId="89" applyNumberFormat="0" applyAlignment="0" applyProtection="0"/>
    <xf numFmtId="0" fontId="56" fillId="7" borderId="89" applyNumberFormat="0" applyAlignment="0" applyProtection="0"/>
    <xf numFmtId="0" fontId="56" fillId="9" borderId="89" applyNumberFormat="0" applyAlignment="0" applyProtection="0"/>
    <xf numFmtId="0" fontId="56" fillId="7" borderId="89" applyNumberFormat="0" applyAlignment="0" applyProtection="0"/>
    <xf numFmtId="0" fontId="56" fillId="7" borderId="89" applyNumberFormat="0" applyAlignment="0" applyProtection="0"/>
    <xf numFmtId="0" fontId="56" fillId="9" borderId="89" applyNumberFormat="0" applyAlignment="0" applyProtection="0"/>
    <xf numFmtId="0" fontId="56" fillId="9" borderId="89" applyNumberFormat="0" applyAlignment="0" applyProtection="0"/>
    <xf numFmtId="0" fontId="56" fillId="9" borderId="89" applyNumberFormat="0" applyAlignment="0" applyProtection="0"/>
    <xf numFmtId="0" fontId="56" fillId="9" borderId="89" applyNumberFormat="0" applyAlignment="0" applyProtection="0"/>
    <xf numFmtId="0" fontId="56" fillId="9" borderId="89" applyNumberFormat="0" applyAlignment="0" applyProtection="0"/>
    <xf numFmtId="0" fontId="56" fillId="9" borderId="89" applyNumberFormat="0" applyAlignment="0" applyProtection="0"/>
    <xf numFmtId="0" fontId="56" fillId="9" borderId="89" applyNumberFormat="0" applyAlignment="0" applyProtection="0"/>
    <xf numFmtId="0" fontId="56" fillId="9" borderId="89"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75" applyNumberFormat="0" applyFont="0" applyAlignment="0" applyProtection="0"/>
    <xf numFmtId="0" fontId="9" fillId="28" borderId="75" applyNumberFormat="0" applyFont="0" applyAlignment="0" applyProtection="0"/>
    <xf numFmtId="0" fontId="9" fillId="28" borderId="75" applyNumberFormat="0" applyFont="0" applyAlignment="0" applyProtection="0"/>
    <xf numFmtId="0" fontId="9" fillId="28" borderId="75" applyNumberFormat="0" applyFont="0" applyAlignment="0" applyProtection="0"/>
    <xf numFmtId="0" fontId="9" fillId="28" borderId="75" applyNumberFormat="0" applyFont="0" applyAlignment="0" applyProtection="0"/>
    <xf numFmtId="0" fontId="9" fillId="28" borderId="75"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28" borderId="75" applyNumberFormat="0" applyFont="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8" fillId="0" borderId="0"/>
    <xf numFmtId="0" fontId="8" fillId="0" borderId="0"/>
    <xf numFmtId="0" fontId="8" fillId="0" borderId="0"/>
    <xf numFmtId="0" fontId="8" fillId="0" borderId="0"/>
    <xf numFmtId="0" fontId="8" fillId="28" borderId="75" applyNumberFormat="0" applyFont="0" applyAlignment="0" applyProtection="0"/>
    <xf numFmtId="0" fontId="8" fillId="30" borderId="0" applyNumberFormat="0" applyBorder="0" applyAlignment="0" applyProtection="0"/>
    <xf numFmtId="0" fontId="8" fillId="31" borderId="0" applyNumberFormat="0" applyBorder="0" applyAlignment="0" applyProtection="0"/>
    <xf numFmtId="43" fontId="8"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0" borderId="0"/>
    <xf numFmtId="0" fontId="8" fillId="50" borderId="0" applyNumberFormat="0" applyBorder="0" applyAlignment="0" applyProtection="0"/>
    <xf numFmtId="0" fontId="8" fillId="51" borderId="0" applyNumberFormat="0" applyBorder="0" applyAlignment="0" applyProtection="0"/>
    <xf numFmtId="0" fontId="33" fillId="0" borderId="0"/>
    <xf numFmtId="0" fontId="7" fillId="0" borderId="0"/>
    <xf numFmtId="43" fontId="34" fillId="0" borderId="0" applyFont="0" applyFill="0" applyBorder="0" applyAlignment="0" applyProtection="0"/>
    <xf numFmtId="43" fontId="7" fillId="0" borderId="0" applyFont="0" applyFill="0" applyBorder="0" applyAlignment="0" applyProtection="0"/>
    <xf numFmtId="0" fontId="56" fillId="9" borderId="89" applyNumberFormat="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32" fillId="0" borderId="96">
      <alignment horizontal="righ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75" applyNumberFormat="0" applyFont="0" applyAlignment="0" applyProtection="0"/>
    <xf numFmtId="0" fontId="5" fillId="28" borderId="75" applyNumberFormat="0" applyFont="0" applyAlignment="0" applyProtection="0"/>
    <xf numFmtId="0" fontId="5" fillId="28" borderId="75" applyNumberFormat="0" applyFont="0" applyAlignment="0" applyProtection="0"/>
    <xf numFmtId="0" fontId="5" fillId="28" borderId="75" applyNumberFormat="0" applyFont="0" applyAlignment="0" applyProtection="0"/>
    <xf numFmtId="0" fontId="5" fillId="28" borderId="75" applyNumberFormat="0" applyFont="0" applyAlignment="0" applyProtection="0"/>
    <xf numFmtId="0" fontId="5" fillId="28" borderId="75"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28" borderId="75" applyNumberFormat="0" applyFont="0" applyAlignment="0" applyProtection="0"/>
    <xf numFmtId="0" fontId="3" fillId="0" borderId="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0" borderId="0"/>
    <xf numFmtId="0" fontId="3" fillId="0" borderId="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0" borderId="0"/>
    <xf numFmtId="0" fontId="3" fillId="46" borderId="0" applyNumberFormat="0" applyBorder="0" applyAlignment="0" applyProtection="0"/>
    <xf numFmtId="0" fontId="3" fillId="47" borderId="0" applyNumberFormat="0" applyBorder="0" applyAlignment="0" applyProtection="0"/>
    <xf numFmtId="0" fontId="3" fillId="0" borderId="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28" borderId="75" applyNumberFormat="0" applyFont="0" applyAlignment="0" applyProtection="0"/>
    <xf numFmtId="0" fontId="3" fillId="0" borderId="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0" borderId="0"/>
    <xf numFmtId="0" fontId="3" fillId="0" borderId="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0" borderId="0"/>
    <xf numFmtId="0" fontId="3" fillId="46" borderId="0" applyNumberFormat="0" applyBorder="0" applyAlignment="0" applyProtection="0"/>
    <xf numFmtId="0" fontId="3" fillId="47" borderId="0" applyNumberFormat="0" applyBorder="0" applyAlignment="0" applyProtection="0"/>
    <xf numFmtId="0" fontId="3" fillId="0" borderId="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28" borderId="75" applyNumberFormat="0" applyFont="0" applyAlignment="0" applyProtection="0"/>
    <xf numFmtId="0" fontId="3" fillId="0" borderId="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0" borderId="0"/>
    <xf numFmtId="0" fontId="3" fillId="0" borderId="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0" borderId="0"/>
    <xf numFmtId="0" fontId="3" fillId="46" borderId="0" applyNumberFormat="0" applyBorder="0" applyAlignment="0" applyProtection="0"/>
    <xf numFmtId="0" fontId="3" fillId="47" borderId="0" applyNumberFormat="0" applyBorder="0" applyAlignment="0" applyProtection="0"/>
    <xf numFmtId="0" fontId="3" fillId="0" borderId="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28" borderId="75" applyNumberFormat="0" applyFont="0" applyAlignment="0" applyProtection="0"/>
    <xf numFmtId="0" fontId="3" fillId="0" borderId="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0" borderId="0"/>
    <xf numFmtId="0" fontId="3" fillId="0" borderId="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0" borderId="0"/>
    <xf numFmtId="0" fontId="3" fillId="46" borderId="0" applyNumberFormat="0" applyBorder="0" applyAlignment="0" applyProtection="0"/>
    <xf numFmtId="0" fontId="3" fillId="47" borderId="0" applyNumberFormat="0" applyBorder="0" applyAlignment="0" applyProtection="0"/>
    <xf numFmtId="0" fontId="3" fillId="0" borderId="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0" borderId="0"/>
    <xf numFmtId="0" fontId="3" fillId="50" borderId="0" applyNumberFormat="0" applyBorder="0" applyAlignment="0" applyProtection="0"/>
    <xf numFmtId="0" fontId="3" fillId="5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0" fontId="3" fillId="28" borderId="7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5" borderId="97" applyNumberFormat="0" applyFont="0" applyAlignment="0" applyProtection="0"/>
    <xf numFmtId="0" fontId="33" fillId="5" borderId="97" applyNumberFormat="0" applyFont="0" applyAlignment="0" applyProtection="0"/>
    <xf numFmtId="0" fontId="33" fillId="5" borderId="97" applyNumberFormat="0" applyFont="0" applyAlignment="0" applyProtection="0"/>
    <xf numFmtId="0" fontId="59" fillId="16" borderId="98" applyNumberFormat="0" applyAlignment="0" applyProtection="0"/>
    <xf numFmtId="0" fontId="61" fillId="0" borderId="99" applyNumberFormat="0" applyFill="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0" borderId="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0" borderId="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59" fillId="62" borderId="98" applyNumberFormat="0" applyAlignment="0" applyProtection="0"/>
    <xf numFmtId="0" fontId="59" fillId="16" borderId="9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1" fillId="0" borderId="100" applyNumberFormat="0" applyFill="0" applyAlignment="0" applyProtection="0"/>
    <xf numFmtId="0" fontId="61" fillId="0" borderId="99" applyNumberFormat="0" applyFill="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49" fillId="16" borderId="10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0" borderId="103">
      <alignment horizontal="left" vertical="center"/>
    </xf>
    <xf numFmtId="10" fontId="37" fillId="19" borderId="101" applyNumberFormat="0" applyBorder="0" applyAlignment="0" applyProtection="0"/>
    <xf numFmtId="0" fontId="56" fillId="9" borderId="10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0" borderId="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0" borderId="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83" fillId="62" borderId="102" applyNumberFormat="0" applyAlignment="0" applyProtection="0"/>
    <xf numFmtId="0" fontId="83" fillId="62" borderId="102" applyNumberFormat="0" applyAlignment="0" applyProtection="0"/>
    <xf numFmtId="0" fontId="49" fillId="16" borderId="102" applyNumberFormat="0" applyAlignment="0" applyProtection="0"/>
    <xf numFmtId="0" fontId="49" fillId="16" borderId="102" applyNumberFormat="0" applyAlignment="0" applyProtection="0"/>
    <xf numFmtId="0" fontId="49" fillId="16" borderId="10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0" borderId="103">
      <alignment horizontal="left" vertical="center"/>
    </xf>
    <xf numFmtId="10" fontId="37" fillId="19" borderId="101" applyNumberFormat="0" applyBorder="0" applyAlignment="0" applyProtection="0"/>
    <xf numFmtId="0" fontId="56" fillId="7" borderId="102" applyNumberFormat="0" applyAlignment="0" applyProtection="0"/>
    <xf numFmtId="0" fontId="56" fillId="7" borderId="102" applyNumberFormat="0" applyAlignment="0" applyProtection="0"/>
    <xf numFmtId="0" fontId="56" fillId="9" borderId="102" applyNumberFormat="0" applyAlignment="0" applyProtection="0"/>
    <xf numFmtId="0" fontId="56" fillId="7" borderId="102" applyNumberFormat="0" applyAlignment="0" applyProtection="0"/>
    <xf numFmtId="0" fontId="56" fillId="7" borderId="102" applyNumberFormat="0" applyAlignment="0" applyProtection="0"/>
    <xf numFmtId="0" fontId="56" fillId="9" borderId="102" applyNumberFormat="0" applyAlignment="0" applyProtection="0"/>
    <xf numFmtId="0" fontId="56" fillId="9" borderId="102" applyNumberFormat="0" applyAlignment="0" applyProtection="0"/>
    <xf numFmtId="0" fontId="56" fillId="9" borderId="102" applyNumberFormat="0" applyAlignment="0" applyProtection="0"/>
    <xf numFmtId="0" fontId="56" fillId="9" borderId="102" applyNumberFormat="0" applyAlignment="0" applyProtection="0"/>
    <xf numFmtId="0" fontId="56" fillId="9" borderId="102" applyNumberFormat="0" applyAlignment="0" applyProtection="0"/>
    <xf numFmtId="0" fontId="56" fillId="9" borderId="102" applyNumberFormat="0" applyAlignment="0" applyProtection="0"/>
    <xf numFmtId="0" fontId="56" fillId="9" borderId="102" applyNumberFormat="0" applyAlignment="0" applyProtection="0"/>
    <xf numFmtId="0" fontId="56" fillId="9" borderId="10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0" fontId="56" fillId="9" borderId="102" applyNumberForma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0" borderId="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0" borderId="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0" borderId="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0" borderId="0"/>
    <xf numFmtId="0" fontId="2" fillId="0" borderId="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0" borderId="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0" borderId="0"/>
    <xf numFmtId="0" fontId="2" fillId="50" borderId="0" applyNumberFormat="0" applyBorder="0" applyAlignment="0" applyProtection="0"/>
    <xf numFmtId="0" fontId="2" fillId="5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0" fontId="2" fillId="28" borderId="7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8" borderId="75" applyNumberFormat="0" applyFont="0" applyAlignment="0" applyProtection="0"/>
    <xf numFmtId="0" fontId="1" fillId="28" borderId="75" applyNumberFormat="0" applyFont="0" applyAlignment="0" applyProtection="0"/>
    <xf numFmtId="0" fontId="1" fillId="28" borderId="75" applyNumberFormat="0" applyFont="0" applyAlignment="0" applyProtection="0"/>
    <xf numFmtId="0" fontId="1" fillId="28" borderId="75" applyNumberFormat="0" applyFont="0" applyAlignment="0" applyProtection="0"/>
    <xf numFmtId="0" fontId="1" fillId="28" borderId="75" applyNumberFormat="0" applyFont="0" applyAlignment="0" applyProtection="0"/>
    <xf numFmtId="0" fontId="1" fillId="28" borderId="7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041">
    <xf numFmtId="0" fontId="0" fillId="0" borderId="0" xfId="0"/>
    <xf numFmtId="0" fontId="25" fillId="0" borderId="20" xfId="0" applyFont="1" applyBorder="1" applyAlignment="1">
      <alignment horizontal="center"/>
    </xf>
    <xf numFmtId="0" fontId="25" fillId="0" borderId="21" xfId="0" applyFont="1" applyBorder="1" applyAlignment="1">
      <alignment horizontal="center"/>
    </xf>
    <xf numFmtId="164" fontId="26" fillId="0" borderId="23" xfId="30" applyNumberFormat="1" applyFont="1" applyBorder="1"/>
    <xf numFmtId="164" fontId="26" fillId="0" borderId="20" xfId="30" applyNumberFormat="1" applyFont="1" applyBorder="1"/>
    <xf numFmtId="164" fontId="26" fillId="0" borderId="21" xfId="30" applyNumberFormat="1" applyFont="1" applyBorder="1"/>
    <xf numFmtId="164" fontId="26" fillId="0" borderId="23" xfId="51" applyNumberFormat="1" applyFont="1" applyBorder="1"/>
    <xf numFmtId="164" fontId="26" fillId="0" borderId="20" xfId="51" applyNumberFormat="1" applyFont="1" applyBorder="1"/>
    <xf numFmtId="164" fontId="26" fillId="0" borderId="21" xfId="51" applyNumberFormat="1" applyFont="1" applyBorder="1"/>
    <xf numFmtId="39" fontId="29" fillId="0" borderId="23" xfId="218" applyFont="1" applyBorder="1" applyProtection="1">
      <protection locked="0"/>
    </xf>
    <xf numFmtId="39" fontId="28" fillId="0" borderId="51" xfId="218" applyFont="1" applyBorder="1" applyProtection="1">
      <protection locked="0"/>
    </xf>
    <xf numFmtId="39" fontId="28" fillId="0" borderId="36" xfId="218" applyFont="1" applyBorder="1" applyAlignment="1" applyProtection="1">
      <alignment horizontal="center"/>
      <protection locked="0"/>
    </xf>
    <xf numFmtId="174" fontId="28" fillId="0" borderId="20" xfId="218" applyNumberFormat="1" applyFont="1" applyBorder="1" applyAlignment="1" applyProtection="1">
      <alignment horizontal="center"/>
    </xf>
    <xf numFmtId="39" fontId="28" fillId="0" borderId="20" xfId="218" applyFont="1" applyBorder="1" applyProtection="1"/>
    <xf numFmtId="39" fontId="28" fillId="0" borderId="20" xfId="218" applyFont="1" applyBorder="1" applyAlignment="1" applyProtection="1">
      <alignment horizontal="center"/>
    </xf>
    <xf numFmtId="174" fontId="28" fillId="0" borderId="31" xfId="218" applyNumberFormat="1" applyFont="1" applyBorder="1" applyAlignment="1" applyProtection="1">
      <alignment horizontal="center"/>
    </xf>
    <xf numFmtId="39" fontId="28" fillId="0" borderId="1" xfId="218" applyFont="1" applyBorder="1" applyProtection="1"/>
    <xf numFmtId="39" fontId="28" fillId="0" borderId="1" xfId="218" applyFont="1" applyBorder="1" applyAlignment="1" applyProtection="1">
      <alignment horizontal="left"/>
    </xf>
    <xf numFmtId="39" fontId="28" fillId="0" borderId="43" xfId="218" applyFont="1" applyBorder="1" applyProtection="1">
      <protection locked="0"/>
    </xf>
    <xf numFmtId="39" fontId="28" fillId="0" borderId="61" xfId="218" applyFont="1" applyBorder="1" applyAlignment="1" applyProtection="1">
      <alignment horizontal="center"/>
      <protection locked="0"/>
    </xf>
    <xf numFmtId="0" fontId="0" fillId="0" borderId="0" xfId="0" applyAlignment="1">
      <alignment horizontal="center"/>
    </xf>
    <xf numFmtId="0" fontId="28" fillId="0" borderId="14"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wrapText="1"/>
    </xf>
    <xf numFmtId="0" fontId="28" fillId="0" borderId="0" xfId="0" applyFont="1"/>
    <xf numFmtId="0" fontId="28" fillId="0" borderId="22" xfId="0" applyFont="1" applyBorder="1" applyAlignment="1">
      <alignment horizontal="left" indent="1"/>
    </xf>
    <xf numFmtId="0" fontId="28" fillId="0" borderId="22" xfId="0" applyFont="1" applyBorder="1"/>
    <xf numFmtId="0" fontId="28" fillId="0" borderId="0" xfId="0" applyFont="1" applyBorder="1"/>
    <xf numFmtId="43" fontId="28" fillId="0" borderId="23" xfId="53" applyFont="1" applyBorder="1"/>
    <xf numFmtId="0" fontId="28" fillId="0" borderId="23" xfId="0" applyFont="1" applyBorder="1"/>
    <xf numFmtId="0" fontId="28" fillId="0" borderId="19" xfId="0" applyFont="1" applyBorder="1"/>
    <xf numFmtId="0" fontId="28" fillId="0" borderId="20" xfId="0" applyFont="1" applyBorder="1"/>
    <xf numFmtId="0" fontId="28" fillId="0" borderId="21" xfId="0" applyFont="1" applyBorder="1"/>
    <xf numFmtId="49" fontId="28" fillId="0" borderId="0" xfId="0" applyNumberFormat="1" applyFont="1" applyAlignment="1">
      <alignment horizontal="center"/>
    </xf>
    <xf numFmtId="0" fontId="28" fillId="0" borderId="0" xfId="0" applyFont="1" applyAlignment="1">
      <alignment horizontal="center"/>
    </xf>
    <xf numFmtId="0" fontId="28" fillId="0" borderId="0" xfId="0" applyFont="1" applyFill="1" applyBorder="1" applyAlignment="1">
      <alignment horizontal="right"/>
    </xf>
    <xf numFmtId="0" fontId="42" fillId="0" borderId="0" xfId="0" applyFont="1" applyFill="1" applyAlignment="1">
      <alignment horizontal="center"/>
    </xf>
    <xf numFmtId="0" fontId="28" fillId="0" borderId="14" xfId="0" applyFont="1" applyBorder="1" applyAlignment="1">
      <alignment horizontal="center"/>
    </xf>
    <xf numFmtId="0" fontId="28" fillId="0" borderId="24" xfId="0" applyFont="1" applyBorder="1" applyAlignment="1">
      <alignment horizontal="center"/>
    </xf>
    <xf numFmtId="0" fontId="28" fillId="0" borderId="18" xfId="0" applyFont="1" applyBorder="1" applyAlignment="1">
      <alignment horizontal="center"/>
    </xf>
    <xf numFmtId="0" fontId="29" fillId="0" borderId="15" xfId="0" applyFont="1" applyFill="1" applyBorder="1" applyAlignment="1">
      <alignment horizontal="center"/>
    </xf>
    <xf numFmtId="0" fontId="28" fillId="0" borderId="0" xfId="0" applyFont="1" applyBorder="1" applyAlignment="1">
      <alignment horizontal="center"/>
    </xf>
    <xf numFmtId="37" fontId="28" fillId="0" borderId="23" xfId="0" applyNumberFormat="1" applyFont="1" applyFill="1" applyBorder="1"/>
    <xf numFmtId="0" fontId="28" fillId="0" borderId="20" xfId="0" applyFont="1" applyBorder="1" applyAlignment="1">
      <alignment horizontal="center"/>
    </xf>
    <xf numFmtId="0" fontId="29" fillId="0" borderId="19" xfId="0" applyFont="1" applyFill="1" applyBorder="1" applyAlignment="1">
      <alignment horizontal="center"/>
    </xf>
    <xf numFmtId="0" fontId="29" fillId="0" borderId="16" xfId="0" applyFont="1" applyFill="1" applyBorder="1" applyAlignment="1">
      <alignment horizontal="center"/>
    </xf>
    <xf numFmtId="0" fontId="29" fillId="0" borderId="17" xfId="0" applyFont="1" applyFill="1" applyBorder="1" applyAlignment="1">
      <alignment horizontal="center"/>
    </xf>
    <xf numFmtId="0" fontId="29" fillId="0" borderId="20" xfId="0" applyFont="1" applyFill="1" applyBorder="1" applyAlignment="1">
      <alignment horizontal="center"/>
    </xf>
    <xf numFmtId="0" fontId="29" fillId="0" borderId="21" xfId="0" applyFont="1" applyFill="1" applyBorder="1" applyAlignment="1">
      <alignment horizontal="center"/>
    </xf>
    <xf numFmtId="37" fontId="28" fillId="0" borderId="16" xfId="0" applyNumberFormat="1" applyFont="1" applyFill="1" applyBorder="1" applyProtection="1">
      <protection locked="0"/>
    </xf>
    <xf numFmtId="37" fontId="28" fillId="0" borderId="17" xfId="0" applyNumberFormat="1" applyFont="1" applyFill="1" applyBorder="1"/>
    <xf numFmtId="0" fontId="29" fillId="0" borderId="22" xfId="0" applyFont="1" applyFill="1" applyBorder="1" applyAlignment="1">
      <alignment wrapText="1"/>
    </xf>
    <xf numFmtId="0" fontId="28" fillId="0" borderId="22" xfId="0" applyFont="1" applyFill="1" applyBorder="1" applyAlignment="1">
      <alignment wrapText="1"/>
    </xf>
    <xf numFmtId="0" fontId="28" fillId="0" borderId="0" xfId="0" quotePrefix="1" applyFont="1" applyFill="1" applyBorder="1" applyAlignment="1">
      <alignment horizontal="center" wrapText="1"/>
    </xf>
    <xf numFmtId="164" fontId="28" fillId="0" borderId="21" xfId="30" applyNumberFormat="1" applyFont="1" applyBorder="1"/>
    <xf numFmtId="164" fontId="28" fillId="0" borderId="23" xfId="30" applyNumberFormat="1" applyFont="1" applyBorder="1"/>
    <xf numFmtId="0" fontId="28" fillId="0" borderId="23" xfId="0" applyFont="1" applyBorder="1" applyAlignment="1">
      <alignment horizontal="center"/>
    </xf>
    <xf numFmtId="164" fontId="29" fillId="18" borderId="23" xfId="53" applyNumberFormat="1" applyFont="1" applyFill="1" applyBorder="1"/>
    <xf numFmtId="164" fontId="29" fillId="18" borderId="23" xfId="30" applyNumberFormat="1" applyFont="1" applyFill="1" applyBorder="1"/>
    <xf numFmtId="164" fontId="26" fillId="0" borderId="0" xfId="53" applyNumberFormat="1" applyFont="1" applyFill="1"/>
    <xf numFmtId="37" fontId="28" fillId="0" borderId="21" xfId="218" applyNumberFormat="1" applyFont="1" applyFill="1" applyBorder="1" applyProtection="1">
      <protection locked="0"/>
    </xf>
    <xf numFmtId="37" fontId="28" fillId="0" borderId="23" xfId="218" applyNumberFormat="1" applyFont="1" applyFill="1" applyBorder="1" applyProtection="1">
      <protection locked="0"/>
    </xf>
    <xf numFmtId="0" fontId="28" fillId="0" borderId="31" xfId="0" applyFont="1" applyBorder="1" applyAlignment="1">
      <alignment horizontal="center"/>
    </xf>
    <xf numFmtId="37" fontId="28" fillId="0" borderId="31" xfId="303" applyNumberFormat="1" applyFont="1" applyFill="1" applyBorder="1" applyProtection="1">
      <protection locked="0"/>
    </xf>
    <xf numFmtId="0" fontId="29" fillId="0" borderId="31" xfId="0" applyFont="1" applyBorder="1" applyAlignment="1" applyProtection="1">
      <alignment horizontal="center"/>
      <protection locked="0"/>
    </xf>
    <xf numFmtId="0" fontId="29" fillId="0" borderId="61" xfId="0" applyFont="1" applyBorder="1"/>
    <xf numFmtId="0" fontId="29" fillId="0" borderId="23" xfId="0" applyFont="1" applyBorder="1"/>
    <xf numFmtId="0" fontId="28" fillId="0" borderId="23" xfId="0" quotePrefix="1" applyFont="1" applyBorder="1" applyProtection="1">
      <protection locked="0"/>
    </xf>
    <xf numFmtId="0" fontId="29" fillId="0" borderId="23" xfId="0" applyFont="1" applyBorder="1" applyProtection="1">
      <protection locked="0"/>
    </xf>
    <xf numFmtId="0" fontId="29" fillId="0" borderId="34" xfId="0" applyFont="1" applyBorder="1"/>
    <xf numFmtId="0" fontId="29" fillId="0" borderId="21" xfId="0" applyFont="1" applyBorder="1"/>
    <xf numFmtId="0" fontId="29" fillId="0" borderId="38" xfId="0" applyFont="1" applyBorder="1" applyAlignment="1" applyProtection="1">
      <alignment horizontal="center"/>
      <protection locked="0"/>
    </xf>
    <xf numFmtId="0" fontId="29" fillId="0" borderId="23" xfId="0" applyFont="1" applyBorder="1" applyAlignment="1" applyProtection="1">
      <protection locked="0"/>
    </xf>
    <xf numFmtId="0" fontId="28" fillId="0" borderId="23" xfId="0" quotePrefix="1" applyFont="1" applyBorder="1" applyAlignment="1" applyProtection="1">
      <protection locked="0"/>
    </xf>
    <xf numFmtId="172" fontId="29" fillId="0" borderId="23" xfId="0" applyNumberFormat="1" applyFont="1" applyBorder="1" applyAlignment="1" applyProtection="1">
      <alignment horizontal="left"/>
      <protection locked="0"/>
    </xf>
    <xf numFmtId="37" fontId="28" fillId="0" borderId="23" xfId="0" applyNumberFormat="1" applyFont="1" applyFill="1" applyBorder="1" applyProtection="1">
      <protection locked="0"/>
    </xf>
    <xf numFmtId="0" fontId="28" fillId="0" borderId="23" xfId="0" applyFont="1" applyBorder="1" applyProtection="1">
      <protection locked="0"/>
    </xf>
    <xf numFmtId="0" fontId="29" fillId="0" borderId="20" xfId="0" applyFont="1" applyBorder="1"/>
    <xf numFmtId="0" fontId="29" fillId="0" borderId="23" xfId="0" applyFont="1" applyBorder="1" applyAlignment="1" applyProtection="1">
      <alignment horizontal="left" indent="1"/>
      <protection locked="0"/>
    </xf>
    <xf numFmtId="172" fontId="29" fillId="0" borderId="23" xfId="0" applyNumberFormat="1" applyFont="1" applyBorder="1" applyProtection="1">
      <protection locked="0"/>
    </xf>
    <xf numFmtId="172" fontId="28" fillId="0" borderId="23" xfId="0" applyNumberFormat="1" applyFont="1" applyFill="1" applyBorder="1" applyAlignment="1" applyProtection="1">
      <alignment horizontal="center"/>
      <protection locked="0"/>
    </xf>
    <xf numFmtId="172" fontId="29" fillId="0" borderId="23" xfId="0" applyNumberFormat="1" applyFont="1" applyBorder="1" applyAlignment="1" applyProtection="1">
      <alignment horizontal="center"/>
      <protection locked="0"/>
    </xf>
    <xf numFmtId="164" fontId="28" fillId="0" borderId="23" xfId="30" applyNumberFormat="1" applyFont="1" applyFill="1" applyBorder="1"/>
    <xf numFmtId="49" fontId="28" fillId="0" borderId="20" xfId="0" applyNumberFormat="1" applyFont="1" applyFill="1" applyBorder="1" applyAlignment="1">
      <alignment horizontal="left"/>
    </xf>
    <xf numFmtId="49" fontId="29" fillId="0" borderId="20" xfId="0" applyNumberFormat="1" applyFont="1" applyFill="1" applyBorder="1"/>
    <xf numFmtId="4" fontId="29" fillId="0" borderId="21" xfId="0" applyNumberFormat="1" applyFont="1" applyFill="1" applyBorder="1" applyAlignment="1">
      <alignment horizontal="right"/>
    </xf>
    <xf numFmtId="0" fontId="28" fillId="0" borderId="20" xfId="0" applyFont="1" applyFill="1" applyBorder="1"/>
    <xf numFmtId="49" fontId="28" fillId="0" borderId="20" xfId="0" applyNumberFormat="1" applyFont="1" applyFill="1" applyBorder="1"/>
    <xf numFmtId="37" fontId="28" fillId="0" borderId="23" xfId="218" applyNumberFormat="1" applyFont="1" applyBorder="1"/>
    <xf numFmtId="0" fontId="28" fillId="0" borderId="23" xfId="0" quotePrefix="1" applyFont="1" applyBorder="1" applyAlignment="1">
      <alignment horizontal="center"/>
    </xf>
    <xf numFmtId="0" fontId="29" fillId="0" borderId="21" xfId="0" applyFont="1" applyBorder="1" applyAlignment="1">
      <alignment horizontal="center"/>
    </xf>
    <xf numFmtId="3" fontId="28" fillId="0" borderId="23" xfId="0" applyNumberFormat="1" applyFont="1" applyFill="1" applyBorder="1" applyAlignment="1">
      <alignment horizontal="right"/>
    </xf>
    <xf numFmtId="3" fontId="28" fillId="0" borderId="21" xfId="0" applyNumberFormat="1" applyFont="1" applyFill="1" applyBorder="1" applyAlignment="1">
      <alignment horizontal="right"/>
    </xf>
    <xf numFmtId="3" fontId="29" fillId="0" borderId="21" xfId="0" applyNumberFormat="1" applyFont="1" applyFill="1" applyBorder="1" applyAlignment="1">
      <alignment horizontal="right"/>
    </xf>
    <xf numFmtId="37" fontId="29" fillId="53" borderId="23" xfId="218" applyNumberFormat="1" applyFont="1" applyFill="1" applyBorder="1"/>
    <xf numFmtId="0" fontId="41" fillId="0" borderId="0" xfId="189" applyFont="1" applyFill="1" applyAlignment="1">
      <alignment horizontal="center"/>
    </xf>
    <xf numFmtId="0" fontId="17" fillId="0" borderId="0" xfId="477"/>
    <xf numFmtId="0" fontId="16" fillId="0" borderId="0" xfId="477" applyFont="1"/>
    <xf numFmtId="164" fontId="81" fillId="0" borderId="0" xfId="30" applyNumberFormat="1" applyFont="1" applyAlignment="1">
      <alignment horizontal="right"/>
    </xf>
    <xf numFmtId="164" fontId="28" fillId="0" borderId="16" xfId="30" applyNumberFormat="1" applyFont="1" applyFill="1" applyBorder="1"/>
    <xf numFmtId="164" fontId="28" fillId="0" borderId="0" xfId="30" applyNumberFormat="1" applyFont="1" applyFill="1" applyBorder="1"/>
    <xf numFmtId="164" fontId="29" fillId="18" borderId="21" xfId="30" applyNumberFormat="1" applyFont="1" applyFill="1" applyBorder="1"/>
    <xf numFmtId="164" fontId="28" fillId="0" borderId="20" xfId="30" applyNumberFormat="1" applyFont="1" applyBorder="1"/>
    <xf numFmtId="0" fontId="15" fillId="0" borderId="0" xfId="484"/>
    <xf numFmtId="0" fontId="28" fillId="0" borderId="1" xfId="0" quotePrefix="1" applyFont="1" applyBorder="1" applyAlignment="1" applyProtection="1">
      <protection locked="0"/>
    </xf>
    <xf numFmtId="0" fontId="14" fillId="0" borderId="0" xfId="484" applyFont="1"/>
    <xf numFmtId="0" fontId="28" fillId="0" borderId="0" xfId="1227" applyFont="1" applyBorder="1"/>
    <xf numFmtId="0" fontId="28" fillId="0" borderId="0" xfId="1227" quotePrefix="1" applyFont="1"/>
    <xf numFmtId="0" fontId="28" fillId="0" borderId="0" xfId="1227" quotePrefix="1" applyFont="1" applyBorder="1" applyAlignment="1">
      <alignment horizontal="left"/>
    </xf>
    <xf numFmtId="0" fontId="11" fillId="0" borderId="0" xfId="1230" applyFont="1"/>
    <xf numFmtId="0" fontId="11" fillId="21" borderId="0" xfId="1230" applyFont="1" applyFill="1"/>
    <xf numFmtId="0" fontId="11" fillId="0" borderId="88" xfId="1230" applyFont="1" applyBorder="1" applyAlignment="1">
      <alignment horizontal="center"/>
    </xf>
    <xf numFmtId="0" fontId="11" fillId="0" borderId="24" xfId="1230" applyFont="1" applyBorder="1" applyAlignment="1">
      <alignment horizontal="center"/>
    </xf>
    <xf numFmtId="10" fontId="28" fillId="0" borderId="20" xfId="1227" applyNumberFormat="1" applyFont="1" applyFill="1" applyBorder="1" applyProtection="1">
      <protection locked="0"/>
    </xf>
    <xf numFmtId="0" fontId="17" fillId="64" borderId="0" xfId="477" applyFill="1"/>
    <xf numFmtId="3" fontId="29" fillId="0" borderId="91" xfId="0" applyNumberFormat="1" applyFont="1" applyFill="1" applyBorder="1" applyAlignment="1">
      <alignment horizontal="right"/>
    </xf>
    <xf numFmtId="0" fontId="7" fillId="0" borderId="0" xfId="1230" quotePrefix="1" applyFont="1"/>
    <xf numFmtId="164" fontId="11" fillId="0" borderId="92" xfId="30" applyNumberFormat="1" applyFont="1" applyBorder="1"/>
    <xf numFmtId="164" fontId="89" fillId="0" borderId="86" xfId="30" applyNumberFormat="1" applyFont="1" applyFill="1" applyBorder="1" applyAlignment="1" applyProtection="1">
      <alignment horizontal="right" vertical="center" wrapText="1"/>
    </xf>
    <xf numFmtId="164" fontId="89" fillId="0" borderId="85" xfId="30" applyNumberFormat="1" applyFont="1" applyFill="1" applyBorder="1" applyAlignment="1" applyProtection="1">
      <alignment horizontal="right" vertical="center" wrapText="1"/>
    </xf>
    <xf numFmtId="186" fontId="89" fillId="0" borderId="85" xfId="1887" applyNumberFormat="1" applyFont="1" applyFill="1" applyBorder="1" applyAlignment="1" applyProtection="1">
      <alignment horizontal="center"/>
    </xf>
    <xf numFmtId="185" fontId="89" fillId="0" borderId="85" xfId="1887" applyNumberFormat="1" applyFont="1" applyFill="1" applyBorder="1" applyAlignment="1" applyProtection="1">
      <alignment horizontal="center"/>
    </xf>
    <xf numFmtId="184" fontId="89" fillId="0" borderId="85" xfId="1887" applyNumberFormat="1" applyFont="1" applyFill="1" applyBorder="1" applyAlignment="1" applyProtection="1">
      <alignment horizontal="center"/>
    </xf>
    <xf numFmtId="183" fontId="89" fillId="0" borderId="85" xfId="1887" applyNumberFormat="1" applyFont="1" applyFill="1" applyBorder="1" applyAlignment="1" applyProtection="1">
      <alignment horizontal="center"/>
    </xf>
    <xf numFmtId="164" fontId="28" fillId="0" borderId="23" xfId="30" applyNumberFormat="1" applyFont="1" applyFill="1" applyBorder="1" applyAlignment="1">
      <alignment horizontal="right" vertical="center"/>
    </xf>
    <xf numFmtId="0" fontId="7" fillId="0" borderId="0" xfId="477" applyFont="1"/>
    <xf numFmtId="164" fontId="89" fillId="63" borderId="85" xfId="30" applyNumberFormat="1" applyFont="1" applyFill="1" applyBorder="1" applyAlignment="1" applyProtection="1">
      <alignment horizontal="right" vertical="center" wrapText="1"/>
    </xf>
    <xf numFmtId="164" fontId="29" fillId="21" borderId="23" xfId="30" applyNumberFormat="1" applyFont="1" applyFill="1" applyBorder="1"/>
    <xf numFmtId="0" fontId="6" fillId="0" borderId="0" xfId="477" applyFont="1"/>
    <xf numFmtId="0" fontId="17" fillId="0" borderId="0" xfId="477" applyFill="1"/>
    <xf numFmtId="173" fontId="90" fillId="0" borderId="83" xfId="1224" applyNumberFormat="1" applyFont="1" applyBorder="1" applyProtection="1">
      <protection locked="0"/>
    </xf>
    <xf numFmtId="3" fontId="26" fillId="0" borderId="30" xfId="1224" applyNumberFormat="1" applyFont="1" applyFill="1" applyBorder="1" applyProtection="1">
      <protection locked="0"/>
    </xf>
    <xf numFmtId="0" fontId="6" fillId="0" borderId="0" xfId="477" applyFont="1" applyFill="1"/>
    <xf numFmtId="164" fontId="29" fillId="0" borderId="20" xfId="30" applyNumberFormat="1" applyFont="1" applyBorder="1" applyAlignment="1">
      <alignment horizontal="right"/>
    </xf>
    <xf numFmtId="164" fontId="28" fillId="0" borderId="20" xfId="30" applyNumberFormat="1" applyFont="1" applyBorder="1" applyAlignment="1">
      <alignment horizontal="right"/>
    </xf>
    <xf numFmtId="43" fontId="28" fillId="0" borderId="31" xfId="30" applyFont="1" applyFill="1" applyBorder="1"/>
    <xf numFmtId="0" fontId="28" fillId="0" borderId="24" xfId="0" applyFont="1" applyBorder="1" applyAlignment="1">
      <alignment horizontal="center"/>
    </xf>
    <xf numFmtId="164" fontId="28" fillId="0" borderId="23" xfId="53" applyNumberFormat="1" applyFont="1" applyFill="1" applyBorder="1"/>
    <xf numFmtId="164" fontId="28" fillId="0" borderId="21" xfId="30" applyNumberFormat="1" applyFont="1" applyFill="1" applyBorder="1"/>
    <xf numFmtId="164" fontId="29" fillId="0" borderId="64" xfId="30" applyNumberFormat="1" applyFont="1" applyFill="1" applyBorder="1"/>
    <xf numFmtId="0" fontId="0" fillId="0" borderId="22" xfId="0" applyBorder="1"/>
    <xf numFmtId="0" fontId="91" fillId="0" borderId="0" xfId="2126" applyFont="1"/>
    <xf numFmtId="0" fontId="25" fillId="0" borderId="0" xfId="1224" applyFont="1" applyFill="1"/>
    <xf numFmtId="0" fontId="29" fillId="0" borderId="32" xfId="175" applyFont="1" applyBorder="1"/>
    <xf numFmtId="164" fontId="29" fillId="0" borderId="23" xfId="175" applyNumberFormat="1" applyFont="1" applyFill="1" applyBorder="1"/>
    <xf numFmtId="164" fontId="29" fillId="18" borderId="16" xfId="30" applyNumberFormat="1" applyFont="1" applyFill="1" applyBorder="1"/>
    <xf numFmtId="0" fontId="28" fillId="0" borderId="20" xfId="175" applyFont="1" applyFill="1" applyBorder="1"/>
    <xf numFmtId="0" fontId="91" fillId="0" borderId="0" xfId="2126" applyFont="1" applyAlignment="1">
      <alignment vertical="center" wrapText="1"/>
    </xf>
    <xf numFmtId="0" fontId="91" fillId="0" borderId="0" xfId="2126" applyFont="1" applyAlignment="1">
      <alignment vertical="center"/>
    </xf>
    <xf numFmtId="0" fontId="28" fillId="0" borderId="29" xfId="1227" applyFont="1" applyBorder="1"/>
    <xf numFmtId="0" fontId="28" fillId="0" borderId="29" xfId="1227" applyFont="1" applyBorder="1" applyAlignment="1">
      <alignment horizontal="center"/>
    </xf>
    <xf numFmtId="0" fontId="28" fillId="0" borderId="1" xfId="1227" applyFont="1" applyBorder="1" applyAlignment="1" applyProtection="1">
      <alignment horizontal="right"/>
      <protection locked="0"/>
    </xf>
    <xf numFmtId="180" fontId="28" fillId="0" borderId="84" xfId="1229" applyNumberFormat="1" applyFont="1" applyBorder="1" applyProtection="1">
      <protection locked="0"/>
    </xf>
    <xf numFmtId="172" fontId="28" fillId="0" borderId="65" xfId="1227" applyNumberFormat="1" applyFont="1" applyBorder="1" applyProtection="1">
      <protection locked="0"/>
    </xf>
    <xf numFmtId="0" fontId="28" fillId="0" borderId="0" xfId="1227" applyFont="1" applyBorder="1" applyAlignment="1" applyProtection="1">
      <alignment horizontal="right"/>
      <protection locked="0"/>
    </xf>
    <xf numFmtId="181" fontId="28" fillId="0" borderId="20" xfId="1227" applyNumberFormat="1" applyFont="1" applyFill="1" applyBorder="1" applyProtection="1">
      <protection locked="0"/>
    </xf>
    <xf numFmtId="0" fontId="28" fillId="0" borderId="46" xfId="1227" applyFont="1" applyBorder="1"/>
    <xf numFmtId="0" fontId="28" fillId="0" borderId="30" xfId="1227" applyFont="1" applyBorder="1" applyAlignment="1">
      <alignment horizontal="center" wrapText="1"/>
    </xf>
    <xf numFmtId="0" fontId="28" fillId="0" borderId="0" xfId="1227" quotePrefix="1" applyFont="1" applyAlignment="1">
      <alignment horizontal="center"/>
    </xf>
    <xf numFmtId="0" fontId="28" fillId="0" borderId="0" xfId="1227" applyFont="1" applyAlignment="1">
      <alignment horizontal="center"/>
    </xf>
    <xf numFmtId="0" fontId="28" fillId="0" borderId="0" xfId="1227" applyFont="1" applyAlignment="1" applyProtection="1">
      <alignment horizontal="centerContinuous"/>
      <protection locked="0"/>
    </xf>
    <xf numFmtId="0" fontId="91" fillId="0" borderId="0" xfId="1227" applyFont="1"/>
    <xf numFmtId="0" fontId="90" fillId="0" borderId="38" xfId="1224" applyFont="1" applyBorder="1" applyProtection="1">
      <protection locked="0"/>
    </xf>
    <xf numFmtId="180" fontId="26" fillId="0" borderId="83" xfId="1224" applyNumberFormat="1" applyFont="1" applyFill="1" applyBorder="1" applyProtection="1">
      <protection locked="0"/>
    </xf>
    <xf numFmtId="174" fontId="25" fillId="0" borderId="0" xfId="1224" applyNumberFormat="1" applyFont="1"/>
    <xf numFmtId="0" fontId="90" fillId="0" borderId="36" xfId="1224" applyFont="1" applyBorder="1"/>
    <xf numFmtId="0" fontId="90" fillId="0" borderId="27" xfId="1224" applyFont="1" applyBorder="1" applyProtection="1">
      <protection locked="0"/>
    </xf>
    <xf numFmtId="0" fontId="90" fillId="0" borderId="30" xfId="1224" applyFont="1" applyBorder="1" applyAlignment="1" applyProtection="1">
      <alignment horizontal="center"/>
      <protection locked="0"/>
    </xf>
    <xf numFmtId="10" fontId="90" fillId="0" borderId="0" xfId="1226" applyNumberFormat="1" applyFont="1" applyBorder="1"/>
    <xf numFmtId="187" fontId="90" fillId="0" borderId="30" xfId="30" applyNumberFormat="1" applyFont="1" applyBorder="1"/>
    <xf numFmtId="0" fontId="90" fillId="0" borderId="30" xfId="1224" applyFont="1" applyBorder="1" applyProtection="1">
      <protection locked="0"/>
    </xf>
    <xf numFmtId="0" fontId="26" fillId="0" borderId="28" xfId="1224" applyFont="1" applyBorder="1" applyAlignment="1">
      <alignment horizontal="center"/>
    </xf>
    <xf numFmtId="0" fontId="26" fillId="0" borderId="0" xfId="1224" applyFont="1"/>
    <xf numFmtId="0" fontId="90" fillId="0" borderId="44" xfId="1224" quotePrefix="1" applyFont="1" applyBorder="1" applyAlignment="1" applyProtection="1">
      <alignment horizontal="right" indent="1"/>
      <protection locked="0"/>
    </xf>
    <xf numFmtId="0" fontId="90" fillId="0" borderId="27" xfId="1224" applyFont="1" applyBorder="1"/>
    <xf numFmtId="0" fontId="26" fillId="0" borderId="28" xfId="1224" applyFont="1" applyBorder="1" applyAlignment="1">
      <alignment horizontal="center" wrapText="1"/>
    </xf>
    <xf numFmtId="0" fontId="28" fillId="0" borderId="39" xfId="1224" quotePrefix="1" applyFont="1" applyBorder="1" applyAlignment="1">
      <alignment horizontal="center"/>
    </xf>
    <xf numFmtId="0" fontId="28" fillId="0" borderId="46" xfId="1224" applyFont="1" applyBorder="1"/>
    <xf numFmtId="0" fontId="28" fillId="0" borderId="46" xfId="1224" quotePrefix="1" applyFont="1" applyBorder="1" applyAlignment="1">
      <alignment horizontal="center"/>
    </xf>
    <xf numFmtId="0" fontId="90" fillId="0" borderId="46" xfId="1224" applyFont="1" applyBorder="1"/>
    <xf numFmtId="0" fontId="90" fillId="0" borderId="25" xfId="1224" applyFont="1" applyBorder="1"/>
    <xf numFmtId="0" fontId="26" fillId="0" borderId="30" xfId="1224" applyFont="1" applyBorder="1" applyAlignment="1">
      <alignment horizontal="center" wrapText="1"/>
    </xf>
    <xf numFmtId="0" fontId="26" fillId="0" borderId="1" xfId="1224" applyFont="1" applyBorder="1"/>
    <xf numFmtId="0" fontId="25" fillId="0" borderId="0" xfId="1224" applyFont="1"/>
    <xf numFmtId="0" fontId="28" fillId="0" borderId="0" xfId="1224" applyFont="1" applyBorder="1"/>
    <xf numFmtId="0" fontId="28" fillId="0" borderId="0" xfId="1224" quotePrefix="1" applyFont="1" applyBorder="1" applyAlignment="1">
      <alignment horizontal="center"/>
    </xf>
    <xf numFmtId="0" fontId="90" fillId="0" borderId="0" xfId="1224" applyFont="1" applyBorder="1"/>
    <xf numFmtId="0" fontId="26" fillId="0" borderId="0" xfId="1224" applyFont="1" applyBorder="1"/>
    <xf numFmtId="0" fontId="90" fillId="0" borderId="0" xfId="1224" applyFont="1" applyFill="1" applyBorder="1"/>
    <xf numFmtId="0" fontId="94" fillId="0" borderId="0" xfId="1224" applyFont="1" applyFill="1" applyBorder="1" applyAlignment="1">
      <alignment horizontal="center"/>
    </xf>
    <xf numFmtId="0" fontId="94" fillId="0" borderId="0" xfId="1224" applyFont="1" applyAlignment="1">
      <alignment horizontal="center"/>
    </xf>
    <xf numFmtId="0" fontId="94" fillId="0" borderId="0" xfId="1224" applyFont="1" applyBorder="1" applyAlignment="1" applyProtection="1">
      <alignment horizontal="center"/>
      <protection locked="0"/>
    </xf>
    <xf numFmtId="0" fontId="94" fillId="0" borderId="0" xfId="1224" applyFont="1" applyAlignment="1" applyProtection="1">
      <alignment horizontal="center"/>
      <protection locked="0"/>
    </xf>
    <xf numFmtId="0" fontId="91" fillId="0" borderId="0" xfId="1224" applyFont="1"/>
    <xf numFmtId="0" fontId="28" fillId="0" borderId="20" xfId="0" applyFont="1" applyFill="1" applyBorder="1" applyAlignment="1">
      <alignment horizontal="center" vertical="center"/>
    </xf>
    <xf numFmtId="0" fontId="28" fillId="0" borderId="19" xfId="0" applyFont="1" applyFill="1" applyBorder="1" applyAlignment="1">
      <alignment horizontal="center" vertical="center"/>
    </xf>
    <xf numFmtId="49" fontId="29" fillId="0" borderId="21" xfId="30" applyNumberFormat="1" applyFont="1" applyBorder="1" applyAlignment="1">
      <alignment horizontal="center"/>
    </xf>
    <xf numFmtId="0" fontId="29" fillId="0" borderId="0" xfId="0" applyFont="1" applyFill="1" applyBorder="1" applyAlignment="1" applyProtection="1">
      <protection locked="0"/>
    </xf>
    <xf numFmtId="37" fontId="28" fillId="0" borderId="30" xfId="0" applyNumberFormat="1" applyFont="1" applyFill="1" applyBorder="1" applyProtection="1"/>
    <xf numFmtId="0" fontId="28" fillId="0" borderId="0" xfId="189" applyFont="1" applyFill="1" applyBorder="1"/>
    <xf numFmtId="0" fontId="28" fillId="0" borderId="29" xfId="189" applyFont="1" applyFill="1" applyBorder="1"/>
    <xf numFmtId="0" fontId="28" fillId="0" borderId="29" xfId="189" applyFont="1" applyBorder="1"/>
    <xf numFmtId="0" fontId="28" fillId="0" borderId="38" xfId="189" applyFont="1" applyFill="1" applyBorder="1"/>
    <xf numFmtId="0" fontId="28" fillId="0" borderId="36" xfId="189" applyFont="1" applyFill="1" applyBorder="1"/>
    <xf numFmtId="0" fontId="28" fillId="0" borderId="36" xfId="189" applyFont="1" applyBorder="1"/>
    <xf numFmtId="0" fontId="28" fillId="0" borderId="31" xfId="189" applyFont="1" applyBorder="1" applyAlignment="1">
      <alignment horizontal="center"/>
    </xf>
    <xf numFmtId="37" fontId="28" fillId="0" borderId="37" xfId="189" applyNumberFormat="1" applyFont="1" applyFill="1" applyBorder="1" applyProtection="1">
      <protection locked="0"/>
    </xf>
    <xf numFmtId="10" fontId="28" fillId="0" borderId="37" xfId="189" applyNumberFormat="1" applyFont="1" applyFill="1" applyBorder="1" applyProtection="1">
      <protection locked="0"/>
    </xf>
    <xf numFmtId="37" fontId="28" fillId="0" borderId="26" xfId="189" applyNumberFormat="1" applyFont="1" applyFill="1" applyBorder="1" applyProtection="1">
      <protection locked="0"/>
    </xf>
    <xf numFmtId="37" fontId="29" fillId="18" borderId="41" xfId="189" applyNumberFormat="1" applyFont="1" applyFill="1" applyBorder="1" applyProtection="1"/>
    <xf numFmtId="10" fontId="28" fillId="0" borderId="42" xfId="189" applyNumberFormat="1" applyFont="1" applyFill="1" applyBorder="1" applyProtection="1">
      <protection locked="0"/>
    </xf>
    <xf numFmtId="37" fontId="28" fillId="0" borderId="42" xfId="189" applyNumberFormat="1" applyFont="1" applyFill="1" applyBorder="1" applyProtection="1">
      <protection locked="0"/>
    </xf>
    <xf numFmtId="0" fontId="28" fillId="0" borderId="28" xfId="189" applyFont="1" applyBorder="1" applyAlignment="1">
      <alignment horizontal="left" indent="1"/>
    </xf>
    <xf numFmtId="164" fontId="29" fillId="21" borderId="28" xfId="30" applyNumberFormat="1" applyFont="1" applyFill="1" applyBorder="1" applyProtection="1">
      <protection locked="0"/>
    </xf>
    <xf numFmtId="0" fontId="28" fillId="0" borderId="28" xfId="189" applyFont="1" applyFill="1" applyBorder="1"/>
    <xf numFmtId="10" fontId="28" fillId="0" borderId="26" xfId="189" applyNumberFormat="1" applyFont="1" applyFill="1" applyBorder="1" applyProtection="1">
      <protection locked="0"/>
    </xf>
    <xf numFmtId="37" fontId="29" fillId="18" borderId="26" xfId="189" applyNumberFormat="1" applyFont="1" applyFill="1" applyBorder="1"/>
    <xf numFmtId="10" fontId="28" fillId="0" borderId="26" xfId="189" applyNumberFormat="1" applyFont="1" applyFill="1" applyBorder="1" applyProtection="1"/>
    <xf numFmtId="5" fontId="28" fillId="0" borderId="26" xfId="189" applyNumberFormat="1" applyFont="1" applyFill="1" applyBorder="1"/>
    <xf numFmtId="0" fontId="28" fillId="0" borderId="27" xfId="189" applyFont="1" applyBorder="1" applyAlignment="1">
      <alignment horizontal="left"/>
    </xf>
    <xf numFmtId="10" fontId="28" fillId="0" borderId="28" xfId="189" applyNumberFormat="1" applyFont="1" applyFill="1" applyBorder="1" applyProtection="1"/>
    <xf numFmtId="37" fontId="28" fillId="0" borderId="28" xfId="189" applyNumberFormat="1" applyFont="1" applyFill="1" applyBorder="1" applyProtection="1"/>
    <xf numFmtId="0" fontId="28" fillId="0" borderId="27" xfId="189" applyFont="1" applyBorder="1" applyAlignment="1">
      <alignment horizontal="left" indent="1"/>
    </xf>
    <xf numFmtId="164" fontId="28" fillId="0" borderId="28" xfId="30" applyNumberFormat="1" applyFont="1" applyFill="1" applyBorder="1" applyProtection="1">
      <protection locked="0"/>
    </xf>
    <xf numFmtId="10" fontId="28" fillId="0" borderId="28" xfId="189" applyNumberFormat="1" applyFont="1" applyFill="1" applyBorder="1" applyProtection="1">
      <protection locked="0"/>
    </xf>
    <xf numFmtId="37" fontId="28" fillId="0" borderId="28" xfId="189" applyNumberFormat="1" applyFont="1" applyFill="1" applyBorder="1" applyProtection="1">
      <protection locked="0"/>
    </xf>
    <xf numFmtId="0" fontId="28" fillId="0" borderId="27" xfId="189" applyFont="1" applyBorder="1"/>
    <xf numFmtId="0" fontId="28" fillId="0" borderId="28" xfId="189" applyFont="1" applyBorder="1" applyAlignment="1">
      <alignment horizontal="center"/>
    </xf>
    <xf numFmtId="0" fontId="28" fillId="0" borderId="26" xfId="189" applyFont="1" applyFill="1" applyBorder="1"/>
    <xf numFmtId="0" fontId="28" fillId="0" borderId="26" xfId="189" applyFont="1" applyFill="1" applyBorder="1" applyProtection="1">
      <protection locked="0"/>
    </xf>
    <xf numFmtId="0" fontId="28" fillId="0" borderId="35" xfId="189" applyFont="1" applyBorder="1" applyProtection="1">
      <protection locked="0"/>
    </xf>
    <xf numFmtId="0" fontId="29" fillId="0" borderId="31" xfId="189" applyFont="1" applyFill="1" applyBorder="1" applyAlignment="1" applyProtection="1">
      <alignment horizontal="center" wrapText="1"/>
      <protection locked="0"/>
    </xf>
    <xf numFmtId="0" fontId="28" fillId="0" borderId="31" xfId="189" applyFont="1" applyBorder="1" applyAlignment="1">
      <alignment horizontal="center" wrapText="1"/>
    </xf>
    <xf numFmtId="0" fontId="28" fillId="0" borderId="35" xfId="189" applyFont="1" applyBorder="1"/>
    <xf numFmtId="0" fontId="28" fillId="0" borderId="26" xfId="189" applyFont="1" applyBorder="1" applyAlignment="1">
      <alignment horizontal="center"/>
    </xf>
    <xf numFmtId="0" fontId="28" fillId="0" borderId="0" xfId="189" applyFont="1" applyFill="1" applyAlignment="1">
      <alignment horizontal="center"/>
    </xf>
    <xf numFmtId="0" fontId="28" fillId="0" borderId="0" xfId="189" applyFont="1" applyAlignment="1" applyProtection="1">
      <alignment horizontal="center"/>
    </xf>
    <xf numFmtId="0" fontId="28" fillId="0" borderId="0" xfId="189" applyFont="1" applyAlignment="1" applyProtection="1">
      <alignment horizontal="right"/>
      <protection locked="0"/>
    </xf>
    <xf numFmtId="168" fontId="28" fillId="0" borderId="0" xfId="189" applyNumberFormat="1" applyFont="1" applyAlignment="1" applyProtection="1">
      <alignment horizontal="left"/>
      <protection locked="0"/>
    </xf>
    <xf numFmtId="164" fontId="28" fillId="0" borderId="63" xfId="30" applyNumberFormat="1" applyFont="1" applyFill="1" applyBorder="1" applyAlignment="1">
      <alignment horizontal="right" vertical="center"/>
    </xf>
    <xf numFmtId="164" fontId="28" fillId="0" borderId="44" xfId="30" applyNumberFormat="1" applyFont="1" applyFill="1" applyBorder="1" applyAlignment="1">
      <alignment horizontal="right" vertical="center"/>
    </xf>
    <xf numFmtId="0" fontId="28" fillId="0" borderId="0" xfId="0" applyFont="1" applyFill="1" applyBorder="1" applyAlignment="1">
      <alignment horizontal="center" vertical="center"/>
    </xf>
    <xf numFmtId="0" fontId="28" fillId="0" borderId="0" xfId="0" quotePrefix="1" applyFont="1" applyFill="1" applyBorder="1" applyAlignment="1">
      <alignment horizontal="center" vertical="center"/>
    </xf>
    <xf numFmtId="0" fontId="28" fillId="0" borderId="22" xfId="0" applyFont="1" applyFill="1" applyBorder="1" applyAlignment="1">
      <alignment horizontal="center" vertical="center"/>
    </xf>
    <xf numFmtId="164" fontId="28" fillId="0" borderId="17" xfId="30" applyNumberFormat="1" applyFont="1" applyFill="1" applyBorder="1" applyAlignment="1">
      <alignment horizontal="right" vertical="center"/>
    </xf>
    <xf numFmtId="0" fontId="28" fillId="0" borderId="16" xfId="0" quotePrefix="1" applyFont="1" applyFill="1" applyBorder="1" applyAlignment="1">
      <alignment horizontal="center" vertical="center"/>
    </xf>
    <xf numFmtId="0" fontId="28" fillId="0" borderId="15" xfId="0" quotePrefix="1" applyFont="1" applyFill="1" applyBorder="1" applyAlignment="1">
      <alignment horizontal="center" vertical="center"/>
    </xf>
    <xf numFmtId="0" fontId="29" fillId="0" borderId="21" xfId="0" applyFont="1" applyFill="1" applyBorder="1" applyAlignment="1">
      <alignment horizontal="center" vertical="center"/>
    </xf>
    <xf numFmtId="0" fontId="29" fillId="0" borderId="20" xfId="0" applyFont="1" applyFill="1" applyBorder="1" applyAlignment="1">
      <alignment horizontal="center" vertical="center"/>
    </xf>
    <xf numFmtId="37" fontId="29" fillId="18" borderId="64" xfId="0" applyNumberFormat="1" applyFont="1" applyFill="1" applyBorder="1" applyProtection="1"/>
    <xf numFmtId="164" fontId="28" fillId="0" borderId="16" xfId="30" applyNumberFormat="1" applyFont="1" applyBorder="1"/>
    <xf numFmtId="37" fontId="28" fillId="0" borderId="20" xfId="0" applyNumberFormat="1" applyFont="1" applyFill="1" applyBorder="1" applyProtection="1"/>
    <xf numFmtId="37" fontId="28" fillId="0" borderId="34" xfId="0" applyNumberFormat="1" applyFont="1" applyFill="1" applyBorder="1" applyProtection="1"/>
    <xf numFmtId="37" fontId="26" fillId="20" borderId="0" xfId="0" applyNumberFormat="1" applyFont="1" applyFill="1" applyBorder="1" applyProtection="1">
      <protection locked="0"/>
    </xf>
    <xf numFmtId="37" fontId="29" fillId="21" borderId="23" xfId="0" applyNumberFormat="1" applyFont="1" applyFill="1" applyBorder="1" applyProtection="1">
      <protection locked="0"/>
    </xf>
    <xf numFmtId="37" fontId="28" fillId="0" borderId="0" xfId="0" applyNumberFormat="1" applyFont="1" applyFill="1" applyBorder="1" applyProtection="1"/>
    <xf numFmtId="37" fontId="28" fillId="0" borderId="17" xfId="0" applyNumberFormat="1" applyFont="1" applyFill="1" applyBorder="1" applyProtection="1">
      <protection locked="0"/>
    </xf>
    <xf numFmtId="37" fontId="26" fillId="20" borderId="1" xfId="0" applyNumberFormat="1" applyFont="1" applyFill="1" applyBorder="1" applyProtection="1">
      <protection locked="0"/>
    </xf>
    <xf numFmtId="0" fontId="28" fillId="0" borderId="23" xfId="0" applyFont="1" applyFill="1" applyBorder="1"/>
    <xf numFmtId="0" fontId="29" fillId="0" borderId="5" xfId="0" applyFont="1" applyFill="1" applyBorder="1" applyAlignment="1" applyProtection="1">
      <alignment horizontal="center"/>
      <protection locked="0"/>
    </xf>
    <xf numFmtId="0" fontId="28" fillId="0" borderId="0" xfId="0" applyFont="1" applyFill="1" applyAlignment="1">
      <alignment horizontal="centerContinuous"/>
    </xf>
    <xf numFmtId="0" fontId="28" fillId="0" borderId="0" xfId="0" applyFont="1" applyAlignment="1" applyProtection="1">
      <alignment horizontal="centerContinuous"/>
      <protection locked="0"/>
    </xf>
    <xf numFmtId="0" fontId="28" fillId="0" borderId="0" xfId="0" applyFont="1" applyAlignment="1" applyProtection="1">
      <alignment horizontal="right"/>
      <protection locked="0"/>
    </xf>
    <xf numFmtId="3" fontId="28" fillId="63" borderId="23" xfId="0" applyNumberFormat="1" applyFont="1" applyFill="1" applyBorder="1" applyAlignment="1">
      <alignment horizontal="right"/>
    </xf>
    <xf numFmtId="3" fontId="28" fillId="0" borderId="77" xfId="0" applyNumberFormat="1" applyFont="1" applyFill="1" applyBorder="1"/>
    <xf numFmtId="3" fontId="28" fillId="0" borderId="23" xfId="0" applyNumberFormat="1" applyFont="1" applyFill="1" applyBorder="1"/>
    <xf numFmtId="0" fontId="28" fillId="0" borderId="0" xfId="203" applyFont="1" applyFill="1" applyBorder="1" applyAlignment="1">
      <alignment horizontal="center" vertical="center"/>
    </xf>
    <xf numFmtId="0" fontId="28" fillId="0" borderId="0" xfId="203" quotePrefix="1" applyFont="1" applyFill="1" applyBorder="1" applyAlignment="1">
      <alignment horizontal="center" vertical="center"/>
    </xf>
    <xf numFmtId="37" fontId="28" fillId="0" borderId="23" xfId="253" applyNumberFormat="1" applyFont="1" applyFill="1" applyBorder="1" applyProtection="1">
      <protection locked="0"/>
    </xf>
    <xf numFmtId="37" fontId="28" fillId="0" borderId="57" xfId="218" applyNumberFormat="1" applyFont="1" applyFill="1" applyBorder="1" applyProtection="1"/>
    <xf numFmtId="39" fontId="29" fillId="0" borderId="26" xfId="218" applyFont="1" applyBorder="1" applyAlignment="1" applyProtection="1">
      <alignment horizontal="center"/>
    </xf>
    <xf numFmtId="39" fontId="29" fillId="0" borderId="60" xfId="218" applyFont="1" applyBorder="1" applyProtection="1"/>
    <xf numFmtId="37" fontId="29" fillId="0" borderId="59" xfId="218" applyNumberFormat="1" applyFont="1" applyFill="1" applyBorder="1" applyProtection="1"/>
    <xf numFmtId="39" fontId="29" fillId="0" borderId="46" xfId="218" applyFont="1" applyBorder="1" applyAlignment="1" applyProtection="1">
      <alignment horizontal="center"/>
    </xf>
    <xf numFmtId="39" fontId="29" fillId="0" borderId="58" xfId="218" applyFont="1" applyBorder="1" applyProtection="1"/>
    <xf numFmtId="37" fontId="28" fillId="0" borderId="56" xfId="218" applyNumberFormat="1" applyFont="1" applyFill="1" applyBorder="1" applyProtection="1"/>
    <xf numFmtId="37" fontId="28" fillId="0" borderId="0" xfId="218" applyNumberFormat="1" applyFont="1" applyFill="1" applyBorder="1" applyProtection="1"/>
    <xf numFmtId="37" fontId="28" fillId="0" borderId="33" xfId="218" applyNumberFormat="1" applyFont="1" applyFill="1" applyBorder="1" applyProtection="1"/>
    <xf numFmtId="37" fontId="29" fillId="0" borderId="55" xfId="218" applyNumberFormat="1" applyFont="1" applyFill="1" applyBorder="1" applyProtection="1"/>
    <xf numFmtId="37" fontId="29" fillId="0" borderId="23" xfId="218" applyNumberFormat="1" applyFont="1" applyFill="1" applyBorder="1" applyProtection="1"/>
    <xf numFmtId="39" fontId="29" fillId="0" borderId="22" xfId="218" applyFont="1" applyBorder="1" applyProtection="1"/>
    <xf numFmtId="37" fontId="29" fillId="0" borderId="54" xfId="218" applyNumberFormat="1" applyFont="1" applyFill="1" applyBorder="1" applyProtection="1"/>
    <xf numFmtId="39" fontId="29" fillId="0" borderId="53" xfId="218" applyFont="1" applyBorder="1" applyAlignment="1" applyProtection="1">
      <alignment horizontal="center"/>
    </xf>
    <xf numFmtId="39" fontId="29" fillId="0" borderId="52" xfId="218" applyFont="1" applyBorder="1" applyProtection="1"/>
    <xf numFmtId="37" fontId="29" fillId="0" borderId="17" xfId="218" applyNumberFormat="1" applyFont="1" applyFill="1" applyBorder="1" applyProtection="1">
      <protection locked="0"/>
    </xf>
    <xf numFmtId="37" fontId="29" fillId="0" borderId="33" xfId="218" applyNumberFormat="1" applyFont="1" applyFill="1" applyBorder="1" applyProtection="1">
      <protection locked="0"/>
    </xf>
    <xf numFmtId="37" fontId="28" fillId="0" borderId="24" xfId="35" applyNumberFormat="1" applyFont="1" applyFill="1" applyBorder="1"/>
    <xf numFmtId="37" fontId="28" fillId="0" borderId="49" xfId="218" quotePrefix="1" applyNumberFormat="1" applyFont="1" applyFill="1" applyBorder="1" applyAlignment="1" applyProtection="1">
      <alignment horizontal="center"/>
    </xf>
    <xf numFmtId="37" fontId="28" fillId="0" borderId="20" xfId="218" applyNumberFormat="1" applyFont="1" applyFill="1" applyBorder="1" applyProtection="1"/>
    <xf numFmtId="37" fontId="28" fillId="0" borderId="47" xfId="218" applyNumberFormat="1" applyFont="1" applyFill="1" applyBorder="1" applyProtection="1"/>
    <xf numFmtId="37" fontId="29" fillId="18" borderId="9" xfId="218" applyNumberFormat="1" applyFont="1" applyFill="1" applyBorder="1" applyProtection="1">
      <protection locked="0"/>
    </xf>
    <xf numFmtId="37" fontId="28" fillId="0" borderId="31" xfId="281" applyNumberFormat="1" applyFont="1" applyFill="1" applyBorder="1" applyProtection="1">
      <protection locked="0"/>
    </xf>
    <xf numFmtId="37" fontId="28" fillId="0" borderId="28" xfId="281" applyNumberFormat="1" applyFont="1" applyFill="1" applyBorder="1" applyProtection="1">
      <protection locked="0"/>
    </xf>
    <xf numFmtId="37" fontId="29" fillId="21" borderId="28" xfId="277" applyNumberFormat="1" applyFont="1" applyFill="1" applyBorder="1" applyProtection="1">
      <protection locked="0"/>
    </xf>
    <xf numFmtId="37" fontId="28" fillId="0" borderId="24" xfId="218" applyNumberFormat="1" applyFont="1" applyFill="1" applyBorder="1" applyProtection="1"/>
    <xf numFmtId="37" fontId="28" fillId="0" borderId="28" xfId="274" applyNumberFormat="1" applyFont="1" applyFill="1" applyBorder="1" applyProtection="1">
      <protection locked="0"/>
    </xf>
    <xf numFmtId="37" fontId="28" fillId="0" borderId="28" xfId="270" applyNumberFormat="1" applyFont="1" applyFill="1" applyBorder="1" applyProtection="1">
      <protection locked="0"/>
    </xf>
    <xf numFmtId="37" fontId="28" fillId="0" borderId="28" xfId="218" applyNumberFormat="1" applyFont="1" applyFill="1" applyBorder="1" applyProtection="1"/>
    <xf numFmtId="37" fontId="29" fillId="0" borderId="26" xfId="218" applyNumberFormat="1" applyFont="1" applyFill="1" applyBorder="1" applyProtection="1"/>
    <xf numFmtId="37" fontId="29" fillId="0" borderId="39" xfId="218" applyNumberFormat="1" applyFont="1" applyFill="1" applyBorder="1" applyProtection="1"/>
    <xf numFmtId="37" fontId="28" fillId="0" borderId="28" xfId="268" applyNumberFormat="1" applyFont="1" applyFill="1" applyBorder="1" applyProtection="1">
      <protection locked="0"/>
    </xf>
    <xf numFmtId="0" fontId="28" fillId="0" borderId="29" xfId="202" applyFont="1" applyBorder="1"/>
    <xf numFmtId="0" fontId="28" fillId="0" borderId="38" xfId="202" applyFont="1" applyBorder="1"/>
    <xf numFmtId="0" fontId="28" fillId="0" borderId="36" xfId="202" applyFont="1" applyBorder="1"/>
    <xf numFmtId="0" fontId="28" fillId="0" borderId="31" xfId="202" applyFont="1" applyBorder="1" applyAlignment="1">
      <alignment horizontal="center"/>
    </xf>
    <xf numFmtId="37" fontId="29" fillId="18" borderId="44" xfId="202" applyNumberFormat="1" applyFont="1" applyFill="1" applyBorder="1" applyProtection="1"/>
    <xf numFmtId="37" fontId="29" fillId="0" borderId="0" xfId="202" applyNumberFormat="1" applyFont="1" applyBorder="1" applyProtection="1"/>
    <xf numFmtId="37" fontId="28" fillId="0" borderId="45" xfId="202" applyNumberFormat="1" applyFont="1" applyBorder="1" applyProtection="1"/>
    <xf numFmtId="37" fontId="28" fillId="0" borderId="0" xfId="202" applyNumberFormat="1" applyFont="1" applyBorder="1" applyProtection="1"/>
    <xf numFmtId="0" fontId="29" fillId="0" borderId="27" xfId="202" applyFont="1" applyBorder="1" applyAlignment="1">
      <alignment horizontal="left" indent="1"/>
    </xf>
    <xf numFmtId="37" fontId="28" fillId="0" borderId="0" xfId="202" applyNumberFormat="1" applyFont="1"/>
    <xf numFmtId="0" fontId="29" fillId="0" borderId="0" xfId="202" applyFont="1" applyFill="1"/>
    <xf numFmtId="0" fontId="28" fillId="0" borderId="27" xfId="202" applyFont="1" applyBorder="1"/>
    <xf numFmtId="37" fontId="28" fillId="0" borderId="0" xfId="202" applyNumberFormat="1" applyFont="1" applyFill="1" applyBorder="1" applyProtection="1"/>
    <xf numFmtId="0" fontId="28" fillId="0" borderId="28" xfId="202" applyFont="1" applyBorder="1" applyAlignment="1">
      <alignment horizontal="center"/>
    </xf>
    <xf numFmtId="37" fontId="28" fillId="0" borderId="44" xfId="202" applyNumberFormat="1" applyFont="1" applyFill="1" applyBorder="1" applyProtection="1"/>
    <xf numFmtId="0" fontId="28" fillId="0" borderId="27" xfId="202" quotePrefix="1" applyFont="1" applyBorder="1"/>
    <xf numFmtId="0" fontId="28" fillId="0" borderId="26" xfId="202" applyFont="1" applyBorder="1" applyAlignment="1">
      <alignment horizontal="center"/>
    </xf>
    <xf numFmtId="0" fontId="29" fillId="0" borderId="38" xfId="202" applyFont="1" applyFill="1" applyBorder="1" applyAlignment="1">
      <alignment horizontal="center" wrapText="1"/>
    </xf>
    <xf numFmtId="0" fontId="29" fillId="0" borderId="46" xfId="202" applyFont="1" applyFill="1" applyBorder="1" applyAlignment="1">
      <alignment horizontal="center" wrapText="1"/>
    </xf>
    <xf numFmtId="0" fontId="29" fillId="0" borderId="36" xfId="202" applyFont="1" applyBorder="1"/>
    <xf numFmtId="0" fontId="28" fillId="0" borderId="30" xfId="202" applyFont="1" applyBorder="1" applyAlignment="1">
      <alignment horizontal="center" wrapText="1"/>
    </xf>
    <xf numFmtId="0" fontId="28" fillId="0" borderId="1" xfId="202" applyFont="1" applyFill="1" applyBorder="1" applyAlignment="1">
      <alignment horizontal="center"/>
    </xf>
    <xf numFmtId="0" fontId="28" fillId="0" borderId="1" xfId="202" applyFont="1" applyBorder="1"/>
    <xf numFmtId="0" fontId="29" fillId="0" borderId="0" xfId="202" applyFont="1"/>
    <xf numFmtId="0" fontId="28" fillId="0" borderId="0" xfId="202" applyFont="1" applyFill="1" applyAlignment="1">
      <alignment horizontal="center"/>
    </xf>
    <xf numFmtId="0" fontId="28" fillId="0" borderId="0" xfId="202" applyFont="1" applyFill="1"/>
    <xf numFmtId="168" fontId="28" fillId="0" borderId="0" xfId="202" applyNumberFormat="1" applyFont="1" applyAlignment="1" applyProtection="1">
      <alignment horizontal="left"/>
    </xf>
    <xf numFmtId="0" fontId="28" fillId="0" borderId="0" xfId="202" applyFont="1" applyAlignment="1" applyProtection="1">
      <alignment horizontal="right"/>
    </xf>
    <xf numFmtId="0" fontId="28" fillId="0" borderId="0" xfId="202" applyFont="1" applyAlignment="1">
      <alignment horizontal="right"/>
    </xf>
    <xf numFmtId="0" fontId="28" fillId="0" borderId="0" xfId="202" applyFont="1"/>
    <xf numFmtId="0" fontId="28" fillId="0" borderId="0" xfId="202" applyFont="1" applyAlignment="1">
      <alignment horizontal="center"/>
    </xf>
    <xf numFmtId="0" fontId="28" fillId="0" borderId="21" xfId="189" applyFont="1" applyBorder="1"/>
    <xf numFmtId="0" fontId="28" fillId="0" borderId="20" xfId="189" applyFont="1" applyBorder="1"/>
    <xf numFmtId="0" fontId="28" fillId="0" borderId="19" xfId="189" applyFont="1" applyBorder="1"/>
    <xf numFmtId="37" fontId="28" fillId="0" borderId="62" xfId="189" applyNumberFormat="1" applyFont="1" applyBorder="1"/>
    <xf numFmtId="37" fontId="29" fillId="21" borderId="65" xfId="189" applyNumberFormat="1" applyFont="1" applyFill="1" applyBorder="1"/>
    <xf numFmtId="0" fontId="29" fillId="0" borderId="22" xfId="189" applyFont="1" applyBorder="1"/>
    <xf numFmtId="0" fontId="28" fillId="0" borderId="17" xfId="189" applyFont="1" applyBorder="1"/>
    <xf numFmtId="0" fontId="28" fillId="0" borderId="16" xfId="189" applyFont="1" applyBorder="1"/>
    <xf numFmtId="37" fontId="28" fillId="0" borderId="21" xfId="189" applyNumberFormat="1" applyFont="1" applyBorder="1"/>
    <xf numFmtId="0" fontId="28" fillId="0" borderId="22" xfId="189" applyFont="1" applyBorder="1"/>
    <xf numFmtId="37" fontId="28" fillId="0" borderId="23" xfId="189" applyNumberFormat="1" applyFont="1" applyBorder="1"/>
    <xf numFmtId="37" fontId="28" fillId="0" borderId="0" xfId="189" applyNumberFormat="1" applyFont="1" applyBorder="1"/>
    <xf numFmtId="0" fontId="29" fillId="0" borderId="21" xfId="189" applyFont="1" applyBorder="1" applyAlignment="1">
      <alignment horizontal="center"/>
    </xf>
    <xf numFmtId="0" fontId="29" fillId="0" borderId="20" xfId="189" applyFont="1" applyBorder="1" applyAlignment="1">
      <alignment horizontal="center"/>
    </xf>
    <xf numFmtId="0" fontId="29" fillId="0" borderId="5" xfId="189" applyFont="1" applyBorder="1" applyAlignment="1">
      <alignment horizontal="center"/>
    </xf>
    <xf numFmtId="0" fontId="29" fillId="0" borderId="19" xfId="189" applyFont="1" applyBorder="1"/>
    <xf numFmtId="0" fontId="28" fillId="0" borderId="15" xfId="189" applyFont="1" applyBorder="1"/>
    <xf numFmtId="0" fontId="28" fillId="0" borderId="0" xfId="189" applyFont="1" applyAlignment="1">
      <alignment horizontal="centerContinuous"/>
    </xf>
    <xf numFmtId="37" fontId="29" fillId="18" borderId="17" xfId="175" applyNumberFormat="1" applyFont="1" applyFill="1" applyBorder="1" applyAlignment="1">
      <alignment horizontal="center"/>
    </xf>
    <xf numFmtId="37" fontId="28" fillId="0" borderId="16" xfId="175" applyNumberFormat="1" applyFont="1" applyBorder="1" applyAlignment="1">
      <alignment horizontal="center"/>
    </xf>
    <xf numFmtId="37" fontId="28" fillId="0" borderId="20" xfId="175" applyNumberFormat="1" applyFont="1" applyBorder="1" applyAlignment="1">
      <alignment horizontal="center"/>
    </xf>
    <xf numFmtId="0" fontId="29" fillId="0" borderId="20" xfId="175" quotePrefix="1" applyFont="1" applyBorder="1" applyAlignment="1">
      <alignment horizontal="center" wrapText="1"/>
    </xf>
    <xf numFmtId="164" fontId="28" fillId="0" borderId="0" xfId="30" applyNumberFormat="1" applyFont="1" applyFill="1"/>
    <xf numFmtId="0" fontId="28" fillId="0" borderId="0" xfId="189" applyFont="1" applyAlignment="1">
      <alignment horizontal="right"/>
    </xf>
    <xf numFmtId="37" fontId="28" fillId="0" borderId="0" xfId="189" applyNumberFormat="1" applyFont="1" applyProtection="1"/>
    <xf numFmtId="37" fontId="28" fillId="0" borderId="36" xfId="189" quotePrefix="1" applyNumberFormat="1" applyFont="1" applyBorder="1" applyAlignment="1" applyProtection="1">
      <alignment horizontal="center"/>
    </xf>
    <xf numFmtId="0" fontId="28" fillId="0" borderId="1" xfId="189" applyFont="1" applyBorder="1" applyAlignment="1">
      <alignment horizontal="center"/>
    </xf>
    <xf numFmtId="0" fontId="28" fillId="0" borderId="18" xfId="189" applyFont="1" applyBorder="1" applyAlignment="1">
      <alignment horizontal="center"/>
    </xf>
    <xf numFmtId="37" fontId="29" fillId="18" borderId="26" xfId="189" applyNumberFormat="1" applyFont="1" applyFill="1" applyBorder="1" applyProtection="1">
      <protection locked="0"/>
    </xf>
    <xf numFmtId="37" fontId="28" fillId="0" borderId="26" xfId="189" applyNumberFormat="1" applyFont="1" applyBorder="1" applyProtection="1">
      <protection locked="0"/>
    </xf>
    <xf numFmtId="37" fontId="28" fillId="0" borderId="35" xfId="189" applyNumberFormat="1" applyFont="1" applyBorder="1" applyProtection="1">
      <protection locked="0"/>
    </xf>
    <xf numFmtId="37" fontId="28" fillId="0" borderId="23" xfId="0" applyNumberFormat="1" applyFont="1" applyBorder="1" applyProtection="1">
      <protection locked="0"/>
    </xf>
    <xf numFmtId="37" fontId="28" fillId="0" borderId="31" xfId="189" applyNumberFormat="1" applyFont="1" applyBorder="1" applyProtection="1">
      <protection locked="0"/>
    </xf>
    <xf numFmtId="37" fontId="28" fillId="0" borderId="41" xfId="189" applyNumberFormat="1" applyFont="1" applyBorder="1" applyProtection="1">
      <protection locked="0"/>
    </xf>
    <xf numFmtId="0" fontId="28" fillId="0" borderId="0" xfId="189" applyFont="1" applyBorder="1" applyAlignment="1">
      <alignment horizontal="left" indent="1"/>
    </xf>
    <xf numFmtId="0" fontId="28" fillId="0" borderId="22" xfId="175" applyFont="1" applyBorder="1"/>
    <xf numFmtId="164" fontId="28" fillId="0" borderId="0" xfId="30" applyNumberFormat="1" applyFont="1" applyFill="1" applyAlignment="1">
      <alignment horizontal="center"/>
    </xf>
    <xf numFmtId="0" fontId="29" fillId="0" borderId="21" xfId="175" applyFont="1" applyBorder="1" applyAlignment="1">
      <alignment horizontal="center"/>
    </xf>
    <xf numFmtId="0" fontId="29" fillId="0" borderId="19" xfId="175" applyFont="1" applyBorder="1"/>
    <xf numFmtId="0" fontId="29" fillId="0" borderId="23" xfId="175" applyFont="1" applyBorder="1" applyAlignment="1">
      <alignment horizontal="center"/>
    </xf>
    <xf numFmtId="0" fontId="29" fillId="0" borderId="22" xfId="175" applyFont="1" applyBorder="1" applyAlignment="1">
      <alignment horizontal="center"/>
    </xf>
    <xf numFmtId="0" fontId="29" fillId="0" borderId="17" xfId="175" applyFont="1" applyBorder="1" applyAlignment="1">
      <alignment horizontal="center"/>
    </xf>
    <xf numFmtId="0" fontId="29" fillId="0" borderId="16" xfId="175" applyFont="1" applyBorder="1" applyAlignment="1">
      <alignment horizontal="center"/>
    </xf>
    <xf numFmtId="0" fontId="28" fillId="0" borderId="14" xfId="175" applyFont="1" applyBorder="1" applyAlignment="1">
      <alignment horizontal="center"/>
    </xf>
    <xf numFmtId="0" fontId="28" fillId="0" borderId="0" xfId="189" applyFont="1" applyAlignment="1"/>
    <xf numFmtId="0" fontId="29" fillId="0" borderId="15" xfId="175" applyFont="1" applyBorder="1" applyAlignment="1">
      <alignment horizontal="center"/>
    </xf>
    <xf numFmtId="0" fontId="32" fillId="0" borderId="0" xfId="1224" applyFont="1" applyProtection="1">
      <protection locked="0"/>
    </xf>
    <xf numFmtId="0" fontId="90" fillId="0" borderId="44" xfId="1224" quotePrefix="1" applyFont="1" applyBorder="1"/>
    <xf numFmtId="0" fontId="90" fillId="0" borderId="46" xfId="1224" quotePrefix="1" applyFont="1" applyBorder="1" applyAlignment="1" applyProtection="1">
      <alignment horizontal="right"/>
      <protection locked="0"/>
    </xf>
    <xf numFmtId="0" fontId="90" fillId="0" borderId="44" xfId="1224" applyFont="1" applyBorder="1"/>
    <xf numFmtId="0" fontId="90" fillId="0" borderId="1" xfId="1224" applyFont="1" applyBorder="1" applyProtection="1">
      <protection locked="0"/>
    </xf>
    <xf numFmtId="37" fontId="28" fillId="0" borderId="21" xfId="175" applyNumberFormat="1" applyFont="1" applyBorder="1" applyAlignment="1">
      <alignment horizontal="center"/>
    </xf>
    <xf numFmtId="0" fontId="90" fillId="0" borderId="30" xfId="1224" applyFont="1" applyBorder="1"/>
    <xf numFmtId="0" fontId="29" fillId="0" borderId="0" xfId="189" applyFont="1" applyFill="1" applyAlignment="1">
      <alignment horizontal="center"/>
    </xf>
    <xf numFmtId="0" fontId="28" fillId="0" borderId="0" xfId="1227" applyFont="1" applyBorder="1" applyAlignment="1">
      <alignment horizontal="center"/>
    </xf>
    <xf numFmtId="37" fontId="28" fillId="0" borderId="65" xfId="189" applyNumberFormat="1" applyFont="1" applyBorder="1"/>
    <xf numFmtId="0" fontId="28" fillId="0" borderId="0" xfId="202" applyFont="1" applyBorder="1" applyAlignment="1">
      <alignment horizontal="center"/>
    </xf>
    <xf numFmtId="0" fontId="29" fillId="0" borderId="19" xfId="0" applyFont="1" applyFill="1" applyBorder="1" applyAlignment="1">
      <alignment horizontal="center" vertical="center"/>
    </xf>
    <xf numFmtId="180" fontId="28" fillId="0" borderId="65" xfId="1227" applyNumberFormat="1" applyFont="1" applyFill="1" applyBorder="1" applyProtection="1">
      <protection locked="0"/>
    </xf>
    <xf numFmtId="43" fontId="28" fillId="0" borderId="29" xfId="30" applyFont="1" applyFill="1" applyBorder="1" applyProtection="1"/>
    <xf numFmtId="164" fontId="28" fillId="0" borderId="33" xfId="175" applyNumberFormat="1" applyFont="1" applyFill="1" applyBorder="1"/>
    <xf numFmtId="164" fontId="29" fillId="21" borderId="5" xfId="175" applyNumberFormat="1" applyFont="1" applyFill="1" applyBorder="1"/>
    <xf numFmtId="43" fontId="29" fillId="21" borderId="5" xfId="30" applyFont="1" applyFill="1" applyBorder="1" applyAlignment="1">
      <alignment horizontal="right"/>
    </xf>
    <xf numFmtId="37" fontId="28" fillId="0" borderId="0" xfId="175" applyNumberFormat="1" applyFont="1" applyBorder="1"/>
    <xf numFmtId="164" fontId="28" fillId="0" borderId="65" xfId="30" applyNumberFormat="1" applyFont="1" applyFill="1" applyBorder="1"/>
    <xf numFmtId="164" fontId="29" fillId="53" borderId="5" xfId="30" applyNumberFormat="1" applyFont="1" applyFill="1" applyBorder="1"/>
    <xf numFmtId="176" fontId="92" fillId="0" borderId="0" xfId="493" applyNumberFormat="1" applyFont="1" applyAlignment="1">
      <alignment horizontal="right"/>
    </xf>
    <xf numFmtId="176" fontId="91" fillId="0" borderId="0" xfId="518" applyNumberFormat="1" applyFont="1" applyAlignment="1">
      <alignment horizontal="right"/>
    </xf>
    <xf numFmtId="176" fontId="92" fillId="0" borderId="0" xfId="518" applyNumberFormat="1" applyFont="1" applyAlignment="1">
      <alignment horizontal="right"/>
    </xf>
    <xf numFmtId="176" fontId="92" fillId="0" borderId="0" xfId="1235" applyNumberFormat="1" applyFont="1" applyAlignment="1">
      <alignment horizontal="right"/>
    </xf>
    <xf numFmtId="176" fontId="91" fillId="0" borderId="0" xfId="1235" applyNumberFormat="1" applyFont="1" applyAlignment="1">
      <alignment horizontal="right"/>
    </xf>
    <xf numFmtId="164" fontId="92" fillId="0" borderId="0" xfId="30" applyNumberFormat="1" applyFont="1" applyAlignment="1">
      <alignment horizontal="right"/>
    </xf>
    <xf numFmtId="0" fontId="28" fillId="0" borderId="0" xfId="175" quotePrefix="1" applyFont="1"/>
    <xf numFmtId="164" fontId="37" fillId="0" borderId="0" xfId="175" applyNumberFormat="1" applyFont="1"/>
    <xf numFmtId="164" fontId="29" fillId="18" borderId="33" xfId="175" applyNumberFormat="1" applyFont="1" applyFill="1" applyBorder="1"/>
    <xf numFmtId="164" fontId="28" fillId="0" borderId="5" xfId="175" applyNumberFormat="1" applyFont="1" applyBorder="1"/>
    <xf numFmtId="37" fontId="28" fillId="0" borderId="5" xfId="175" applyNumberFormat="1" applyFont="1" applyBorder="1" applyAlignment="1">
      <alignment horizontal="right"/>
    </xf>
    <xf numFmtId="164" fontId="28" fillId="0" borderId="20" xfId="175" quotePrefix="1" applyNumberFormat="1" applyFont="1" applyBorder="1" applyAlignment="1">
      <alignment horizontal="right"/>
    </xf>
    <xf numFmtId="164" fontId="28" fillId="0" borderId="0" xfId="175" quotePrefix="1" applyNumberFormat="1" applyFont="1" applyBorder="1" applyAlignment="1">
      <alignment horizontal="right"/>
    </xf>
    <xf numFmtId="37" fontId="28" fillId="0" borderId="0" xfId="175" quotePrefix="1" applyNumberFormat="1" applyFont="1" applyBorder="1" applyAlignment="1">
      <alignment horizontal="center"/>
    </xf>
    <xf numFmtId="164" fontId="28" fillId="0" borderId="62" xfId="30" applyNumberFormat="1" applyFont="1" applyFill="1" applyBorder="1"/>
    <xf numFmtId="164" fontId="29" fillId="18" borderId="65" xfId="30" applyNumberFormat="1" applyFont="1" applyFill="1" applyBorder="1"/>
    <xf numFmtId="164" fontId="29" fillId="0" borderId="23" xfId="30" applyNumberFormat="1" applyFont="1" applyFill="1" applyBorder="1"/>
    <xf numFmtId="164" fontId="28" fillId="0" borderId="33" xfId="30" applyNumberFormat="1" applyFont="1" applyFill="1" applyBorder="1"/>
    <xf numFmtId="164" fontId="28" fillId="0" borderId="5" xfId="30" applyNumberFormat="1" applyFont="1" applyBorder="1"/>
    <xf numFmtId="164" fontId="91" fillId="0" borderId="0" xfId="460" applyNumberFormat="1" applyFont="1"/>
    <xf numFmtId="176" fontId="98" fillId="0" borderId="0" xfId="496" applyNumberFormat="1" applyFont="1" applyAlignment="1">
      <alignment horizontal="right"/>
    </xf>
    <xf numFmtId="176" fontId="92" fillId="0" borderId="0" xfId="508" applyNumberFormat="1" applyFont="1" applyAlignment="1">
      <alignment horizontal="right"/>
    </xf>
    <xf numFmtId="164" fontId="91" fillId="0" borderId="0" xfId="457" applyNumberFormat="1" applyFont="1"/>
    <xf numFmtId="176" fontId="92" fillId="0" borderId="0" xfId="500" applyNumberFormat="1" applyFont="1" applyAlignment="1">
      <alignment horizontal="right"/>
    </xf>
    <xf numFmtId="0" fontId="28" fillId="0" borderId="22" xfId="175" quotePrefix="1" applyFont="1" applyBorder="1"/>
    <xf numFmtId="176" fontId="92" fillId="0" borderId="0" xfId="491" applyNumberFormat="1" applyFont="1" applyAlignment="1">
      <alignment horizontal="right"/>
    </xf>
    <xf numFmtId="164" fontId="91" fillId="0" borderId="0" xfId="470" applyNumberFormat="1" applyFont="1"/>
    <xf numFmtId="0" fontId="29" fillId="0" borderId="20" xfId="175" applyFont="1" applyBorder="1" applyAlignment="1">
      <alignment horizontal="center"/>
    </xf>
    <xf numFmtId="0" fontId="29" fillId="0" borderId="22" xfId="175" applyFont="1" applyBorder="1" applyAlignment="1"/>
    <xf numFmtId="0" fontId="29" fillId="0" borderId="15" xfId="175" applyFont="1" applyBorder="1" applyAlignment="1"/>
    <xf numFmtId="0" fontId="28" fillId="0" borderId="20" xfId="175" quotePrefix="1" applyFont="1" applyBorder="1" applyAlignment="1">
      <alignment horizontal="center"/>
    </xf>
    <xf numFmtId="0" fontId="37" fillId="0" borderId="0" xfId="0" applyFont="1"/>
    <xf numFmtId="164" fontId="37" fillId="0" borderId="0" xfId="0" applyNumberFormat="1" applyFont="1"/>
    <xf numFmtId="164" fontId="28" fillId="21" borderId="17" xfId="30" applyNumberFormat="1" applyFont="1" applyFill="1" applyBorder="1"/>
    <xf numFmtId="17" fontId="28" fillId="0" borderId="15" xfId="175" quotePrefix="1" applyNumberFormat="1" applyFont="1" applyBorder="1"/>
    <xf numFmtId="17" fontId="28" fillId="0" borderId="22" xfId="175" quotePrefix="1" applyNumberFormat="1" applyFont="1" applyBorder="1"/>
    <xf numFmtId="0" fontId="29" fillId="0" borderId="20" xfId="175" applyFont="1" applyFill="1" applyBorder="1" applyAlignment="1">
      <alignment horizontal="center" wrapText="1"/>
    </xf>
    <xf numFmtId="0" fontId="29" fillId="0" borderId="0" xfId="175" applyFont="1" applyFill="1" applyBorder="1" applyAlignment="1">
      <alignment horizontal="center"/>
    </xf>
    <xf numFmtId="0" fontId="29" fillId="0" borderId="16" xfId="175" applyFont="1" applyBorder="1" applyAlignment="1">
      <alignment horizontal="center" wrapText="1"/>
    </xf>
    <xf numFmtId="0" fontId="29" fillId="0" borderId="16" xfId="175" applyFont="1" applyFill="1" applyBorder="1" applyAlignment="1">
      <alignment horizontal="center"/>
    </xf>
    <xf numFmtId="176" fontId="92" fillId="0" borderId="0" xfId="490" applyNumberFormat="1" applyFont="1" applyAlignment="1">
      <alignment horizontal="right"/>
    </xf>
    <xf numFmtId="0" fontId="91" fillId="0" borderId="0" xfId="2126" applyFont="1" applyAlignment="1">
      <alignment horizontal="left" vertical="center" wrapText="1"/>
    </xf>
    <xf numFmtId="0" fontId="91" fillId="0" borderId="0" xfId="2126" quotePrefix="1" applyFont="1" applyAlignment="1">
      <alignment horizontal="left" vertical="center" wrapText="1"/>
    </xf>
    <xf numFmtId="0" fontId="91" fillId="0" borderId="0" xfId="2126" quotePrefix="1" applyFont="1" applyAlignment="1">
      <alignment vertical="center" wrapText="1"/>
    </xf>
    <xf numFmtId="0" fontId="97" fillId="0" borderId="0" xfId="2126" applyFont="1" applyAlignment="1">
      <alignment vertical="center"/>
    </xf>
    <xf numFmtId="0" fontId="96" fillId="0" borderId="0" xfId="2126" applyFont="1"/>
    <xf numFmtId="0" fontId="97" fillId="0" borderId="0" xfId="2126" applyFont="1"/>
    <xf numFmtId="0" fontId="28" fillId="0" borderId="38" xfId="1227" applyFont="1" applyBorder="1" applyAlignment="1" applyProtection="1">
      <alignment horizontal="right"/>
      <protection locked="0"/>
    </xf>
    <xf numFmtId="180" fontId="28" fillId="0" borderId="84" xfId="1227" applyNumberFormat="1" applyFont="1" applyBorder="1" applyProtection="1">
      <protection locked="0"/>
    </xf>
    <xf numFmtId="0" fontId="28" fillId="0" borderId="1" xfId="1227" applyFont="1" applyBorder="1"/>
    <xf numFmtId="0" fontId="28" fillId="0" borderId="36" xfId="1227" applyFont="1" applyBorder="1"/>
    <xf numFmtId="0" fontId="28" fillId="0" borderId="31" xfId="1227" applyFont="1" applyBorder="1" applyAlignment="1">
      <alignment horizontal="center"/>
    </xf>
    <xf numFmtId="0" fontId="28" fillId="0" borderId="27" xfId="1227" applyFont="1" applyBorder="1"/>
    <xf numFmtId="9" fontId="28" fillId="0" borderId="20" xfId="1227" applyNumberFormat="1" applyFont="1" applyFill="1" applyBorder="1" applyProtection="1">
      <protection locked="0"/>
    </xf>
    <xf numFmtId="39" fontId="28" fillId="0" borderId="20" xfId="1227" applyNumberFormat="1" applyFont="1" applyBorder="1"/>
    <xf numFmtId="39" fontId="28" fillId="0" borderId="20" xfId="1227" applyNumberFormat="1" applyFont="1" applyBorder="1" applyProtection="1">
      <protection locked="0"/>
    </xf>
    <xf numFmtId="39" fontId="28" fillId="0" borderId="0" xfId="1227" applyNumberFormat="1" applyFont="1" applyBorder="1" applyProtection="1">
      <protection locked="0"/>
    </xf>
    <xf numFmtId="0" fontId="28" fillId="0" borderId="44" xfId="1227" applyFont="1" applyBorder="1"/>
    <xf numFmtId="39" fontId="28" fillId="0" borderId="0" xfId="1227" applyNumberFormat="1" applyFont="1" applyBorder="1"/>
    <xf numFmtId="37" fontId="28" fillId="0" borderId="29" xfId="1227" applyNumberFormat="1" applyFont="1" applyFill="1" applyBorder="1" applyProtection="1">
      <protection locked="0"/>
    </xf>
    <xf numFmtId="0" fontId="28" fillId="0" borderId="45" xfId="1227" applyFont="1" applyBorder="1"/>
    <xf numFmtId="0" fontId="28" fillId="0" borderId="28" xfId="1227" applyFont="1" applyBorder="1" applyAlignment="1">
      <alignment horizontal="center"/>
    </xf>
    <xf numFmtId="0" fontId="29" fillId="0" borderId="46" xfId="1227" applyFont="1" applyBorder="1" applyAlignment="1" applyProtection="1">
      <alignment horizontal="center"/>
      <protection locked="0"/>
    </xf>
    <xf numFmtId="0" fontId="29" fillId="0" borderId="39" xfId="1227" applyFont="1" applyBorder="1" applyAlignment="1" applyProtection="1">
      <alignment horizontal="center"/>
      <protection locked="0"/>
    </xf>
    <xf numFmtId="0" fontId="28" fillId="0" borderId="0" xfId="1227" applyFont="1" applyAlignment="1">
      <alignment horizontal="centerContinuous"/>
    </xf>
    <xf numFmtId="166" fontId="28" fillId="0" borderId="0" xfId="1227" applyNumberFormat="1" applyFont="1" applyAlignment="1" applyProtection="1">
      <alignment horizontal="centerContinuous"/>
      <protection locked="0"/>
    </xf>
    <xf numFmtId="0" fontId="26" fillId="0" borderId="31" xfId="1224" applyFont="1" applyBorder="1"/>
    <xf numFmtId="0" fontId="26" fillId="0" borderId="0" xfId="1224" quotePrefix="1" applyFont="1"/>
    <xf numFmtId="180" fontId="26" fillId="0" borderId="83" xfId="1224" applyNumberFormat="1" applyFont="1" applyBorder="1" applyProtection="1">
      <protection locked="0"/>
    </xf>
    <xf numFmtId="0" fontId="90" fillId="0" borderId="39" xfId="1224" applyFont="1" applyBorder="1" applyAlignment="1" applyProtection="1">
      <alignment horizontal="center"/>
      <protection locked="0"/>
    </xf>
    <xf numFmtId="0" fontId="90" fillId="0" borderId="38" xfId="1224" applyFont="1" applyBorder="1"/>
    <xf numFmtId="0" fontId="90" fillId="0" borderId="1" xfId="1224" applyFont="1" applyBorder="1"/>
    <xf numFmtId="10" fontId="90" fillId="0" borderId="27" xfId="1224" applyNumberFormat="1" applyFont="1" applyBorder="1" applyProtection="1">
      <protection locked="0"/>
    </xf>
    <xf numFmtId="0" fontId="90" fillId="0" borderId="45" xfId="1224" applyFont="1" applyBorder="1"/>
    <xf numFmtId="0" fontId="90" fillId="0" borderId="29" xfId="1224" applyFont="1" applyBorder="1"/>
    <xf numFmtId="3" fontId="90" fillId="0" borderId="30" xfId="1224" applyNumberFormat="1" applyFont="1" applyBorder="1" applyProtection="1">
      <protection locked="0"/>
    </xf>
    <xf numFmtId="173" fontId="26" fillId="0" borderId="0" xfId="1224" applyNumberFormat="1" applyFont="1"/>
    <xf numFmtId="0" fontId="95" fillId="0" borderId="44" xfId="1224" applyFont="1" applyBorder="1" applyProtection="1">
      <protection locked="0"/>
    </xf>
    <xf numFmtId="10" fontId="90" fillId="0" borderId="30" xfId="316" applyNumberFormat="1" applyFont="1" applyBorder="1"/>
    <xf numFmtId="172" fontId="90" fillId="0" borderId="83" xfId="1224" applyNumberFormat="1" applyFont="1" applyBorder="1" applyProtection="1">
      <protection locked="0"/>
    </xf>
    <xf numFmtId="37" fontId="90" fillId="0" borderId="26" xfId="1224" applyNumberFormat="1" applyFont="1" applyBorder="1" applyProtection="1">
      <protection locked="0"/>
    </xf>
    <xf numFmtId="0" fontId="90" fillId="0" borderId="31" xfId="1224" applyFont="1" applyBorder="1"/>
    <xf numFmtId="37" fontId="90" fillId="0" borderId="83" xfId="1224" applyNumberFormat="1" applyFont="1" applyBorder="1" applyProtection="1">
      <protection locked="0"/>
    </xf>
    <xf numFmtId="164" fontId="90" fillId="0" borderId="30" xfId="30" applyNumberFormat="1" applyFont="1" applyBorder="1"/>
    <xf numFmtId="0" fontId="90" fillId="0" borderId="25" xfId="1224" applyFont="1" applyBorder="1" applyProtection="1">
      <protection locked="0"/>
    </xf>
    <xf numFmtId="0" fontId="94" fillId="0" borderId="39" xfId="1224" applyFont="1" applyBorder="1"/>
    <xf numFmtId="0" fontId="28" fillId="0" borderId="0" xfId="1224" applyFont="1" applyAlignment="1">
      <alignment horizontal="center"/>
    </xf>
    <xf numFmtId="0" fontId="26" fillId="0" borderId="44" xfId="1224" applyFont="1" applyBorder="1"/>
    <xf numFmtId="10" fontId="90" fillId="0" borderId="30" xfId="1226" applyNumberFormat="1" applyFont="1" applyBorder="1"/>
    <xf numFmtId="0" fontId="26" fillId="0" borderId="0" xfId="1224" applyFont="1" applyFill="1"/>
    <xf numFmtId="0" fontId="90" fillId="0" borderId="30" xfId="1224" applyFont="1" applyBorder="1" applyAlignment="1" applyProtection="1">
      <alignment horizontal="right" indent="1"/>
      <protection locked="0"/>
    </xf>
    <xf numFmtId="0" fontId="29" fillId="0" borderId="36" xfId="189" applyFont="1" applyBorder="1" applyAlignment="1" applyProtection="1">
      <alignment wrapText="1"/>
      <protection locked="0"/>
    </xf>
    <xf numFmtId="164" fontId="28" fillId="0" borderId="94" xfId="30" applyNumberFormat="1" applyFont="1" applyFill="1" applyBorder="1" applyAlignment="1">
      <alignment horizontal="right" vertical="center"/>
    </xf>
    <xf numFmtId="0" fontId="28" fillId="0" borderId="16" xfId="0" applyFont="1" applyFill="1" applyBorder="1" applyAlignment="1">
      <alignment horizontal="center" vertical="center"/>
    </xf>
    <xf numFmtId="0" fontId="28" fillId="0" borderId="22" xfId="0" applyFont="1" applyBorder="1" applyAlignment="1" applyProtection="1">
      <alignment horizontal="left"/>
      <protection locked="0"/>
    </xf>
    <xf numFmtId="164" fontId="28" fillId="0" borderId="0" xfId="30" applyNumberFormat="1" applyFont="1" applyAlignment="1">
      <alignment horizontal="right"/>
    </xf>
    <xf numFmtId="37" fontId="28" fillId="0" borderId="21" xfId="0" applyNumberFormat="1" applyFont="1" applyFill="1" applyBorder="1" applyProtection="1">
      <protection locked="0"/>
    </xf>
    <xf numFmtId="0" fontId="28" fillId="0" borderId="19" xfId="0" applyFont="1" applyBorder="1" applyProtection="1">
      <protection locked="0"/>
    </xf>
    <xf numFmtId="37" fontId="28" fillId="0" borderId="1" xfId="0" applyNumberFormat="1" applyFont="1" applyFill="1" applyBorder="1" applyProtection="1"/>
    <xf numFmtId="37" fontId="29" fillId="0" borderId="23" xfId="0" applyNumberFormat="1" applyFont="1" applyFill="1" applyBorder="1" applyProtection="1">
      <protection locked="0"/>
    </xf>
    <xf numFmtId="37" fontId="28" fillId="0" borderId="23" xfId="0" applyNumberFormat="1" applyFont="1" applyFill="1" applyBorder="1" applyProtection="1"/>
    <xf numFmtId="37" fontId="29" fillId="0" borderId="0" xfId="0" applyNumberFormat="1" applyFont="1" applyFill="1" applyBorder="1" applyProtection="1">
      <protection locked="0"/>
    </xf>
    <xf numFmtId="37" fontId="26" fillId="20" borderId="0" xfId="0" applyNumberFormat="1" applyFont="1" applyFill="1" applyProtection="1">
      <protection locked="0"/>
    </xf>
    <xf numFmtId="0" fontId="29" fillId="0" borderId="33" xfId="0" applyFont="1" applyFill="1" applyBorder="1" applyAlignment="1" applyProtection="1">
      <alignment horizontal="center"/>
      <protection locked="0"/>
    </xf>
    <xf numFmtId="0" fontId="28" fillId="0" borderId="0" xfId="0" applyFont="1" applyAlignment="1" applyProtection="1">
      <alignment horizontal="center"/>
    </xf>
    <xf numFmtId="0" fontId="29" fillId="0" borderId="0" xfId="0" applyFont="1" applyFill="1"/>
    <xf numFmtId="37" fontId="29" fillId="18" borderId="63" xfId="94" applyNumberFormat="1" applyFont="1" applyFill="1" applyBorder="1" applyProtection="1">
      <protection locked="0"/>
    </xf>
    <xf numFmtId="37" fontId="29" fillId="21" borderId="23" xfId="253" applyNumberFormat="1" applyFont="1" applyFill="1" applyBorder="1" applyProtection="1">
      <protection locked="0"/>
    </xf>
    <xf numFmtId="37" fontId="28" fillId="0" borderId="20" xfId="189" applyNumberFormat="1" applyFont="1" applyBorder="1"/>
    <xf numFmtId="37" fontId="28" fillId="0" borderId="23" xfId="175" applyNumberFormat="1" applyFont="1" applyBorder="1" applyAlignment="1">
      <alignment horizontal="center"/>
    </xf>
    <xf numFmtId="37" fontId="28" fillId="0" borderId="0" xfId="175" applyNumberFormat="1" applyFont="1" applyFill="1" applyAlignment="1">
      <alignment horizontal="center"/>
    </xf>
    <xf numFmtId="0" fontId="29" fillId="0" borderId="0" xfId="189" applyFont="1" applyBorder="1"/>
    <xf numFmtId="0" fontId="28" fillId="0" borderId="24" xfId="189" applyFont="1" applyBorder="1" applyAlignment="1">
      <alignment horizontal="center"/>
    </xf>
    <xf numFmtId="164" fontId="28" fillId="0" borderId="18" xfId="35" applyNumberFormat="1" applyFont="1" applyBorder="1"/>
    <xf numFmtId="37" fontId="28" fillId="0" borderId="40" xfId="189" applyNumberFormat="1" applyFont="1" applyBorder="1" applyProtection="1">
      <protection locked="0"/>
    </xf>
    <xf numFmtId="0" fontId="29" fillId="0" borderId="25" xfId="189" applyFont="1" applyBorder="1" applyAlignment="1" applyProtection="1">
      <alignment horizontal="center"/>
      <protection locked="0"/>
    </xf>
    <xf numFmtId="164" fontId="28" fillId="0" borderId="24" xfId="35" applyNumberFormat="1" applyFont="1" applyBorder="1"/>
    <xf numFmtId="0" fontId="28" fillId="0" borderId="14" xfId="189" applyFont="1" applyBorder="1" applyAlignment="1">
      <alignment horizontal="center"/>
    </xf>
    <xf numFmtId="0" fontId="28" fillId="0" borderId="35" xfId="189" applyFont="1" applyBorder="1" applyAlignment="1">
      <alignment horizontal="center" wrapText="1"/>
    </xf>
    <xf numFmtId="14" fontId="29" fillId="0" borderId="25" xfId="189" applyNumberFormat="1" applyFont="1" applyBorder="1" applyAlignment="1" applyProtection="1">
      <alignment horizontal="center"/>
      <protection locked="0"/>
    </xf>
    <xf numFmtId="0" fontId="29" fillId="0" borderId="25" xfId="189" applyFont="1" applyBorder="1"/>
    <xf numFmtId="0" fontId="28" fillId="0" borderId="0" xfId="189" applyFont="1" applyBorder="1" applyProtection="1">
      <protection locked="0"/>
    </xf>
    <xf numFmtId="0" fontId="28" fillId="0" borderId="0" xfId="189" applyFont="1" applyBorder="1"/>
    <xf numFmtId="166" fontId="28" fillId="0" borderId="0" xfId="189" applyNumberFormat="1" applyFont="1" applyAlignment="1" applyProtection="1">
      <alignment horizontal="left"/>
      <protection locked="0"/>
    </xf>
    <xf numFmtId="0" fontId="28" fillId="0" borderId="0" xfId="189" applyFont="1" applyProtection="1">
      <protection locked="0"/>
    </xf>
    <xf numFmtId="164" fontId="28" fillId="0" borderId="0" xfId="175" applyNumberFormat="1" applyFont="1"/>
    <xf numFmtId="0" fontId="24" fillId="0" borderId="0" xfId="0" applyFont="1"/>
    <xf numFmtId="0" fontId="28" fillId="0" borderId="21" xfId="175" applyFont="1" applyBorder="1"/>
    <xf numFmtId="0" fontId="28" fillId="0" borderId="20" xfId="175" applyFont="1" applyBorder="1"/>
    <xf numFmtId="0" fontId="28" fillId="0" borderId="19" xfId="175" applyFont="1" applyBorder="1"/>
    <xf numFmtId="0" fontId="28" fillId="0" borderId="18" xfId="175" applyFont="1" applyBorder="1" applyAlignment="1">
      <alignment horizontal="center"/>
    </xf>
    <xf numFmtId="164" fontId="29" fillId="18" borderId="17" xfId="30" applyNumberFormat="1" applyFont="1" applyFill="1" applyBorder="1" applyAlignment="1">
      <alignment horizontal="center"/>
    </xf>
    <xf numFmtId="164" fontId="28" fillId="0" borderId="16" xfId="30" applyNumberFormat="1" applyFont="1" applyBorder="1" applyAlignment="1">
      <alignment horizontal="center"/>
    </xf>
    <xf numFmtId="0" fontId="29" fillId="0" borderId="22" xfId="175" applyFont="1" applyBorder="1" applyAlignment="1">
      <alignment horizontal="left" indent="1"/>
    </xf>
    <xf numFmtId="164" fontId="28" fillId="0" borderId="21" xfId="30" applyNumberFormat="1" applyFont="1" applyBorder="1" applyAlignment="1"/>
    <xf numFmtId="164" fontId="28" fillId="0" borderId="20" xfId="30" applyNumberFormat="1" applyFont="1" applyBorder="1" applyAlignment="1"/>
    <xf numFmtId="3" fontId="28" fillId="0" borderId="0" xfId="175" applyNumberFormat="1" applyFont="1" applyBorder="1"/>
    <xf numFmtId="0" fontId="28" fillId="0" borderId="0" xfId="175" applyFont="1" applyBorder="1" applyAlignment="1">
      <alignment horizontal="center"/>
    </xf>
    <xf numFmtId="0" fontId="28" fillId="0" borderId="0" xfId="175" applyFont="1" applyBorder="1"/>
    <xf numFmtId="164" fontId="28" fillId="0" borderId="23" xfId="30" applyNumberFormat="1" applyFont="1" applyBorder="1" applyAlignment="1">
      <alignment horizontal="center"/>
    </xf>
    <xf numFmtId="0" fontId="29" fillId="0" borderId="20" xfId="175" applyFont="1" applyBorder="1" applyAlignment="1">
      <alignment horizontal="center" wrapText="1"/>
    </xf>
    <xf numFmtId="0" fontId="28" fillId="0" borderId="18" xfId="175" applyFont="1" applyBorder="1" applyAlignment="1">
      <alignment horizontal="center" wrapText="1"/>
    </xf>
    <xf numFmtId="0" fontId="29" fillId="0" borderId="0" xfId="175" applyFont="1" applyBorder="1" applyAlignment="1">
      <alignment horizontal="center"/>
    </xf>
    <xf numFmtId="0" fontId="28" fillId="0" borderId="24" xfId="175" applyFont="1" applyBorder="1" applyAlignment="1">
      <alignment horizontal="center"/>
    </xf>
    <xf numFmtId="0" fontId="28" fillId="0" borderId="0" xfId="175" quotePrefix="1" applyFont="1" applyAlignment="1">
      <alignment horizontal="center"/>
    </xf>
    <xf numFmtId="0" fontId="28" fillId="0" borderId="0" xfId="175" applyFont="1"/>
    <xf numFmtId="164" fontId="26" fillId="0" borderId="0" xfId="53" applyNumberFormat="1" applyFont="1"/>
    <xf numFmtId="17" fontId="26" fillId="0" borderId="22" xfId="232" quotePrefix="1" applyNumberFormat="1" applyFont="1" applyBorder="1"/>
    <xf numFmtId="0" fontId="90" fillId="0" borderId="0" xfId="1224" applyFont="1"/>
    <xf numFmtId="177" fontId="90" fillId="0" borderId="27" xfId="1224" applyNumberFormat="1" applyFont="1" applyBorder="1" applyProtection="1">
      <protection locked="0"/>
    </xf>
    <xf numFmtId="3" fontId="90" fillId="0" borderId="26" xfId="1224" applyNumberFormat="1" applyFont="1" applyFill="1" applyBorder="1"/>
    <xf numFmtId="0" fontId="90" fillId="0" borderId="0" xfId="1224" quotePrefix="1" applyFont="1" applyBorder="1"/>
    <xf numFmtId="10" fontId="26" fillId="0" borderId="30" xfId="1224" applyNumberFormat="1" applyFont="1" applyBorder="1" applyProtection="1"/>
    <xf numFmtId="0" fontId="90" fillId="0" borderId="35" xfId="1224" applyFont="1" applyBorder="1" applyProtection="1">
      <protection locked="0"/>
    </xf>
    <xf numFmtId="178" fontId="90" fillId="0" borderId="83" xfId="1224" applyNumberFormat="1" applyFont="1" applyBorder="1" applyProtection="1">
      <protection locked="0"/>
    </xf>
    <xf numFmtId="0" fontId="90" fillId="0" borderId="0" xfId="1224" applyFont="1" applyBorder="1" applyProtection="1">
      <protection locked="0"/>
    </xf>
    <xf numFmtId="182" fontId="26" fillId="0" borderId="0" xfId="1224" applyNumberFormat="1" applyFont="1"/>
    <xf numFmtId="178" fontId="90" fillId="0" borderId="30" xfId="1224" applyNumberFormat="1" applyFont="1" applyBorder="1" applyProtection="1">
      <protection locked="0"/>
    </xf>
    <xf numFmtId="179" fontId="90" fillId="0" borderId="30" xfId="1224" applyNumberFormat="1" applyFont="1" applyBorder="1" applyProtection="1">
      <protection locked="0"/>
    </xf>
    <xf numFmtId="10" fontId="90" fillId="0" borderId="83" xfId="1224" applyNumberFormat="1" applyFont="1" applyBorder="1" applyProtection="1">
      <protection locked="0"/>
    </xf>
    <xf numFmtId="0" fontId="90" fillId="0" borderId="31" xfId="1224" applyFont="1" applyBorder="1" applyProtection="1">
      <protection locked="0"/>
    </xf>
    <xf numFmtId="0" fontId="90" fillId="0" borderId="39" xfId="1224" applyFont="1" applyBorder="1"/>
    <xf numFmtId="37" fontId="26" fillId="0" borderId="30" xfId="1224" applyNumberFormat="1" applyFont="1" applyFill="1" applyBorder="1" applyProtection="1">
      <protection locked="0"/>
    </xf>
    <xf numFmtId="0" fontId="28" fillId="0" borderId="29" xfId="1227" applyFont="1" applyBorder="1" applyAlignment="1" applyProtection="1">
      <alignment horizontal="right"/>
      <protection locked="0"/>
    </xf>
    <xf numFmtId="0" fontId="90" fillId="0" borderId="44" xfId="1224" applyFont="1" applyBorder="1" applyProtection="1">
      <protection locked="0"/>
    </xf>
    <xf numFmtId="0" fontId="26" fillId="0" borderId="0" xfId="0" applyFont="1"/>
    <xf numFmtId="0" fontId="25" fillId="0" borderId="0" xfId="0" applyFont="1"/>
    <xf numFmtId="0" fontId="25" fillId="0" borderId="0" xfId="0" applyFont="1" applyAlignment="1">
      <alignment horizontal="center"/>
    </xf>
    <xf numFmtId="0" fontId="26" fillId="0" borderId="0" xfId="0" applyFont="1" applyAlignment="1">
      <alignment horizontal="center"/>
    </xf>
    <xf numFmtId="0" fontId="26" fillId="0" borderId="14" xfId="0" applyFont="1" applyBorder="1" applyAlignment="1">
      <alignment horizontal="center"/>
    </xf>
    <xf numFmtId="0" fontId="25" fillId="0" borderId="15" xfId="0" applyFont="1" applyBorder="1"/>
    <xf numFmtId="0" fontId="25" fillId="0" borderId="16" xfId="0" applyFont="1" applyBorder="1" applyAlignment="1">
      <alignment horizontal="center"/>
    </xf>
    <xf numFmtId="0" fontId="25" fillId="0" borderId="16" xfId="0" applyFont="1" applyBorder="1"/>
    <xf numFmtId="0" fontId="26" fillId="0" borderId="16" xfId="0" applyFont="1" applyBorder="1"/>
    <xf numFmtId="0" fontId="26" fillId="0" borderId="17" xfId="0" applyFont="1" applyBorder="1"/>
    <xf numFmtId="0" fontId="26" fillId="0" borderId="18" xfId="0" applyFont="1" applyBorder="1" applyAlignment="1">
      <alignment horizontal="center"/>
    </xf>
    <xf numFmtId="0" fontId="25" fillId="0" borderId="19" xfId="0" applyFont="1" applyBorder="1"/>
    <xf numFmtId="164" fontId="26" fillId="0" borderId="0" xfId="30" applyNumberFormat="1" applyFont="1" applyBorder="1"/>
    <xf numFmtId="0" fontId="26" fillId="0" borderId="24" xfId="0" applyFont="1" applyBorder="1" applyAlignment="1">
      <alignment horizontal="center"/>
    </xf>
    <xf numFmtId="0" fontId="26" fillId="0" borderId="22" xfId="0" applyFont="1" applyBorder="1"/>
    <xf numFmtId="164" fontId="26" fillId="0" borderId="16" xfId="30" applyNumberFormat="1" applyFont="1" applyBorder="1"/>
    <xf numFmtId="164" fontId="26" fillId="0" borderId="17" xfId="30" applyNumberFormat="1" applyFont="1" applyBorder="1"/>
    <xf numFmtId="0" fontId="26" fillId="0" borderId="19" xfId="0" applyFont="1" applyBorder="1"/>
    <xf numFmtId="0" fontId="26" fillId="0" borderId="16" xfId="0" applyFont="1" applyBorder="1" applyAlignment="1">
      <alignment horizontal="center"/>
    </xf>
    <xf numFmtId="0" fontId="26" fillId="0" borderId="0" xfId="0" applyFont="1" applyBorder="1" applyAlignment="1">
      <alignment horizontal="center"/>
    </xf>
    <xf numFmtId="0" fontId="28" fillId="0" borderId="0" xfId="189" applyFont="1"/>
    <xf numFmtId="0" fontId="29" fillId="0" borderId="0" xfId="0" applyFont="1"/>
    <xf numFmtId="0" fontId="29" fillId="0" borderId="0" xfId="0" applyFont="1" applyAlignment="1">
      <alignment horizontal="centerContinuous"/>
    </xf>
    <xf numFmtId="0" fontId="29" fillId="0" borderId="39" xfId="0" applyFont="1" applyBorder="1" applyProtection="1">
      <protection locked="0"/>
    </xf>
    <xf numFmtId="0" fontId="29" fillId="0" borderId="30" xfId="0" applyFont="1" applyBorder="1" applyAlignment="1" applyProtection="1">
      <alignment horizontal="center"/>
      <protection locked="0"/>
    </xf>
    <xf numFmtId="0" fontId="28" fillId="0" borderId="0" xfId="189" applyFont="1" applyAlignment="1">
      <alignment horizontal="center"/>
    </xf>
    <xf numFmtId="0" fontId="29" fillId="0" borderId="9" xfId="189" applyFont="1" applyBorder="1" applyAlignment="1">
      <alignment horizontal="center" wrapText="1"/>
    </xf>
    <xf numFmtId="0" fontId="28" fillId="0" borderId="18" xfId="189" applyFont="1" applyBorder="1"/>
    <xf numFmtId="0" fontId="26" fillId="0" borderId="0" xfId="232" applyFont="1"/>
    <xf numFmtId="0" fontId="25" fillId="0" borderId="0" xfId="232" applyFont="1"/>
    <xf numFmtId="0" fontId="25" fillId="0" borderId="0" xfId="232" applyFont="1" applyAlignment="1">
      <alignment horizontal="center"/>
    </xf>
    <xf numFmtId="0" fontId="26" fillId="0" borderId="0" xfId="232" applyFont="1" applyAlignment="1">
      <alignment horizontal="center"/>
    </xf>
    <xf numFmtId="0" fontId="26" fillId="0" borderId="14" xfId="232" applyFont="1" applyBorder="1" applyAlignment="1">
      <alignment horizontal="center"/>
    </xf>
    <xf numFmtId="164" fontId="26" fillId="0" borderId="0" xfId="51" applyNumberFormat="1" applyFont="1" applyBorder="1"/>
    <xf numFmtId="0" fontId="26" fillId="0" borderId="24" xfId="232" applyFont="1" applyBorder="1" applyAlignment="1">
      <alignment horizontal="center"/>
    </xf>
    <xf numFmtId="0" fontId="26" fillId="0" borderId="22" xfId="232" applyFont="1" applyBorder="1"/>
    <xf numFmtId="0" fontId="26" fillId="0" borderId="19" xfId="232" applyFont="1" applyBorder="1"/>
    <xf numFmtId="0" fontId="26" fillId="0" borderId="16" xfId="232" applyFont="1" applyBorder="1" applyAlignment="1">
      <alignment horizontal="center"/>
    </xf>
    <xf numFmtId="0" fontId="26" fillId="0" borderId="0" xfId="232" applyFont="1" applyBorder="1" applyAlignment="1">
      <alignment horizontal="center"/>
    </xf>
    <xf numFmtId="0" fontId="26" fillId="0" borderId="9" xfId="232" applyFont="1" applyBorder="1" applyAlignment="1">
      <alignment horizontal="center" wrapText="1"/>
    </xf>
    <xf numFmtId="0" fontId="25" fillId="0" borderId="32" xfId="232" applyFont="1" applyBorder="1"/>
    <xf numFmtId="0" fontId="25" fillId="0" borderId="5" xfId="232" applyFont="1" applyBorder="1" applyAlignment="1">
      <alignment horizontal="center"/>
    </xf>
    <xf numFmtId="0" fontId="25" fillId="0" borderId="5" xfId="232" applyFont="1" applyBorder="1" applyAlignment="1">
      <alignment horizontal="center" wrapText="1"/>
    </xf>
    <xf numFmtId="0" fontId="25" fillId="0" borderId="33" xfId="232" applyFont="1" applyBorder="1" applyAlignment="1">
      <alignment horizontal="center"/>
    </xf>
    <xf numFmtId="164" fontId="25" fillId="18" borderId="17" xfId="30" applyNumberFormat="1" applyFont="1" applyFill="1" applyBorder="1"/>
    <xf numFmtId="164" fontId="25" fillId="18" borderId="16" xfId="30" applyNumberFormat="1" applyFont="1" applyFill="1" applyBorder="1"/>
    <xf numFmtId="164" fontId="26" fillId="18" borderId="16" xfId="30" applyNumberFormat="1" applyFont="1" applyFill="1" applyBorder="1"/>
    <xf numFmtId="164" fontId="25" fillId="18" borderId="16" xfId="51" applyNumberFormat="1" applyFont="1" applyFill="1" applyBorder="1"/>
    <xf numFmtId="164" fontId="25" fillId="18" borderId="17" xfId="51" applyNumberFormat="1" applyFont="1" applyFill="1" applyBorder="1"/>
    <xf numFmtId="0" fontId="25" fillId="0" borderId="22" xfId="232" applyFont="1" applyBorder="1" applyAlignment="1">
      <alignment horizontal="left" indent="1"/>
    </xf>
    <xf numFmtId="0" fontId="25" fillId="0" borderId="22" xfId="0" applyFont="1" applyBorder="1" applyAlignment="1">
      <alignment horizontal="left" indent="1"/>
    </xf>
    <xf numFmtId="39" fontId="28" fillId="0" borderId="0" xfId="218" applyFont="1" applyAlignment="1" applyProtection="1">
      <alignment horizontal="center"/>
    </xf>
    <xf numFmtId="39" fontId="28" fillId="0" borderId="0" xfId="218" applyFont="1"/>
    <xf numFmtId="39" fontId="28" fillId="0" borderId="0" xfId="218" applyFont="1" applyProtection="1"/>
    <xf numFmtId="39" fontId="28" fillId="0" borderId="0" xfId="218" applyFont="1" applyBorder="1" applyProtection="1"/>
    <xf numFmtId="39" fontId="29" fillId="0" borderId="0" xfId="218" applyFont="1" applyBorder="1" applyAlignment="1" applyProtection="1">
      <alignment horizontal="centerContinuous"/>
      <protection locked="0"/>
    </xf>
    <xf numFmtId="37" fontId="29" fillId="0" borderId="0" xfId="218" applyNumberFormat="1" applyFont="1" applyBorder="1" applyAlignment="1" applyProtection="1">
      <alignment horizontal="centerContinuous"/>
    </xf>
    <xf numFmtId="39" fontId="29" fillId="0" borderId="0" xfId="218" applyFont="1" applyProtection="1"/>
    <xf numFmtId="37" fontId="29" fillId="0" borderId="0" xfId="218" applyNumberFormat="1" applyFont="1" applyAlignment="1" applyProtection="1">
      <alignment horizontal="centerContinuous"/>
    </xf>
    <xf numFmtId="39" fontId="28" fillId="0" borderId="14" xfId="218" applyFont="1" applyBorder="1" applyAlignment="1" applyProtection="1">
      <alignment horizontal="center"/>
    </xf>
    <xf numFmtId="37" fontId="29" fillId="0" borderId="14" xfId="218" applyNumberFormat="1" applyFont="1" applyBorder="1" applyAlignment="1" applyProtection="1">
      <alignment horizontal="center"/>
      <protection locked="0"/>
    </xf>
    <xf numFmtId="39" fontId="28" fillId="0" borderId="18" xfId="218" applyFont="1" applyBorder="1" applyAlignment="1" applyProtection="1">
      <alignment horizontal="center"/>
    </xf>
    <xf numFmtId="37" fontId="29" fillId="0" borderId="18" xfId="218" applyNumberFormat="1" applyFont="1" applyBorder="1" applyAlignment="1" applyProtection="1">
      <alignment horizontal="center"/>
      <protection locked="0"/>
    </xf>
    <xf numFmtId="174" fontId="28" fillId="0" borderId="28" xfId="218" applyNumberFormat="1" applyFont="1" applyBorder="1" applyAlignment="1" applyProtection="1">
      <alignment horizontal="center"/>
    </xf>
    <xf numFmtId="39" fontId="29" fillId="0" borderId="44" xfId="218" applyFont="1" applyBorder="1" applyProtection="1">
      <protection locked="0"/>
    </xf>
    <xf numFmtId="39" fontId="28" fillId="0" borderId="28" xfId="218" applyFont="1" applyBorder="1" applyAlignment="1" applyProtection="1">
      <alignment horizontal="center"/>
    </xf>
    <xf numFmtId="37" fontId="28" fillId="0" borderId="28" xfId="218" applyNumberFormat="1" applyFont="1" applyBorder="1" applyAlignment="1" applyProtection="1">
      <alignment horizontal="center"/>
      <protection locked="0"/>
    </xf>
    <xf numFmtId="39" fontId="28" fillId="0" borderId="44" xfId="218" applyFont="1" applyBorder="1" applyProtection="1">
      <protection locked="0"/>
    </xf>
    <xf numFmtId="39" fontId="28" fillId="0" borderId="28" xfId="218" applyFont="1" applyBorder="1" applyAlignment="1" applyProtection="1">
      <alignment horizontal="center"/>
      <protection locked="0"/>
    </xf>
    <xf numFmtId="39" fontId="29" fillId="0" borderId="25" xfId="218" applyFont="1" applyBorder="1" applyProtection="1">
      <protection locked="0"/>
    </xf>
    <xf numFmtId="39" fontId="28" fillId="0" borderId="46" xfId="218" applyFont="1" applyBorder="1" applyAlignment="1" applyProtection="1">
      <alignment horizontal="center"/>
    </xf>
    <xf numFmtId="39" fontId="29" fillId="0" borderId="26" xfId="218" applyFont="1" applyBorder="1" applyProtection="1">
      <protection locked="0"/>
    </xf>
    <xf numFmtId="39" fontId="28" fillId="0" borderId="26" xfId="218" applyFont="1" applyBorder="1" applyAlignment="1" applyProtection="1">
      <alignment horizontal="center"/>
    </xf>
    <xf numFmtId="39" fontId="29" fillId="0" borderId="28" xfId="218" applyFont="1" applyBorder="1" applyAlignment="1" applyProtection="1">
      <alignment horizontal="center"/>
      <protection locked="0"/>
    </xf>
    <xf numFmtId="39" fontId="28" fillId="0" borderId="24" xfId="218" applyFont="1" applyBorder="1" applyAlignment="1" applyProtection="1">
      <alignment horizontal="center"/>
    </xf>
    <xf numFmtId="39" fontId="28" fillId="0" borderId="44" xfId="218" applyFont="1" applyFill="1" applyBorder="1" applyProtection="1">
      <protection locked="0"/>
    </xf>
    <xf numFmtId="39" fontId="28" fillId="0" borderId="24" xfId="218" applyFont="1" applyBorder="1" applyAlignment="1" applyProtection="1">
      <alignment horizontal="center"/>
      <protection locked="0"/>
    </xf>
    <xf numFmtId="39" fontId="29" fillId="0" borderId="24" xfId="218" applyFont="1" applyBorder="1" applyAlignment="1" applyProtection="1">
      <alignment horizontal="center"/>
      <protection locked="0"/>
    </xf>
    <xf numFmtId="174" fontId="28" fillId="0" borderId="27" xfId="218" applyNumberFormat="1" applyFont="1" applyBorder="1" applyAlignment="1" applyProtection="1">
      <alignment horizontal="center"/>
    </xf>
    <xf numFmtId="39" fontId="28" fillId="0" borderId="46" xfId="218" applyFont="1" applyBorder="1" applyAlignment="1" applyProtection="1">
      <alignment horizontal="center"/>
      <protection locked="0"/>
    </xf>
    <xf numFmtId="39" fontId="28" fillId="0" borderId="15" xfId="218" applyFont="1" applyBorder="1" applyAlignment="1" applyProtection="1">
      <alignment horizontal="center"/>
    </xf>
    <xf numFmtId="39" fontId="28" fillId="0" borderId="19" xfId="218" applyFont="1" applyBorder="1" applyAlignment="1" applyProtection="1">
      <alignment horizontal="center"/>
    </xf>
    <xf numFmtId="39" fontId="29" fillId="0" borderId="48" xfId="218" applyFont="1" applyBorder="1" applyProtection="1">
      <protection locked="0"/>
    </xf>
    <xf numFmtId="39" fontId="28" fillId="0" borderId="35" xfId="218" applyFont="1" applyBorder="1" applyAlignment="1" applyProtection="1">
      <alignment horizontal="center"/>
    </xf>
    <xf numFmtId="39" fontId="28" fillId="0" borderId="50" xfId="218" applyFont="1" applyBorder="1" applyProtection="1">
      <protection locked="0"/>
    </xf>
    <xf numFmtId="39" fontId="28" fillId="0" borderId="27" xfId="218" applyFont="1" applyBorder="1" applyAlignment="1" applyProtection="1">
      <alignment horizontal="center"/>
      <protection locked="0"/>
    </xf>
    <xf numFmtId="39" fontId="28" fillId="0" borderId="50" xfId="218" quotePrefix="1" applyFont="1" applyBorder="1" applyProtection="1">
      <protection locked="0"/>
    </xf>
    <xf numFmtId="37" fontId="28" fillId="0" borderId="24" xfId="218" applyNumberFormat="1" applyFont="1" applyFill="1" applyBorder="1" applyProtection="1">
      <protection locked="0"/>
    </xf>
    <xf numFmtId="39" fontId="29" fillId="0" borderId="27" xfId="218" applyFont="1" applyBorder="1" applyAlignment="1" applyProtection="1">
      <alignment horizontal="center"/>
      <protection locked="0"/>
    </xf>
    <xf numFmtId="39" fontId="28" fillId="0" borderId="27" xfId="218" applyFont="1" applyBorder="1" applyAlignment="1" applyProtection="1">
      <alignment horizontal="center"/>
    </xf>
    <xf numFmtId="39" fontId="28" fillId="0" borderId="50" xfId="218" applyFont="1" applyBorder="1" applyAlignment="1" applyProtection="1">
      <alignment horizontal="left" indent="2"/>
      <protection locked="0"/>
    </xf>
    <xf numFmtId="39" fontId="28" fillId="0" borderId="0" xfId="218" applyFont="1" applyBorder="1" applyAlignment="1" applyProtection="1">
      <alignment horizontal="center"/>
      <protection locked="0"/>
    </xf>
    <xf numFmtId="39" fontId="29" fillId="0" borderId="32" xfId="218" applyFont="1" applyBorder="1" applyProtection="1">
      <protection locked="0"/>
    </xf>
    <xf numFmtId="39" fontId="29" fillId="0" borderId="5" xfId="218" applyFont="1" applyBorder="1" applyAlignment="1" applyProtection="1">
      <alignment horizontal="center"/>
      <protection locked="0"/>
    </xf>
    <xf numFmtId="39" fontId="29" fillId="0" borderId="15" xfId="218" applyFont="1" applyBorder="1" applyProtection="1">
      <protection locked="0"/>
    </xf>
    <xf numFmtId="39" fontId="29" fillId="0" borderId="14" xfId="218" applyFont="1" applyBorder="1" applyAlignment="1" applyProtection="1">
      <alignment horizontal="center"/>
      <protection locked="0"/>
    </xf>
    <xf numFmtId="39" fontId="29" fillId="0" borderId="50" xfId="218" applyFont="1" applyBorder="1" applyProtection="1">
      <protection locked="0"/>
    </xf>
    <xf numFmtId="37" fontId="28" fillId="0" borderId="24" xfId="218" quotePrefix="1" applyNumberFormat="1" applyFont="1" applyFill="1" applyBorder="1" applyAlignment="1" applyProtection="1">
      <alignment horizontal="center"/>
    </xf>
    <xf numFmtId="39" fontId="28" fillId="0" borderId="27" xfId="218" applyFont="1" applyFill="1" applyBorder="1" applyAlignment="1" applyProtection="1">
      <alignment horizontal="center"/>
      <protection locked="0"/>
    </xf>
    <xf numFmtId="174" fontId="28" fillId="0" borderId="19" xfId="218" applyNumberFormat="1" applyFont="1" applyBorder="1" applyAlignment="1" applyProtection="1">
      <alignment horizontal="center"/>
    </xf>
    <xf numFmtId="39" fontId="28" fillId="0" borderId="32" xfId="218" applyFont="1" applyBorder="1" applyProtection="1"/>
    <xf numFmtId="39" fontId="28" fillId="0" borderId="5" xfId="218" applyFont="1" applyBorder="1" applyAlignment="1" applyProtection="1">
      <alignment horizontal="center"/>
    </xf>
    <xf numFmtId="174" fontId="28" fillId="0" borderId="0" xfId="218" applyNumberFormat="1" applyFont="1" applyBorder="1" applyAlignment="1" applyProtection="1">
      <alignment horizontal="center"/>
    </xf>
    <xf numFmtId="39" fontId="28" fillId="0" borderId="0" xfId="218" applyFont="1" applyBorder="1" applyAlignment="1" applyProtection="1">
      <alignment horizontal="center"/>
    </xf>
    <xf numFmtId="37" fontId="28" fillId="0" borderId="57" xfId="218" applyNumberFormat="1" applyFont="1" applyFill="1" applyBorder="1" applyProtection="1">
      <protection locked="0"/>
    </xf>
    <xf numFmtId="37" fontId="28" fillId="0" borderId="57" xfId="218" applyNumberFormat="1" applyFont="1" applyFill="1" applyBorder="1"/>
    <xf numFmtId="39" fontId="29" fillId="0" borderId="14" xfId="218" applyFont="1" applyBorder="1"/>
    <xf numFmtId="39" fontId="28" fillId="0" borderId="14" xfId="218" applyFont="1" applyBorder="1"/>
    <xf numFmtId="39" fontId="28" fillId="0" borderId="18" xfId="218" applyFont="1" applyBorder="1" applyAlignment="1">
      <alignment horizontal="left" indent="1"/>
    </xf>
    <xf numFmtId="39" fontId="28" fillId="0" borderId="18" xfId="218" applyFont="1" applyBorder="1"/>
    <xf numFmtId="37" fontId="28" fillId="0" borderId="18" xfId="218" applyNumberFormat="1" applyFont="1" applyBorder="1"/>
    <xf numFmtId="39" fontId="28" fillId="0" borderId="40" xfId="218" applyFont="1" applyBorder="1"/>
    <xf numFmtId="39" fontId="28" fillId="0" borderId="32" xfId="218" applyFont="1" applyBorder="1"/>
    <xf numFmtId="39" fontId="28" fillId="0" borderId="5" xfId="218" applyFont="1" applyBorder="1" applyAlignment="1">
      <alignment horizontal="center"/>
    </xf>
    <xf numFmtId="37" fontId="28" fillId="0" borderId="33" xfId="218" applyNumberFormat="1" applyFont="1" applyBorder="1"/>
    <xf numFmtId="39" fontId="28" fillId="0" borderId="0" xfId="218" applyFont="1" applyAlignment="1">
      <alignment horizontal="center"/>
    </xf>
    <xf numFmtId="37" fontId="28" fillId="0" borderId="0" xfId="218" applyNumberFormat="1" applyFont="1"/>
    <xf numFmtId="39" fontId="28" fillId="0" borderId="0" xfId="218" applyFont="1" applyBorder="1" applyAlignment="1" applyProtection="1">
      <alignment horizontal="center" vertical="center"/>
    </xf>
    <xf numFmtId="39" fontId="28" fillId="0" borderId="22" xfId="218" applyFont="1" applyBorder="1" applyProtection="1">
      <protection locked="0"/>
    </xf>
    <xf numFmtId="174" fontId="28" fillId="0" borderId="24" xfId="218" applyNumberFormat="1" applyFont="1" applyBorder="1" applyAlignment="1" applyProtection="1">
      <alignment horizontal="center"/>
    </xf>
    <xf numFmtId="0" fontId="28" fillId="0" borderId="9" xfId="0" applyFont="1" applyBorder="1" applyAlignment="1">
      <alignment horizontal="center" wrapText="1"/>
    </xf>
    <xf numFmtId="0" fontId="28" fillId="0" borderId="14" xfId="0" applyFont="1" applyFill="1" applyBorder="1" applyAlignment="1">
      <alignment horizontal="center"/>
    </xf>
    <xf numFmtId="0" fontId="29" fillId="0" borderId="16" xfId="0" applyFont="1" applyFill="1" applyBorder="1"/>
    <xf numFmtId="0" fontId="28" fillId="0" borderId="16" xfId="0" applyFont="1" applyFill="1" applyBorder="1" applyAlignment="1">
      <alignment horizontal="center"/>
    </xf>
    <xf numFmtId="0" fontId="28" fillId="0" borderId="17" xfId="0" applyFont="1" applyFill="1" applyBorder="1"/>
    <xf numFmtId="0" fontId="28" fillId="0" borderId="24" xfId="0" applyFont="1" applyFill="1" applyBorder="1" applyAlignment="1">
      <alignment horizontal="center"/>
    </xf>
    <xf numFmtId="0" fontId="28" fillId="0" borderId="0" xfId="0" applyFont="1" applyFill="1" applyBorder="1" applyAlignment="1">
      <alignment horizontal="center"/>
    </xf>
    <xf numFmtId="49" fontId="28" fillId="0" borderId="0" xfId="0" applyNumberFormat="1" applyFont="1" applyFill="1" applyBorder="1" applyAlignment="1">
      <alignment horizontal="left"/>
    </xf>
    <xf numFmtId="49" fontId="28" fillId="0" borderId="22" xfId="0" applyNumberFormat="1" applyFont="1" applyFill="1" applyBorder="1" applyAlignment="1">
      <alignment horizontal="left"/>
    </xf>
    <xf numFmtId="0" fontId="28" fillId="0" borderId="0" xfId="0" applyFont="1" applyFill="1" applyBorder="1"/>
    <xf numFmtId="0" fontId="28" fillId="0" borderId="18" xfId="0" applyFont="1" applyFill="1" applyBorder="1" applyAlignment="1">
      <alignment horizontal="center"/>
    </xf>
    <xf numFmtId="0" fontId="28" fillId="0" borderId="0" xfId="0" applyFont="1" applyFill="1" applyBorder="1" applyAlignment="1">
      <alignment horizontal="center" wrapText="1"/>
    </xf>
    <xf numFmtId="0" fontId="28" fillId="0" borderId="0" xfId="0" applyFont="1"/>
    <xf numFmtId="0" fontId="28" fillId="0" borderId="15" xfId="0" applyFont="1" applyBorder="1"/>
    <xf numFmtId="0" fontId="28" fillId="0" borderId="16" xfId="0" applyFont="1" applyBorder="1"/>
    <xf numFmtId="0" fontId="28" fillId="0" borderId="17" xfId="0" applyFont="1" applyBorder="1"/>
    <xf numFmtId="0" fontId="28" fillId="0" borderId="22" xfId="0" applyFont="1" applyBorder="1" applyAlignment="1">
      <alignment horizontal="left" indent="1"/>
    </xf>
    <xf numFmtId="0" fontId="28" fillId="0" borderId="0" xfId="0" applyFont="1" applyBorder="1" applyAlignment="1">
      <alignment horizontal="left" indent="1"/>
    </xf>
    <xf numFmtId="49" fontId="28" fillId="0" borderId="0" xfId="0" applyNumberFormat="1" applyFont="1"/>
    <xf numFmtId="0" fontId="28" fillId="0" borderId="22" xfId="0" applyFont="1" applyBorder="1"/>
    <xf numFmtId="0" fontId="28" fillId="0" borderId="0" xfId="0" applyFont="1" applyBorder="1"/>
    <xf numFmtId="164" fontId="28" fillId="0" borderId="62" xfId="0" applyNumberFormat="1" applyFont="1" applyBorder="1"/>
    <xf numFmtId="0" fontId="28" fillId="0" borderId="18" xfId="0" applyFont="1" applyBorder="1"/>
    <xf numFmtId="0" fontId="28" fillId="0" borderId="19" xfId="0" applyFont="1" applyBorder="1"/>
    <xf numFmtId="49" fontId="28" fillId="0" borderId="0" xfId="0" applyNumberFormat="1" applyFont="1" applyAlignment="1">
      <alignment horizontal="center"/>
    </xf>
    <xf numFmtId="0" fontId="28" fillId="0" borderId="0" xfId="0" applyFont="1" applyAlignment="1">
      <alignment horizontal="center"/>
    </xf>
    <xf numFmtId="0" fontId="28" fillId="0" borderId="14" xfId="0" applyFont="1" applyBorder="1" applyAlignment="1">
      <alignment horizontal="center"/>
    </xf>
    <xf numFmtId="0" fontId="28" fillId="0" borderId="24" xfId="0" applyFont="1" applyBorder="1" applyAlignment="1">
      <alignment horizontal="center"/>
    </xf>
    <xf numFmtId="0" fontId="28" fillId="0" borderId="18" xfId="0" applyFont="1" applyBorder="1" applyAlignment="1">
      <alignment horizontal="center"/>
    </xf>
    <xf numFmtId="0" fontId="29" fillId="0" borderId="15" xfId="0" applyFont="1" applyFill="1" applyBorder="1" applyAlignment="1">
      <alignment horizontal="center"/>
    </xf>
    <xf numFmtId="0" fontId="28" fillId="0" borderId="0" xfId="0" applyFont="1" applyBorder="1" applyAlignment="1">
      <alignment horizontal="center"/>
    </xf>
    <xf numFmtId="0" fontId="29" fillId="0" borderId="19" xfId="0" applyFont="1" applyFill="1" applyBorder="1" applyAlignment="1">
      <alignment horizontal="center"/>
    </xf>
    <xf numFmtId="0" fontId="29" fillId="0" borderId="16" xfId="0" applyFont="1" applyFill="1" applyBorder="1" applyAlignment="1">
      <alignment horizontal="center"/>
    </xf>
    <xf numFmtId="0" fontId="29" fillId="0" borderId="17" xfId="0" applyFont="1" applyFill="1" applyBorder="1" applyAlignment="1">
      <alignment horizontal="center"/>
    </xf>
    <xf numFmtId="0" fontId="28" fillId="0" borderId="5" xfId="0" applyFont="1" applyFill="1" applyBorder="1"/>
    <xf numFmtId="0" fontId="28" fillId="0" borderId="22" xfId="0" applyFont="1" applyBorder="1" applyAlignment="1">
      <alignment horizontal="center"/>
    </xf>
    <xf numFmtId="43" fontId="28" fillId="0" borderId="0" xfId="30" applyFont="1"/>
    <xf numFmtId="0" fontId="29" fillId="0" borderId="0" xfId="0" applyFont="1" applyAlignment="1">
      <alignment horizontal="left"/>
    </xf>
    <xf numFmtId="0" fontId="28" fillId="0" borderId="19" xfId="0" applyFont="1" applyBorder="1" applyAlignment="1">
      <alignment horizontal="center"/>
    </xf>
    <xf numFmtId="0" fontId="28" fillId="0" borderId="0" xfId="0" quotePrefix="1" applyFont="1"/>
    <xf numFmtId="0" fontId="29" fillId="0" borderId="17" xfId="0" applyFont="1" applyFill="1" applyBorder="1"/>
    <xf numFmtId="0" fontId="29" fillId="0" borderId="5" xfId="0" applyFont="1" applyFill="1" applyBorder="1" applyAlignment="1">
      <alignment horizontal="center"/>
    </xf>
    <xf numFmtId="0" fontId="29" fillId="0" borderId="33" xfId="0" applyFont="1" applyFill="1" applyBorder="1" applyAlignment="1">
      <alignment horizontal="center"/>
    </xf>
    <xf numFmtId="164" fontId="28" fillId="0" borderId="0" xfId="30" applyNumberFormat="1" applyFont="1"/>
    <xf numFmtId="164" fontId="28" fillId="0" borderId="0" xfId="30" applyNumberFormat="1" applyFont="1" applyAlignment="1">
      <alignment horizontal="center"/>
    </xf>
    <xf numFmtId="164" fontId="28" fillId="0" borderId="17" xfId="30" applyNumberFormat="1" applyFont="1" applyBorder="1"/>
    <xf numFmtId="0" fontId="28" fillId="0" borderId="16" xfId="0" applyFont="1" applyBorder="1" applyAlignment="1">
      <alignment horizontal="center"/>
    </xf>
    <xf numFmtId="164" fontId="28" fillId="0" borderId="0" xfId="30" applyNumberFormat="1" applyFont="1" applyBorder="1" applyAlignment="1">
      <alignment horizontal="center"/>
    </xf>
    <xf numFmtId="164" fontId="28" fillId="0" borderId="62" xfId="30" applyNumberFormat="1" applyFont="1" applyBorder="1"/>
    <xf numFmtId="164" fontId="29" fillId="18" borderId="62" xfId="30" applyNumberFormat="1" applyFont="1" applyFill="1" applyBorder="1"/>
    <xf numFmtId="0" fontId="28" fillId="0" borderId="0" xfId="175" applyFont="1" applyAlignment="1">
      <alignment horizontal="center"/>
    </xf>
    <xf numFmtId="0" fontId="29" fillId="0" borderId="0" xfId="0" applyFont="1" applyAlignment="1">
      <alignment horizontal="center"/>
    </xf>
    <xf numFmtId="0" fontId="29" fillId="0" borderId="0" xfId="0" applyFont="1" applyAlignment="1">
      <alignment horizontal="right"/>
    </xf>
    <xf numFmtId="39" fontId="28" fillId="0" borderId="0" xfId="218" applyFont="1" applyFill="1"/>
    <xf numFmtId="164" fontId="26" fillId="0" borderId="0" xfId="51" applyNumberFormat="1" applyFont="1" applyFill="1" applyBorder="1"/>
    <xf numFmtId="0" fontId="28" fillId="0" borderId="0" xfId="0" applyFont="1" applyFill="1"/>
    <xf numFmtId="0" fontId="29" fillId="0" borderId="22" xfId="0" applyFont="1" applyBorder="1"/>
    <xf numFmtId="0" fontId="29" fillId="0" borderId="0" xfId="0" applyFont="1" applyBorder="1"/>
    <xf numFmtId="37" fontId="28" fillId="0" borderId="28" xfId="289" applyNumberFormat="1" applyFont="1" applyFill="1" applyBorder="1" applyProtection="1"/>
    <xf numFmtId="37" fontId="29" fillId="0" borderId="30" xfId="0" applyNumberFormat="1" applyFont="1" applyBorder="1" applyProtection="1">
      <protection locked="0"/>
    </xf>
    <xf numFmtId="0" fontId="29" fillId="0" borderId="0" xfId="0" applyFont="1" applyBorder="1" applyAlignment="1" applyProtection="1">
      <alignment horizontal="center"/>
      <protection locked="0"/>
    </xf>
    <xf numFmtId="7" fontId="29" fillId="0" borderId="39" xfId="0" applyNumberFormat="1" applyFont="1" applyBorder="1" applyProtection="1">
      <protection locked="0"/>
    </xf>
    <xf numFmtId="0" fontId="29" fillId="0" borderId="30" xfId="0" applyFont="1" applyBorder="1" applyAlignment="1" applyProtection="1">
      <alignment horizontal="center" wrapText="1"/>
      <protection locked="0"/>
    </xf>
    <xf numFmtId="0" fontId="28" fillId="0" borderId="0" xfId="0" quotePrefix="1" applyFont="1" applyAlignment="1">
      <alignment horizontal="center"/>
    </xf>
    <xf numFmtId="37" fontId="28" fillId="0" borderId="30" xfId="0" applyNumberFormat="1" applyFont="1" applyBorder="1" applyProtection="1">
      <protection locked="0"/>
    </xf>
    <xf numFmtId="0" fontId="28" fillId="0" borderId="30" xfId="0" applyFont="1" applyBorder="1" applyAlignment="1">
      <alignment horizontal="center" wrapText="1"/>
    </xf>
    <xf numFmtId="0" fontId="29" fillId="0" borderId="39" xfId="0" applyFont="1" applyBorder="1" applyAlignment="1" applyProtection="1">
      <alignment horizontal="center"/>
      <protection locked="0"/>
    </xf>
    <xf numFmtId="37" fontId="29" fillId="18" borderId="30" xfId="0" applyNumberFormat="1" applyFont="1" applyFill="1" applyBorder="1" applyProtection="1">
      <protection locked="0"/>
    </xf>
    <xf numFmtId="0" fontId="29" fillId="0" borderId="46" xfId="0" applyFont="1" applyBorder="1" applyProtection="1">
      <protection locked="0"/>
    </xf>
    <xf numFmtId="0" fontId="29" fillId="0" borderId="0" xfId="0" applyFont="1" applyAlignment="1" applyProtection="1">
      <alignment horizontal="centerContinuous"/>
      <protection locked="0"/>
    </xf>
    <xf numFmtId="0" fontId="28" fillId="0" borderId="28" xfId="0" applyFont="1" applyBorder="1" applyAlignment="1">
      <alignment horizontal="center"/>
    </xf>
    <xf numFmtId="39" fontId="28" fillId="0" borderId="44" xfId="218" applyFont="1" applyBorder="1" applyAlignment="1" applyProtection="1">
      <alignment horizontal="left" indent="1"/>
      <protection locked="0"/>
    </xf>
    <xf numFmtId="0" fontId="28" fillId="0" borderId="0" xfId="0" applyFont="1" applyAlignment="1">
      <alignment horizontal="centerContinuous"/>
    </xf>
    <xf numFmtId="0" fontId="29" fillId="0" borderId="16" xfId="0" applyFont="1" applyBorder="1" applyAlignment="1" applyProtection="1">
      <alignment horizontal="left" indent="1"/>
      <protection locked="0"/>
    </xf>
    <xf numFmtId="37" fontId="29" fillId="0" borderId="30" xfId="0" applyNumberFormat="1" applyFont="1" applyFill="1" applyBorder="1" applyProtection="1">
      <protection locked="0"/>
    </xf>
    <xf numFmtId="168" fontId="28" fillId="0" borderId="0" xfId="0" applyNumberFormat="1" applyFont="1" applyAlignment="1" applyProtection="1">
      <alignment horizontal="left"/>
      <protection locked="0"/>
    </xf>
    <xf numFmtId="37" fontId="28" fillId="0" borderId="0" xfId="0" applyNumberFormat="1" applyFont="1"/>
    <xf numFmtId="37" fontId="28" fillId="0" borderId="30" xfId="0" applyNumberFormat="1" applyFont="1" applyBorder="1" applyProtection="1"/>
    <xf numFmtId="0" fontId="28" fillId="0" borderId="39" xfId="0" applyFont="1" applyBorder="1" applyProtection="1">
      <protection locked="0"/>
    </xf>
    <xf numFmtId="0" fontId="29" fillId="0" borderId="29" xfId="0" applyFont="1" applyBorder="1" applyAlignment="1" applyProtection="1">
      <protection locked="0"/>
    </xf>
    <xf numFmtId="37" fontId="28" fillId="0" borderId="28" xfId="277" applyNumberFormat="1" applyFont="1" applyFill="1" applyBorder="1" applyProtection="1">
      <protection locked="0"/>
    </xf>
    <xf numFmtId="37" fontId="28" fillId="0" borderId="30" xfId="0" applyNumberFormat="1" applyFont="1" applyFill="1" applyBorder="1" applyProtection="1">
      <protection locked="0"/>
    </xf>
    <xf numFmtId="0" fontId="28" fillId="0" borderId="0" xfId="0" applyFont="1" applyProtection="1">
      <protection locked="0"/>
    </xf>
    <xf numFmtId="37" fontId="28" fillId="0" borderId="28" xfId="299" applyNumberFormat="1" applyFont="1" applyFill="1" applyBorder="1" applyProtection="1">
      <protection locked="0"/>
    </xf>
    <xf numFmtId="172" fontId="29" fillId="0" borderId="0" xfId="0" applyNumberFormat="1" applyFont="1" applyBorder="1" applyAlignment="1" applyProtection="1">
      <alignment horizontal="left"/>
      <protection locked="0"/>
    </xf>
    <xf numFmtId="0" fontId="29" fillId="0" borderId="26" xfId="0" applyFont="1" applyBorder="1" applyAlignment="1">
      <alignment horizontal="center"/>
    </xf>
    <xf numFmtId="0" fontId="29" fillId="0" borderId="0" xfId="0" quotePrefix="1" applyFont="1" applyAlignment="1">
      <alignment horizontal="right"/>
    </xf>
    <xf numFmtId="0" fontId="29" fillId="0" borderId="0" xfId="0" applyFont="1" applyBorder="1" applyAlignment="1">
      <alignment horizontal="centerContinuous"/>
    </xf>
    <xf numFmtId="0" fontId="29" fillId="0" borderId="26" xfId="0" applyFont="1" applyBorder="1" applyAlignment="1" applyProtection="1">
      <alignment horizontal="center"/>
      <protection locked="0"/>
    </xf>
    <xf numFmtId="0" fontId="29" fillId="0" borderId="28" xfId="0" applyFont="1" applyBorder="1" applyAlignment="1" applyProtection="1">
      <alignment horizontal="center"/>
      <protection locked="0"/>
    </xf>
    <xf numFmtId="49" fontId="28" fillId="0" borderId="0" xfId="0" applyNumberFormat="1" applyFont="1" applyAlignment="1">
      <alignment horizontal="right"/>
    </xf>
    <xf numFmtId="0" fontId="29" fillId="0" borderId="49" xfId="0" applyFont="1" applyBorder="1"/>
    <xf numFmtId="37" fontId="28" fillId="0" borderId="24" xfId="0" applyNumberFormat="1" applyFont="1" applyFill="1" applyBorder="1" applyProtection="1">
      <protection locked="0"/>
    </xf>
    <xf numFmtId="0" fontId="29" fillId="0" borderId="24" xfId="0" applyFont="1" applyBorder="1"/>
    <xf numFmtId="0" fontId="29" fillId="0" borderId="24" xfId="0" applyFont="1" applyFill="1" applyBorder="1"/>
    <xf numFmtId="37" fontId="29" fillId="0" borderId="24" xfId="0" applyNumberFormat="1" applyFont="1" applyFill="1" applyBorder="1" applyProtection="1"/>
    <xf numFmtId="0" fontId="28" fillId="0" borderId="14" xfId="0" applyFont="1" applyBorder="1"/>
    <xf numFmtId="0" fontId="29" fillId="0" borderId="18" xfId="0" applyFont="1" applyBorder="1"/>
    <xf numFmtId="0" fontId="28" fillId="0" borderId="18" xfId="0" quotePrefix="1" applyFont="1" applyBorder="1" applyAlignment="1" applyProtection="1">
      <alignment horizontal="center"/>
      <protection locked="0"/>
    </xf>
    <xf numFmtId="5" fontId="29" fillId="0" borderId="18" xfId="0" applyNumberFormat="1" applyFont="1" applyBorder="1" applyProtection="1">
      <protection locked="0"/>
    </xf>
    <xf numFmtId="0" fontId="29" fillId="0" borderId="18" xfId="0" applyFont="1" applyBorder="1" applyProtection="1">
      <protection locked="0"/>
    </xf>
    <xf numFmtId="0" fontId="28" fillId="0" borderId="14" xfId="0" applyFont="1" applyBorder="1" applyAlignment="1" applyProtection="1">
      <alignment horizontal="center"/>
      <protection locked="0"/>
    </xf>
    <xf numFmtId="0" fontId="28" fillId="0" borderId="14" xfId="0" quotePrefix="1" applyFont="1" applyBorder="1" applyAlignment="1" applyProtection="1">
      <alignment horizontal="center"/>
      <protection locked="0"/>
    </xf>
    <xf numFmtId="37" fontId="29" fillId="0" borderId="49" xfId="0" applyNumberFormat="1" applyFont="1" applyFill="1" applyBorder="1" applyProtection="1">
      <protection locked="0"/>
    </xf>
    <xf numFmtId="5" fontId="29" fillId="0" borderId="49" xfId="0" applyNumberFormat="1" applyFont="1" applyBorder="1" applyProtection="1">
      <protection locked="0"/>
    </xf>
    <xf numFmtId="5" fontId="29" fillId="0" borderId="66" xfId="0" applyNumberFormat="1" applyFont="1" applyBorder="1" applyProtection="1">
      <protection locked="0"/>
    </xf>
    <xf numFmtId="37" fontId="28" fillId="0" borderId="28" xfId="0" applyNumberFormat="1" applyFont="1" applyFill="1" applyBorder="1" applyProtection="1">
      <protection locked="0"/>
    </xf>
    <xf numFmtId="5" fontId="29" fillId="0" borderId="24" xfId="0" applyNumberFormat="1" applyFont="1" applyBorder="1" applyProtection="1">
      <protection locked="0"/>
    </xf>
    <xf numFmtId="0" fontId="29" fillId="0" borderId="19" xfId="0" applyFont="1" applyBorder="1"/>
    <xf numFmtId="0" fontId="29" fillId="0" borderId="55" xfId="0" applyFont="1" applyBorder="1" applyProtection="1">
      <protection locked="0"/>
    </xf>
    <xf numFmtId="0" fontId="29" fillId="0" borderId="59" xfId="0" applyFont="1" applyBorder="1" applyProtection="1">
      <protection locked="0"/>
    </xf>
    <xf numFmtId="0" fontId="29" fillId="0" borderId="55" xfId="0" applyFont="1" applyBorder="1"/>
    <xf numFmtId="0" fontId="29" fillId="0" borderId="44" xfId="0" applyFont="1" applyBorder="1" applyAlignment="1">
      <alignment horizontal="center"/>
    </xf>
    <xf numFmtId="0" fontId="29" fillId="0" borderId="17" xfId="0" applyFont="1" applyBorder="1" applyProtection="1">
      <protection locked="0"/>
    </xf>
    <xf numFmtId="0" fontId="29" fillId="0" borderId="55" xfId="0" applyFont="1" applyBorder="1" applyAlignment="1" applyProtection="1">
      <protection locked="0"/>
    </xf>
    <xf numFmtId="0" fontId="29" fillId="0" borderId="22" xfId="0" applyFont="1" applyBorder="1" applyAlignment="1" applyProtection="1">
      <protection locked="0"/>
    </xf>
    <xf numFmtId="0" fontId="29" fillId="0" borderId="22" xfId="0" applyFont="1" applyBorder="1" applyAlignment="1" applyProtection="1">
      <alignment horizontal="left" indent="1"/>
      <protection locked="0"/>
    </xf>
    <xf numFmtId="0" fontId="29" fillId="0" borderId="0" xfId="0" applyFont="1" applyBorder="1" applyAlignment="1" applyProtection="1">
      <alignment horizontal="left" indent="1"/>
      <protection locked="0"/>
    </xf>
    <xf numFmtId="0" fontId="28" fillId="0" borderId="77" xfId="0" quotePrefix="1" applyFont="1" applyBorder="1" applyAlignment="1" applyProtection="1">
      <protection locked="0"/>
    </xf>
    <xf numFmtId="172" fontId="28" fillId="0" borderId="22" xfId="0" quotePrefix="1" applyNumberFormat="1" applyFont="1" applyBorder="1" applyAlignment="1" applyProtection="1">
      <protection locked="0"/>
    </xf>
    <xf numFmtId="0" fontId="29" fillId="0" borderId="29" xfId="0" applyFont="1" applyBorder="1"/>
    <xf numFmtId="0" fontId="29" fillId="0" borderId="0" xfId="0" applyFont="1" applyBorder="1" applyAlignment="1" applyProtection="1">
      <protection locked="0"/>
    </xf>
    <xf numFmtId="0" fontId="28" fillId="0" borderId="0" xfId="0" quotePrefix="1" applyFont="1" applyBorder="1" applyAlignment="1" applyProtection="1">
      <protection locked="0"/>
    </xf>
    <xf numFmtId="0" fontId="29" fillId="0" borderId="0" xfId="0" applyFont="1" applyBorder="1" applyProtection="1">
      <protection locked="0"/>
    </xf>
    <xf numFmtId="0" fontId="29" fillId="0" borderId="15" xfId="0" applyFont="1" applyBorder="1" applyProtection="1">
      <protection locked="0"/>
    </xf>
    <xf numFmtId="0" fontId="29" fillId="0" borderId="22" xfId="0" applyFont="1" applyBorder="1" applyProtection="1">
      <protection locked="0"/>
    </xf>
    <xf numFmtId="0" fontId="29" fillId="0" borderId="16" xfId="0" applyFont="1" applyBorder="1" applyProtection="1">
      <protection locked="0"/>
    </xf>
    <xf numFmtId="0" fontId="29" fillId="0" borderId="60" xfId="0" applyFont="1" applyBorder="1"/>
    <xf numFmtId="0" fontId="28" fillId="0" borderId="0" xfId="0" applyFont="1" applyBorder="1" applyProtection="1">
      <protection locked="0"/>
    </xf>
    <xf numFmtId="0" fontId="29" fillId="0" borderId="17" xfId="0" applyFont="1" applyBorder="1" applyAlignment="1" applyProtection="1">
      <alignment horizontal="left" indent="1"/>
      <protection locked="0"/>
    </xf>
    <xf numFmtId="172" fontId="28" fillId="0" borderId="17" xfId="0" applyNumberFormat="1" applyFont="1" applyBorder="1" applyProtection="1"/>
    <xf numFmtId="0" fontId="29" fillId="0" borderId="17" xfId="0" applyFont="1" applyBorder="1"/>
    <xf numFmtId="172" fontId="28" fillId="0" borderId="22" xfId="0" applyNumberFormat="1" applyFont="1" applyBorder="1" applyAlignment="1" applyProtection="1">
      <alignment horizontal="left"/>
      <protection locked="0"/>
    </xf>
    <xf numFmtId="0" fontId="29" fillId="0" borderId="29" xfId="0" applyFont="1" applyBorder="1" applyProtection="1">
      <protection locked="0"/>
    </xf>
    <xf numFmtId="0" fontId="28" fillId="0" borderId="0" xfId="0" quotePrefix="1" applyFont="1" applyBorder="1" applyProtection="1">
      <protection locked="0"/>
    </xf>
    <xf numFmtId="5" fontId="29" fillId="0" borderId="9" xfId="0" applyNumberFormat="1" applyFont="1" applyBorder="1" applyProtection="1">
      <protection locked="0"/>
    </xf>
    <xf numFmtId="167" fontId="28" fillId="0" borderId="0" xfId="0" applyNumberFormat="1" applyFont="1" applyAlignment="1" applyProtection="1">
      <alignment horizontal="left"/>
      <protection locked="0"/>
    </xf>
    <xf numFmtId="0" fontId="29" fillId="0" borderId="0" xfId="0" applyFont="1" applyProtection="1">
      <protection locked="0"/>
    </xf>
    <xf numFmtId="168" fontId="29" fillId="0" borderId="0" xfId="0" applyNumberFormat="1" applyFont="1" applyAlignment="1" applyProtection="1">
      <alignment horizontal="centerContinuous"/>
      <protection locked="0"/>
    </xf>
    <xf numFmtId="0" fontId="0" fillId="0" borderId="0" xfId="0" applyFont="1"/>
    <xf numFmtId="5" fontId="29" fillId="0" borderId="24" xfId="0" applyNumberFormat="1" applyFont="1" applyFill="1" applyBorder="1" applyProtection="1">
      <protection locked="0"/>
    </xf>
    <xf numFmtId="172" fontId="28" fillId="0" borderId="77" xfId="0" applyNumberFormat="1" applyFont="1" applyFill="1" applyBorder="1" applyAlignment="1" applyProtection="1">
      <alignment horizontal="center"/>
      <protection locked="0"/>
    </xf>
    <xf numFmtId="37" fontId="28" fillId="0" borderId="55" xfId="0" applyNumberFormat="1" applyFont="1" applyBorder="1" applyAlignment="1" applyProtection="1">
      <alignment horizontal="center"/>
      <protection locked="0"/>
    </xf>
    <xf numFmtId="172" fontId="29" fillId="0" borderId="55" xfId="0" applyNumberFormat="1" applyFont="1" applyBorder="1" applyProtection="1">
      <protection locked="0"/>
    </xf>
    <xf numFmtId="172" fontId="28" fillId="0" borderId="44" xfId="0" applyNumberFormat="1" applyFont="1" applyFill="1" applyBorder="1" applyAlignment="1" applyProtection="1">
      <alignment horizontal="center"/>
      <protection locked="0"/>
    </xf>
    <xf numFmtId="173" fontId="29" fillId="0" borderId="59" xfId="0" applyNumberFormat="1" applyFont="1" applyBorder="1" applyAlignment="1" applyProtection="1">
      <alignment horizontal="right"/>
      <protection locked="0"/>
    </xf>
    <xf numFmtId="0" fontId="29" fillId="0" borderId="33" xfId="0" applyFont="1" applyFill="1" applyBorder="1"/>
    <xf numFmtId="0" fontId="29" fillId="0" borderId="0" xfId="0" applyFont="1" applyFill="1" applyBorder="1" applyAlignment="1">
      <alignment horizontal="center"/>
    </xf>
    <xf numFmtId="5" fontId="29" fillId="21" borderId="9" xfId="0" applyNumberFormat="1" applyFont="1" applyFill="1" applyBorder="1" applyProtection="1">
      <protection locked="0"/>
    </xf>
    <xf numFmtId="0" fontId="28" fillId="0" borderId="22" xfId="0" applyFont="1" applyFill="1" applyBorder="1" applyAlignment="1">
      <alignment horizontal="center"/>
    </xf>
    <xf numFmtId="0" fontId="28" fillId="0" borderId="22" xfId="0" applyFont="1" applyFill="1" applyBorder="1"/>
    <xf numFmtId="0" fontId="28" fillId="0" borderId="0" xfId="0" quotePrefix="1" applyFont="1" applyFill="1" applyBorder="1" applyAlignment="1">
      <alignment horizontal="center"/>
    </xf>
    <xf numFmtId="0" fontId="29" fillId="0" borderId="22" xfId="0" applyFont="1" applyFill="1" applyBorder="1"/>
    <xf numFmtId="49" fontId="28" fillId="0" borderId="22" xfId="0" applyNumberFormat="1" applyFont="1" applyFill="1" applyBorder="1"/>
    <xf numFmtId="49" fontId="28" fillId="0" borderId="0" xfId="0" applyNumberFormat="1" applyFont="1" applyFill="1" applyBorder="1" applyAlignment="1">
      <alignment horizontal="center"/>
    </xf>
    <xf numFmtId="0" fontId="28" fillId="0" borderId="0" xfId="0" applyNumberFormat="1" applyFont="1" applyFill="1" applyBorder="1" applyAlignment="1">
      <alignment horizontal="center"/>
    </xf>
    <xf numFmtId="49" fontId="29" fillId="0" borderId="22" xfId="0" applyNumberFormat="1" applyFont="1" applyFill="1" applyBorder="1"/>
    <xf numFmtId="0" fontId="28" fillId="0" borderId="19" xfId="0" applyFont="1" applyFill="1" applyBorder="1"/>
    <xf numFmtId="0" fontId="28" fillId="0" borderId="15" xfId="0" applyFont="1" applyFill="1" applyBorder="1"/>
    <xf numFmtId="49" fontId="28" fillId="0" borderId="16" xfId="0" applyNumberFormat="1" applyFont="1" applyFill="1" applyBorder="1"/>
    <xf numFmtId="49" fontId="28" fillId="0" borderId="0" xfId="0" applyNumberFormat="1" applyFont="1" applyFill="1" applyBorder="1"/>
    <xf numFmtId="0" fontId="26" fillId="0" borderId="0" xfId="0" applyFont="1" applyBorder="1"/>
    <xf numFmtId="164" fontId="26" fillId="0" borderId="0" xfId="0" applyNumberFormat="1" applyFont="1"/>
    <xf numFmtId="175" fontId="28" fillId="0" borderId="0" xfId="64" applyNumberFormat="1" applyFont="1" applyFill="1" applyBorder="1"/>
    <xf numFmtId="39" fontId="28" fillId="0" borderId="22" xfId="218" applyFont="1" applyBorder="1" applyAlignment="1">
      <alignment horizontal="left" indent="1"/>
    </xf>
    <xf numFmtId="39" fontId="28" fillId="0" borderId="24" xfId="218" applyFont="1" applyBorder="1"/>
    <xf numFmtId="39" fontId="29" fillId="0" borderId="22" xfId="218" applyFont="1" applyBorder="1"/>
    <xf numFmtId="39" fontId="28" fillId="0" borderId="24" xfId="218" applyFont="1" applyBorder="1" applyAlignment="1">
      <alignment horizontal="center"/>
    </xf>
    <xf numFmtId="0" fontId="28" fillId="0" borderId="22" xfId="0" applyFont="1" applyBorder="1" applyProtection="1">
      <protection locked="0"/>
    </xf>
    <xf numFmtId="37" fontId="28" fillId="0" borderId="24" xfId="0" applyNumberFormat="1" applyFont="1" applyBorder="1"/>
    <xf numFmtId="0" fontId="28" fillId="0" borderId="24" xfId="0" applyFont="1" applyBorder="1"/>
    <xf numFmtId="0" fontId="28" fillId="0" borderId="24" xfId="0" quotePrefix="1" applyFont="1" applyBorder="1" applyAlignment="1">
      <alignment horizontal="center"/>
    </xf>
    <xf numFmtId="37" fontId="28" fillId="0" borderId="18" xfId="0" applyNumberFormat="1" applyFont="1" applyBorder="1"/>
    <xf numFmtId="0" fontId="28" fillId="0" borderId="0" xfId="0" applyFont="1" applyAlignment="1" applyProtection="1">
      <alignment horizontal="right"/>
    </xf>
    <xf numFmtId="0" fontId="28" fillId="0" borderId="67" xfId="311" applyFont="1" applyBorder="1"/>
    <xf numFmtId="0" fontId="28" fillId="0" borderId="67" xfId="311" applyFont="1" applyBorder="1" applyProtection="1"/>
    <xf numFmtId="0" fontId="28" fillId="0" borderId="0" xfId="0" quotePrefix="1" applyFont="1" applyAlignment="1">
      <alignment horizontal="left"/>
    </xf>
    <xf numFmtId="3" fontId="28" fillId="0" borderId="77" xfId="0" applyNumberFormat="1" applyFont="1" applyFill="1" applyBorder="1" applyAlignment="1">
      <alignment horizontal="right"/>
    </xf>
    <xf numFmtId="3" fontId="29" fillId="0" borderId="17" xfId="0" applyNumberFormat="1" applyFont="1" applyFill="1" applyBorder="1" applyAlignment="1">
      <alignment horizontal="right"/>
    </xf>
    <xf numFmtId="3" fontId="29" fillId="0" borderId="64" xfId="0" applyNumberFormat="1" applyFont="1" applyFill="1" applyBorder="1" applyAlignment="1">
      <alignment horizontal="right"/>
    </xf>
    <xf numFmtId="49" fontId="28" fillId="0" borderId="0" xfId="0" quotePrefix="1" applyNumberFormat="1" applyFont="1" applyFill="1" applyBorder="1" applyAlignment="1">
      <alignment horizontal="center"/>
    </xf>
    <xf numFmtId="0" fontId="28" fillId="0" borderId="0" xfId="189" applyFont="1" applyFill="1"/>
    <xf numFmtId="43" fontId="28" fillId="0" borderId="0" xfId="0" applyNumberFormat="1" applyFont="1"/>
    <xf numFmtId="176" fontId="28" fillId="0" borderId="0" xfId="0" applyNumberFormat="1" applyFont="1"/>
    <xf numFmtId="0" fontId="25" fillId="0" borderId="0" xfId="0" applyFont="1" applyAlignment="1"/>
    <xf numFmtId="49" fontId="25" fillId="0" borderId="0" xfId="0" applyNumberFormat="1" applyFont="1" applyAlignment="1"/>
    <xf numFmtId="164" fontId="28" fillId="0" borderId="17" xfId="30" applyNumberFormat="1" applyFont="1" applyFill="1" applyBorder="1"/>
    <xf numFmtId="164" fontId="29" fillId="18" borderId="17" xfId="30" applyNumberFormat="1" applyFont="1" applyFill="1" applyBorder="1"/>
    <xf numFmtId="0" fontId="28" fillId="0" borderId="0" xfId="485" applyFont="1" applyBorder="1" applyProtection="1">
      <protection locked="0"/>
    </xf>
    <xf numFmtId="0" fontId="28" fillId="0" borderId="44" xfId="485" applyFont="1" applyBorder="1" applyProtection="1">
      <protection locked="0"/>
    </xf>
    <xf numFmtId="172" fontId="28" fillId="0" borderId="22" xfId="485" quotePrefix="1" applyNumberFormat="1" applyFont="1" applyBorder="1" applyAlignment="1" applyProtection="1">
      <alignment horizontal="left"/>
      <protection locked="0"/>
    </xf>
    <xf numFmtId="37" fontId="28" fillId="0" borderId="27" xfId="189" applyNumberFormat="1" applyFont="1" applyFill="1" applyBorder="1" applyProtection="1">
      <protection locked="0"/>
    </xf>
    <xf numFmtId="37" fontId="28" fillId="0" borderId="27" xfId="189" applyNumberFormat="1" applyFont="1" applyBorder="1" applyProtection="1">
      <protection locked="0"/>
    </xf>
    <xf numFmtId="164" fontId="28" fillId="0" borderId="0" xfId="0" applyNumberFormat="1" applyFont="1"/>
    <xf numFmtId="0" fontId="28" fillId="0" borderId="0" xfId="175" applyFont="1" applyFill="1"/>
    <xf numFmtId="164" fontId="28" fillId="0" borderId="93" xfId="30" applyNumberFormat="1" applyFont="1" applyBorder="1"/>
    <xf numFmtId="164" fontId="28" fillId="0" borderId="93" xfId="30" applyNumberFormat="1" applyFont="1" applyFill="1" applyBorder="1" applyAlignment="1">
      <alignment horizontal="right" vertical="center"/>
    </xf>
    <xf numFmtId="0" fontId="28" fillId="0" borderId="0" xfId="0" quotePrefix="1" applyFont="1" applyBorder="1" applyAlignment="1">
      <alignment horizontal="center"/>
    </xf>
    <xf numFmtId="37" fontId="29" fillId="0" borderId="95" xfId="0" applyNumberFormat="1" applyFont="1" applyBorder="1"/>
    <xf numFmtId="164" fontId="26" fillId="0" borderId="0" xfId="30" applyNumberFormat="1" applyFont="1"/>
    <xf numFmtId="43" fontId="28" fillId="0" borderId="28" xfId="30" applyFont="1" applyFill="1" applyBorder="1"/>
    <xf numFmtId="37" fontId="28" fillId="0" borderId="14" xfId="218" applyNumberFormat="1" applyFont="1" applyFill="1" applyBorder="1"/>
    <xf numFmtId="164" fontId="28" fillId="0" borderId="0" xfId="30" applyNumberFormat="1" applyFont="1" applyBorder="1"/>
    <xf numFmtId="0" fontId="29" fillId="0" borderId="0" xfId="0" applyFont="1" applyFill="1" applyAlignment="1">
      <alignment horizontal="right"/>
    </xf>
    <xf numFmtId="0" fontId="28" fillId="0" borderId="22" xfId="0" applyFont="1" applyFill="1" applyBorder="1" applyAlignment="1">
      <alignment horizontal="left" indent="1"/>
    </xf>
    <xf numFmtId="0" fontId="28" fillId="0" borderId="0" xfId="0" applyFont="1" applyFill="1" applyBorder="1" applyAlignment="1">
      <alignment horizontal="left" indent="1"/>
    </xf>
    <xf numFmtId="43" fontId="26" fillId="0" borderId="0" xfId="30" applyFont="1"/>
    <xf numFmtId="0" fontId="25" fillId="0" borderId="0" xfId="232" applyFont="1" applyFill="1" applyAlignment="1">
      <alignment horizontal="center"/>
    </xf>
    <xf numFmtId="164" fontId="28" fillId="0" borderId="92" xfId="30" applyNumberFormat="1" applyFont="1" applyBorder="1"/>
    <xf numFmtId="39" fontId="29" fillId="0" borderId="14" xfId="218" applyFont="1" applyBorder="1" applyAlignment="1" applyProtection="1">
      <alignment horizontal="center"/>
    </xf>
    <xf numFmtId="0" fontId="29" fillId="0" borderId="32" xfId="0" applyFont="1" applyBorder="1" applyProtection="1">
      <protection locked="0"/>
    </xf>
    <xf numFmtId="164" fontId="28" fillId="0" borderId="104" xfId="30" applyNumberFormat="1" applyFont="1" applyBorder="1"/>
    <xf numFmtId="0" fontId="28" fillId="0" borderId="0" xfId="0" applyFont="1"/>
    <xf numFmtId="164" fontId="28" fillId="0" borderId="0" xfId="30" applyNumberFormat="1" applyFont="1"/>
    <xf numFmtId="0" fontId="28" fillId="0" borderId="0" xfId="0" applyFont="1" applyAlignment="1">
      <alignment horizontal="right"/>
    </xf>
    <xf numFmtId="164" fontId="28" fillId="0" borderId="0" xfId="0" applyNumberFormat="1" applyFont="1"/>
    <xf numFmtId="164" fontId="28" fillId="0" borderId="0" xfId="30" applyNumberFormat="1" applyFont="1" applyBorder="1"/>
    <xf numFmtId="164" fontId="28" fillId="0" borderId="105" xfId="30" applyNumberFormat="1" applyFont="1" applyBorder="1"/>
    <xf numFmtId="164" fontId="28" fillId="0" borderId="106" xfId="30" applyNumberFormat="1" applyFont="1" applyBorder="1"/>
    <xf numFmtId="0" fontId="30" fillId="0" borderId="92" xfId="175" applyFont="1" applyBorder="1"/>
    <xf numFmtId="164" fontId="30" fillId="0" borderId="92" xfId="30" applyNumberFormat="1" applyFont="1" applyBorder="1"/>
    <xf numFmtId="164" fontId="30" fillId="0" borderId="0" xfId="30" applyNumberFormat="1" applyFont="1" applyBorder="1"/>
    <xf numFmtId="164" fontId="30" fillId="0" borderId="0" xfId="175" applyNumberFormat="1" applyFont="1" applyBorder="1"/>
    <xf numFmtId="0" fontId="30" fillId="0" borderId="0" xfId="175" applyFont="1" applyBorder="1"/>
    <xf numFmtId="164" fontId="30" fillId="0" borderId="92" xfId="175" applyNumberFormat="1" applyFont="1" applyBorder="1"/>
    <xf numFmtId="0" fontId="41" fillId="0" borderId="92" xfId="175" applyFont="1" applyBorder="1"/>
    <xf numFmtId="0" fontId="28" fillId="0" borderId="107" xfId="175" applyFont="1" applyBorder="1" applyAlignment="1">
      <alignment horizontal="center"/>
    </xf>
    <xf numFmtId="0" fontId="30" fillId="0" borderId="93" xfId="175" applyFont="1" applyBorder="1"/>
    <xf numFmtId="0" fontId="28" fillId="0" borderId="22" xfId="175" applyFont="1" applyBorder="1" applyAlignment="1">
      <alignment horizontal="center"/>
    </xf>
    <xf numFmtId="0" fontId="30" fillId="0" borderId="0" xfId="175" applyFont="1" applyBorder="1" applyAlignment="1">
      <alignment horizontal="left" indent="1"/>
    </xf>
    <xf numFmtId="0" fontId="0" fillId="0" borderId="0" xfId="0" applyBorder="1"/>
    <xf numFmtId="0" fontId="0" fillId="0" borderId="77" xfId="0" applyBorder="1"/>
    <xf numFmtId="0" fontId="30" fillId="0" borderId="77" xfId="175" applyFont="1" applyBorder="1"/>
    <xf numFmtId="0" fontId="41" fillId="0" borderId="0" xfId="175" applyFont="1" applyBorder="1"/>
    <xf numFmtId="0" fontId="28" fillId="0" borderId="19" xfId="175" applyFont="1" applyBorder="1" applyAlignment="1">
      <alignment horizontal="center"/>
    </xf>
    <xf numFmtId="0" fontId="30" fillId="0" borderId="105" xfId="175" applyFont="1" applyBorder="1"/>
    <xf numFmtId="0" fontId="0" fillId="0" borderId="105" xfId="0" applyBorder="1"/>
    <xf numFmtId="164" fontId="30" fillId="0" borderId="105" xfId="30" applyNumberFormat="1" applyFont="1" applyBorder="1"/>
    <xf numFmtId="0" fontId="30" fillId="0" borderId="108" xfId="175" applyFont="1" applyBorder="1"/>
    <xf numFmtId="9" fontId="28" fillId="64" borderId="0" xfId="316" applyFont="1" applyFill="1"/>
    <xf numFmtId="37" fontId="28" fillId="64" borderId="105" xfId="218" applyNumberFormat="1" applyFont="1" applyFill="1" applyBorder="1"/>
    <xf numFmtId="37" fontId="28" fillId="64" borderId="0" xfId="218" applyNumberFormat="1" applyFont="1" applyFill="1" applyBorder="1"/>
    <xf numFmtId="37" fontId="28" fillId="64" borderId="16" xfId="218" applyNumberFormat="1" applyFont="1" applyFill="1" applyBorder="1"/>
    <xf numFmtId="9" fontId="28" fillId="0" borderId="0" xfId="316" applyFont="1"/>
    <xf numFmtId="39" fontId="28" fillId="0" borderId="105" xfId="218" applyFont="1" applyBorder="1"/>
    <xf numFmtId="37" fontId="99" fillId="0" borderId="40" xfId="303" applyNumberFormat="1" applyFont="1" applyFill="1" applyBorder="1" applyProtection="1">
      <protection locked="0"/>
    </xf>
    <xf numFmtId="37" fontId="28" fillId="0" borderId="0" xfId="218" applyNumberFormat="1" applyFont="1" applyBorder="1"/>
    <xf numFmtId="39" fontId="28" fillId="0" borderId="105" xfId="218" applyFont="1" applyBorder="1" applyAlignment="1">
      <alignment horizontal="center"/>
    </xf>
    <xf numFmtId="37" fontId="99" fillId="0" borderId="27" xfId="303" applyNumberFormat="1" applyFont="1" applyFill="1" applyBorder="1" applyProtection="1"/>
    <xf numFmtId="37" fontId="99" fillId="0" borderId="27" xfId="303" applyNumberFormat="1" applyFont="1" applyFill="1" applyBorder="1" applyProtection="1">
      <protection locked="0"/>
    </xf>
    <xf numFmtId="0" fontId="28" fillId="0" borderId="19" xfId="30" applyNumberFormat="1" applyFont="1" applyBorder="1" applyAlignment="1">
      <alignment horizontal="center"/>
    </xf>
    <xf numFmtId="37" fontId="28" fillId="0" borderId="0" xfId="218" applyNumberFormat="1" applyFont="1"/>
    <xf numFmtId="0" fontId="25" fillId="0" borderId="0" xfId="232" applyFont="1" applyAlignment="1">
      <alignment horizontal="center"/>
    </xf>
    <xf numFmtId="0" fontId="29" fillId="0" borderId="0" xfId="175" applyFont="1" applyAlignment="1">
      <alignment horizontal="center"/>
    </xf>
    <xf numFmtId="0" fontId="25" fillId="0" borderId="0" xfId="0" applyFont="1" applyAlignment="1">
      <alignment horizontal="center"/>
    </xf>
    <xf numFmtId="0" fontId="29" fillId="0" borderId="0" xfId="189" applyFont="1" applyBorder="1" applyAlignment="1" applyProtection="1">
      <alignment horizontal="center"/>
      <protection locked="0"/>
    </xf>
    <xf numFmtId="0" fontId="29" fillId="0" borderId="0" xfId="189" applyFont="1" applyBorder="1" applyAlignment="1">
      <alignment horizontal="center"/>
    </xf>
    <xf numFmtId="0" fontId="29" fillId="0" borderId="5" xfId="189" applyFont="1" applyBorder="1" applyAlignment="1">
      <alignment horizontal="center"/>
    </xf>
    <xf numFmtId="0" fontId="29" fillId="0" borderId="33" xfId="189" applyFont="1" applyBorder="1" applyAlignment="1">
      <alignment horizontal="center"/>
    </xf>
    <xf numFmtId="0" fontId="29" fillId="0" borderId="0" xfId="202" applyFont="1" applyBorder="1" applyAlignment="1">
      <alignment horizontal="center"/>
    </xf>
    <xf numFmtId="0" fontId="27" fillId="0" borderId="0" xfId="202" applyFont="1" applyAlignment="1">
      <alignment horizontal="center"/>
    </xf>
    <xf numFmtId="49" fontId="25" fillId="0" borderId="0" xfId="0" applyNumberFormat="1" applyFont="1" applyAlignment="1">
      <alignment horizontal="center"/>
    </xf>
    <xf numFmtId="39" fontId="29" fillId="0" borderId="14" xfId="218" applyFont="1" applyBorder="1" applyAlignment="1" applyProtection="1">
      <alignment horizontal="center"/>
      <protection locked="0"/>
    </xf>
    <xf numFmtId="39" fontId="29" fillId="0" borderId="18" xfId="218" applyFont="1" applyBorder="1" applyAlignment="1" applyProtection="1">
      <alignment horizontal="center"/>
      <protection locked="0"/>
    </xf>
    <xf numFmtId="39" fontId="29" fillId="0" borderId="15" xfId="218" applyFont="1" applyBorder="1" applyAlignment="1" applyProtection="1">
      <alignment horizontal="center"/>
    </xf>
    <xf numFmtId="39" fontId="29" fillId="0" borderId="19" xfId="218" applyFont="1" applyBorder="1" applyAlignment="1" applyProtection="1">
      <alignment horizontal="center"/>
    </xf>
    <xf numFmtId="39" fontId="29" fillId="0" borderId="14" xfId="218" applyFont="1" applyBorder="1" applyAlignment="1" applyProtection="1">
      <alignment horizontal="center"/>
    </xf>
    <xf numFmtId="39" fontId="29" fillId="0" borderId="18" xfId="218" applyFont="1" applyBorder="1" applyAlignment="1" applyProtection="1">
      <alignment horizontal="center"/>
    </xf>
    <xf numFmtId="39" fontId="28" fillId="0" borderId="0" xfId="218" applyFont="1" applyProtection="1"/>
    <xf numFmtId="39" fontId="29" fillId="0" borderId="0" xfId="218" applyFont="1" applyBorder="1" applyAlignment="1" applyProtection="1">
      <alignment horizontal="center"/>
      <protection locked="0"/>
    </xf>
    <xf numFmtId="0" fontId="24" fillId="0" borderId="0" xfId="0" applyFont="1" applyBorder="1" applyAlignment="1"/>
    <xf numFmtId="0" fontId="29" fillId="0" borderId="0" xfId="0" applyFont="1" applyAlignment="1">
      <alignment horizontal="center"/>
    </xf>
    <xf numFmtId="0" fontId="28" fillId="0" borderId="0" xfId="117" applyFont="1" applyBorder="1" applyAlignment="1"/>
    <xf numFmtId="39" fontId="28" fillId="0" borderId="0" xfId="218" applyFont="1" applyBorder="1" applyAlignment="1" applyProtection="1">
      <alignment horizontal="center" vertical="center"/>
    </xf>
    <xf numFmtId="49" fontId="28" fillId="0" borderId="0" xfId="0" applyNumberFormat="1" applyFont="1" applyAlignment="1">
      <alignment wrapText="1"/>
    </xf>
    <xf numFmtId="0" fontId="29" fillId="0" borderId="0" xfId="0" applyFont="1" applyBorder="1" applyAlignment="1" applyProtection="1">
      <alignment horizontal="center"/>
      <protection locked="0"/>
    </xf>
    <xf numFmtId="0" fontId="0" fillId="0" borderId="0" xfId="0" applyFont="1" applyAlignment="1">
      <alignment horizontal="center"/>
    </xf>
    <xf numFmtId="39" fontId="29" fillId="0" borderId="0" xfId="0" applyNumberFormat="1"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29" fillId="0" borderId="0" xfId="0" applyNumberFormat="1" applyFont="1" applyAlignment="1">
      <alignment horizontal="center"/>
    </xf>
    <xf numFmtId="0" fontId="28" fillId="0" borderId="0" xfId="0" quotePrefix="1" applyFont="1" applyAlignment="1">
      <alignment horizontal="left"/>
    </xf>
    <xf numFmtId="0" fontId="93" fillId="0" borderId="0" xfId="189" applyFont="1" applyAlignment="1">
      <alignment horizontal="center"/>
    </xf>
    <xf numFmtId="39" fontId="29" fillId="0" borderId="0" xfId="189" applyNumberFormat="1" applyFont="1" applyFill="1" applyBorder="1" applyAlignment="1">
      <alignment horizontal="center"/>
    </xf>
    <xf numFmtId="0" fontId="29" fillId="0" borderId="25" xfId="189" applyFont="1" applyFill="1" applyBorder="1" applyAlignment="1" applyProtection="1">
      <alignment horizontal="center"/>
      <protection locked="0"/>
    </xf>
    <xf numFmtId="0" fontId="33" fillId="0" borderId="39" xfId="189" applyFont="1" applyBorder="1" applyAlignment="1">
      <alignment horizontal="center"/>
    </xf>
    <xf numFmtId="0" fontId="0" fillId="0" borderId="0" xfId="0" applyFont="1" applyAlignment="1"/>
    <xf numFmtId="0" fontId="28" fillId="0" borderId="0" xfId="0" applyFont="1" applyAlignment="1"/>
    <xf numFmtId="0" fontId="29" fillId="0" borderId="0" xfId="0" applyFont="1" applyAlignment="1" applyProtection="1">
      <alignment horizontal="center"/>
      <protection locked="0"/>
    </xf>
    <xf numFmtId="0" fontId="0" fillId="0" borderId="0" xfId="0" applyFont="1" applyBorder="1" applyAlignment="1"/>
    <xf numFmtId="0" fontId="29" fillId="0" borderId="15" xfId="0" applyFont="1" applyBorder="1" applyAlignment="1" applyProtection="1">
      <alignment horizontal="left" indent="1"/>
      <protection locked="0"/>
    </xf>
    <xf numFmtId="0" fontId="29" fillId="0" borderId="16" xfId="0" applyFont="1" applyBorder="1" applyAlignment="1" applyProtection="1">
      <alignment horizontal="left" indent="1"/>
      <protection locked="0"/>
    </xf>
    <xf numFmtId="0" fontId="29" fillId="0" borderId="22" xfId="0" applyFont="1" applyBorder="1" applyAlignment="1"/>
    <xf numFmtId="0" fontId="29" fillId="0" borderId="0" xfId="0" applyFont="1" applyBorder="1" applyAlignment="1"/>
    <xf numFmtId="0" fontId="29" fillId="0" borderId="23" xfId="0" applyFont="1" applyBorder="1" applyAlignment="1"/>
    <xf numFmtId="0" fontId="28" fillId="0" borderId="0" xfId="0" quotePrefix="1" applyFont="1" applyAlignment="1">
      <alignment horizontal="center"/>
    </xf>
    <xf numFmtId="0" fontId="29" fillId="0" borderId="32" xfId="0" applyFont="1" applyBorder="1" applyProtection="1">
      <protection locked="0"/>
    </xf>
    <xf numFmtId="0" fontId="29" fillId="0" borderId="5" xfId="0" applyFont="1" applyBorder="1" applyProtection="1">
      <protection locked="0"/>
    </xf>
    <xf numFmtId="0" fontId="29" fillId="0" borderId="33" xfId="0" applyFont="1" applyBorder="1" applyProtection="1">
      <protection locked="0"/>
    </xf>
    <xf numFmtId="0" fontId="28" fillId="0" borderId="22" xfId="0" applyFont="1" applyBorder="1" applyProtection="1">
      <protection locked="0"/>
    </xf>
    <xf numFmtId="0" fontId="28" fillId="0" borderId="0" xfId="0" applyFont="1" applyBorder="1" applyProtection="1">
      <protection locked="0"/>
    </xf>
    <xf numFmtId="0" fontId="29" fillId="0" borderId="60" xfId="0" applyFont="1" applyBorder="1" applyProtection="1">
      <protection locked="0"/>
    </xf>
    <xf numFmtId="0" fontId="29" fillId="0" borderId="29" xfId="0" applyFont="1" applyBorder="1" applyProtection="1">
      <protection locked="0"/>
    </xf>
    <xf numFmtId="0" fontId="29" fillId="0" borderId="60" xfId="0" applyFont="1" applyBorder="1" applyAlignment="1" applyProtection="1">
      <protection locked="0"/>
    </xf>
    <xf numFmtId="0" fontId="29" fillId="0" borderId="29" xfId="0" applyFont="1" applyBorder="1" applyAlignment="1" applyProtection="1">
      <protection locked="0"/>
    </xf>
    <xf numFmtId="0" fontId="29" fillId="0" borderId="19" xfId="0" applyFont="1" applyBorder="1" applyProtection="1">
      <protection locked="0"/>
    </xf>
    <xf numFmtId="0" fontId="29" fillId="0" borderId="20" xfId="0" applyFont="1" applyBorder="1" applyProtection="1">
      <protection locked="0"/>
    </xf>
    <xf numFmtId="0" fontId="29" fillId="0" borderId="21" xfId="0" applyFont="1" applyBorder="1" applyProtection="1">
      <protection locked="0"/>
    </xf>
    <xf numFmtId="0" fontId="28" fillId="0" borderId="22" xfId="0" quotePrefix="1" applyFont="1" applyBorder="1" applyProtection="1">
      <protection locked="0"/>
    </xf>
    <xf numFmtId="0" fontId="28" fillId="0" borderId="0" xfId="0" quotePrefix="1" applyFont="1" applyBorder="1" applyProtection="1">
      <protection locked="0"/>
    </xf>
    <xf numFmtId="0" fontId="29" fillId="0" borderId="22" xfId="0" applyFont="1" applyBorder="1" applyProtection="1">
      <protection locked="0"/>
    </xf>
    <xf numFmtId="0" fontId="29" fillId="0" borderId="0" xfId="0" applyFont="1" applyBorder="1" applyProtection="1">
      <protection locked="0"/>
    </xf>
    <xf numFmtId="0" fontId="29" fillId="0" borderId="58" xfId="0" applyFont="1" applyBorder="1" applyProtection="1">
      <protection locked="0"/>
    </xf>
    <xf numFmtId="0" fontId="29" fillId="0" borderId="46" xfId="0" applyFont="1" applyBorder="1" applyProtection="1">
      <protection locked="0"/>
    </xf>
    <xf numFmtId="172" fontId="29" fillId="0" borderId="22" xfId="0" applyNumberFormat="1" applyFont="1" applyBorder="1" applyAlignment="1" applyProtection="1">
      <alignment horizontal="left"/>
      <protection locked="0"/>
    </xf>
    <xf numFmtId="172" fontId="29" fillId="0" borderId="0" xfId="0" applyNumberFormat="1" applyFont="1" applyBorder="1" applyAlignment="1" applyProtection="1">
      <alignment horizontal="left"/>
      <protection locked="0"/>
    </xf>
    <xf numFmtId="0" fontId="29" fillId="0" borderId="25" xfId="0" applyFont="1" applyBorder="1" applyAlignment="1" applyProtection="1">
      <alignment horizontal="center"/>
      <protection locked="0"/>
    </xf>
    <xf numFmtId="0" fontId="26" fillId="0" borderId="46" xfId="0" applyFont="1" applyBorder="1" applyAlignment="1">
      <alignment horizontal="center"/>
    </xf>
    <xf numFmtId="0" fontId="26" fillId="0" borderId="39" xfId="0" applyFont="1" applyBorder="1" applyAlignment="1">
      <alignment horizontal="center"/>
    </xf>
    <xf numFmtId="0" fontId="28" fillId="0" borderId="0" xfId="0" quotePrefix="1" applyFont="1"/>
    <xf numFmtId="0" fontId="28" fillId="0" borderId="22" xfId="0" applyFont="1" applyBorder="1"/>
    <xf numFmtId="0" fontId="28" fillId="0" borderId="0" xfId="0" applyFont="1" applyBorder="1"/>
    <xf numFmtId="0" fontId="28" fillId="0" borderId="22" xfId="0" applyFont="1" applyBorder="1" applyAlignment="1">
      <alignment horizontal="left" indent="1"/>
    </xf>
    <xf numFmtId="0" fontId="28" fillId="0" borderId="0" xfId="0" applyFont="1" applyBorder="1" applyAlignment="1">
      <alignment horizontal="left" indent="1"/>
    </xf>
    <xf numFmtId="0" fontId="29" fillId="0" borderId="22" xfId="0" applyFont="1" applyBorder="1"/>
    <xf numFmtId="0" fontId="29" fillId="0" borderId="0" xfId="0" applyFont="1" applyBorder="1"/>
    <xf numFmtId="49" fontId="28" fillId="0" borderId="0" xfId="0" applyNumberFormat="1" applyFont="1" applyAlignment="1">
      <alignment horizontal="center"/>
    </xf>
    <xf numFmtId="0" fontId="29" fillId="0" borderId="15" xfId="0" applyFont="1" applyBorder="1"/>
    <xf numFmtId="0" fontId="29" fillId="0" borderId="16" xfId="0" applyFont="1" applyBorder="1"/>
    <xf numFmtId="0" fontId="45" fillId="0" borderId="0" xfId="0" applyFont="1" applyBorder="1" applyAlignment="1" applyProtection="1">
      <alignment horizontal="center"/>
      <protection locked="0"/>
    </xf>
    <xf numFmtId="0" fontId="45" fillId="0" borderId="0" xfId="0" applyFont="1" applyFill="1" applyBorder="1" applyAlignment="1" applyProtection="1">
      <alignment horizontal="center"/>
      <protection locked="0"/>
    </xf>
    <xf numFmtId="0" fontId="78" fillId="21" borderId="0" xfId="1230" applyFont="1" applyFill="1" applyAlignment="1">
      <alignment horizontal="center"/>
    </xf>
    <xf numFmtId="0" fontId="26" fillId="0" borderId="0" xfId="232" applyFont="1" applyAlignment="1">
      <alignment horizontal="center" wrapText="1"/>
    </xf>
    <xf numFmtId="0" fontId="29" fillId="0" borderId="0" xfId="0" applyFont="1"/>
    <xf numFmtId="0" fontId="29" fillId="0" borderId="19" xfId="0" applyFont="1" applyBorder="1" applyAlignment="1">
      <alignment horizontal="center"/>
    </xf>
    <xf numFmtId="0" fontId="29" fillId="0" borderId="20" xfId="0" applyFont="1" applyBorder="1" applyAlignment="1">
      <alignment horizontal="center"/>
    </xf>
    <xf numFmtId="0" fontId="94" fillId="0" borderId="25" xfId="1224" applyFont="1" applyBorder="1" applyProtection="1">
      <protection locked="0"/>
    </xf>
    <xf numFmtId="0" fontId="94" fillId="0" borderId="46" xfId="1224" applyFont="1" applyBorder="1" applyProtection="1">
      <protection locked="0"/>
    </xf>
    <xf numFmtId="0" fontId="90" fillId="0" borderId="25" xfId="1224" applyFont="1" applyBorder="1" applyAlignment="1" applyProtection="1">
      <protection locked="0"/>
    </xf>
    <xf numFmtId="0" fontId="24" fillId="0" borderId="46" xfId="1224" applyFont="1" applyBorder="1" applyAlignment="1"/>
    <xf numFmtId="0" fontId="24" fillId="0" borderId="39" xfId="1224" applyFont="1" applyBorder="1" applyAlignment="1"/>
    <xf numFmtId="0" fontId="25" fillId="0" borderId="0" xfId="1224" applyFont="1" applyFill="1" applyBorder="1" applyAlignment="1">
      <alignment horizontal="center"/>
    </xf>
    <xf numFmtId="0" fontId="26" fillId="0" borderId="0" xfId="1224" applyFont="1" applyAlignment="1"/>
    <xf numFmtId="0" fontId="28" fillId="0" borderId="27" xfId="1227" applyFont="1" applyBorder="1" applyProtection="1">
      <protection locked="0"/>
    </xf>
    <xf numFmtId="0" fontId="28" fillId="0" borderId="0" xfId="1227" applyFont="1" applyBorder="1" applyProtection="1">
      <protection locked="0"/>
    </xf>
    <xf numFmtId="0" fontId="29" fillId="0" borderId="0" xfId="1227" applyFont="1" applyAlignment="1">
      <alignment horizontal="center"/>
    </xf>
    <xf numFmtId="0" fontId="0" fillId="0" borderId="0" xfId="1227" applyFont="1" applyAlignment="1"/>
    <xf numFmtId="0" fontId="29" fillId="0" borderId="0" xfId="1227" applyFont="1" applyAlignment="1" applyProtection="1">
      <alignment horizontal="center"/>
      <protection locked="0"/>
    </xf>
    <xf numFmtId="0" fontId="28" fillId="0" borderId="0" xfId="1227" quotePrefix="1" applyFont="1" applyAlignment="1">
      <alignment horizontal="center"/>
    </xf>
    <xf numFmtId="0" fontId="28" fillId="0" borderId="35" xfId="1227" applyFont="1" applyBorder="1" applyProtection="1">
      <protection locked="0"/>
    </xf>
    <xf numFmtId="0" fontId="28" fillId="0" borderId="29" xfId="1227" applyFont="1" applyBorder="1" applyProtection="1">
      <protection locked="0"/>
    </xf>
    <xf numFmtId="0" fontId="28" fillId="0" borderId="27" xfId="1227" applyFont="1" applyBorder="1" applyAlignment="1" applyProtection="1">
      <alignment horizontal="left" indent="2"/>
      <protection locked="0"/>
    </xf>
    <xf numFmtId="0" fontId="28" fillId="0" borderId="0" xfId="1227" applyFont="1" applyBorder="1" applyAlignment="1" applyProtection="1">
      <alignment horizontal="left" indent="2"/>
      <protection locked="0"/>
    </xf>
    <xf numFmtId="0" fontId="28" fillId="0" borderId="27" xfId="1227" applyFont="1" applyBorder="1" applyAlignment="1" applyProtection="1">
      <alignment horizontal="left" indent="4"/>
      <protection locked="0"/>
    </xf>
    <xf numFmtId="0" fontId="28" fillId="0" borderId="0" xfId="1227" applyFont="1" applyBorder="1" applyAlignment="1" applyProtection="1">
      <alignment horizontal="left" indent="4"/>
      <protection locked="0"/>
    </xf>
    <xf numFmtId="0" fontId="91" fillId="0" borderId="0" xfId="2126" quotePrefix="1" applyFont="1" applyAlignment="1">
      <alignment horizontal="left" vertical="center" wrapText="1"/>
    </xf>
    <xf numFmtId="0" fontId="91" fillId="0" borderId="0" xfId="2126" applyFont="1" applyAlignment="1">
      <alignment horizontal="left" wrapText="1"/>
    </xf>
    <xf numFmtId="0" fontId="91" fillId="0" borderId="0" xfId="2126" applyFont="1" applyAlignment="1">
      <alignment horizontal="left" vertical="center" wrapText="1"/>
    </xf>
  </cellXfs>
  <cellStyles count="6711">
    <cellStyle name="20% - Accent1" xfId="365" builtinId="30" customBuiltin="1"/>
    <cellStyle name="20% - Accent1 10" xfId="558"/>
    <cellStyle name="20% - Accent1 10 2" xfId="1462"/>
    <cellStyle name="20% - Accent1 10 2 2" xfId="2930"/>
    <cellStyle name="20% - Accent1 10 2 2 2" xfId="5852"/>
    <cellStyle name="20% - Accent1 10 2 3" xfId="4387"/>
    <cellStyle name="20% - Accent1 10 3" xfId="2336"/>
    <cellStyle name="20% - Accent1 10 3 2" xfId="5258"/>
    <cellStyle name="20% - Accent1 10 4" xfId="3785"/>
    <cellStyle name="20% - Accent1 11" xfId="1237"/>
    <cellStyle name="20% - Accent1 11 2" xfId="1855"/>
    <cellStyle name="20% - Accent1 11 2 2" xfId="3303"/>
    <cellStyle name="20% - Accent1 11 2 2 2" xfId="6225"/>
    <cellStyle name="20% - Accent1 11 2 3" xfId="4780"/>
    <cellStyle name="20% - Accent1 11 3" xfId="2709"/>
    <cellStyle name="20% - Accent1 11 3 2" xfId="5631"/>
    <cellStyle name="20% - Accent1 11 4" xfId="4162"/>
    <cellStyle name="20% - Accent1 12" xfId="1287"/>
    <cellStyle name="20% - Accent1 12 2" xfId="2755"/>
    <cellStyle name="20% - Accent1 12 2 2" xfId="5677"/>
    <cellStyle name="20% - Accent1 12 3" xfId="4212"/>
    <cellStyle name="20% - Accent1 13" xfId="1872"/>
    <cellStyle name="20% - Accent1 13 2" xfId="3320"/>
    <cellStyle name="20% - Accent1 13 2 2" xfId="6242"/>
    <cellStyle name="20% - Accent1 13 3" xfId="4797"/>
    <cellStyle name="20% - Accent1 14" xfId="1907"/>
    <cellStyle name="20% - Accent1 14 2" xfId="3352"/>
    <cellStyle name="20% - Accent1 14 2 2" xfId="6274"/>
    <cellStyle name="20% - Accent1 14 3" xfId="4830"/>
    <cellStyle name="20% - Accent1 15" xfId="2161"/>
    <cellStyle name="20% - Accent1 15 2" xfId="5083"/>
    <cellStyle name="20% - Accent1 16" xfId="3610"/>
    <cellStyle name="20% - Accent1 17" xfId="6493"/>
    <cellStyle name="20% - Accent1 2" xfId="1"/>
    <cellStyle name="20% - Accent1 2 2" xfId="700"/>
    <cellStyle name="20% - Accent1 3" xfId="395"/>
    <cellStyle name="20% - Accent1 3 2" xfId="702"/>
    <cellStyle name="20% - Accent1 3 2 2" xfId="1604"/>
    <cellStyle name="20% - Accent1 3 2 2 2" xfId="3072"/>
    <cellStyle name="20% - Accent1 3 2 2 2 2" xfId="5994"/>
    <cellStyle name="20% - Accent1 3 2 2 3" xfId="4529"/>
    <cellStyle name="20% - Accent1 3 2 3" xfId="1908"/>
    <cellStyle name="20% - Accent1 3 2 3 2" xfId="3353"/>
    <cellStyle name="20% - Accent1 3 2 3 2 2" xfId="6275"/>
    <cellStyle name="20% - Accent1 3 2 3 3" xfId="4831"/>
    <cellStyle name="20% - Accent1 3 2 4" xfId="2478"/>
    <cellStyle name="20% - Accent1 3 2 4 2" xfId="5400"/>
    <cellStyle name="20% - Accent1 3 2 5" xfId="3927"/>
    <cellStyle name="20% - Accent1 3 2 6" xfId="6494"/>
    <cellStyle name="20% - Accent1 3 3" xfId="701"/>
    <cellStyle name="20% - Accent1 3 4" xfId="577"/>
    <cellStyle name="20% - Accent1 3 4 2" xfId="1481"/>
    <cellStyle name="20% - Accent1 3 4 2 2" xfId="2949"/>
    <cellStyle name="20% - Accent1 3 4 2 2 2" xfId="5871"/>
    <cellStyle name="20% - Accent1 3 4 2 3" xfId="4406"/>
    <cellStyle name="20% - Accent1 3 4 3" xfId="2355"/>
    <cellStyle name="20% - Accent1 3 4 3 2" xfId="5277"/>
    <cellStyle name="20% - Accent1 3 4 4" xfId="3804"/>
    <cellStyle name="20% - Accent1 3 5" xfId="1306"/>
    <cellStyle name="20% - Accent1 3 5 2" xfId="2774"/>
    <cellStyle name="20% - Accent1 3 5 2 2" xfId="5696"/>
    <cellStyle name="20% - Accent1 3 5 3" xfId="4231"/>
    <cellStyle name="20% - Accent1 3 6" xfId="2180"/>
    <cellStyle name="20% - Accent1 3 6 2" xfId="5102"/>
    <cellStyle name="20% - Accent1 3 7" xfId="3629"/>
    <cellStyle name="20% - Accent1 4" xfId="416"/>
    <cellStyle name="20% - Accent1 4 2" xfId="703"/>
    <cellStyle name="20% - Accent1 4 2 2" xfId="1605"/>
    <cellStyle name="20% - Accent1 4 2 2 2" xfId="3073"/>
    <cellStyle name="20% - Accent1 4 2 2 2 2" xfId="5995"/>
    <cellStyle name="20% - Accent1 4 2 2 3" xfId="4530"/>
    <cellStyle name="20% - Accent1 4 2 3" xfId="2479"/>
    <cellStyle name="20% - Accent1 4 2 3 2" xfId="5401"/>
    <cellStyle name="20% - Accent1 4 2 4" xfId="3928"/>
    <cellStyle name="20% - Accent1 4 3" xfId="598"/>
    <cellStyle name="20% - Accent1 4 3 2" xfId="1502"/>
    <cellStyle name="20% - Accent1 4 3 2 2" xfId="2970"/>
    <cellStyle name="20% - Accent1 4 3 2 2 2" xfId="5892"/>
    <cellStyle name="20% - Accent1 4 3 2 3" xfId="4427"/>
    <cellStyle name="20% - Accent1 4 3 3" xfId="2376"/>
    <cellStyle name="20% - Accent1 4 3 3 2" xfId="5298"/>
    <cellStyle name="20% - Accent1 4 3 4" xfId="3825"/>
    <cellStyle name="20% - Accent1 4 4" xfId="1327"/>
    <cellStyle name="20% - Accent1 4 4 2" xfId="2795"/>
    <cellStyle name="20% - Accent1 4 4 2 2" xfId="5717"/>
    <cellStyle name="20% - Accent1 4 4 3" xfId="4252"/>
    <cellStyle name="20% - Accent1 4 5" xfId="1909"/>
    <cellStyle name="20% - Accent1 4 5 2" xfId="3354"/>
    <cellStyle name="20% - Accent1 4 5 2 2" xfId="6276"/>
    <cellStyle name="20% - Accent1 4 5 3" xfId="4832"/>
    <cellStyle name="20% - Accent1 4 6" xfId="2201"/>
    <cellStyle name="20% - Accent1 4 6 2" xfId="5123"/>
    <cellStyle name="20% - Accent1 4 7" xfId="3650"/>
    <cellStyle name="20% - Accent1 4 8" xfId="6495"/>
    <cellStyle name="20% - Accent1 5" xfId="431"/>
    <cellStyle name="20% - Accent1 5 2" xfId="704"/>
    <cellStyle name="20% - Accent1 5 2 2" xfId="1606"/>
    <cellStyle name="20% - Accent1 5 2 2 2" xfId="3074"/>
    <cellStyle name="20% - Accent1 5 2 2 2 2" xfId="5996"/>
    <cellStyle name="20% - Accent1 5 2 2 3" xfId="4531"/>
    <cellStyle name="20% - Accent1 5 2 3" xfId="2480"/>
    <cellStyle name="20% - Accent1 5 2 3 2" xfId="5402"/>
    <cellStyle name="20% - Accent1 5 2 4" xfId="3929"/>
    <cellStyle name="20% - Accent1 5 3" xfId="613"/>
    <cellStyle name="20% - Accent1 5 3 2" xfId="1517"/>
    <cellStyle name="20% - Accent1 5 3 2 2" xfId="2985"/>
    <cellStyle name="20% - Accent1 5 3 2 2 2" xfId="5907"/>
    <cellStyle name="20% - Accent1 5 3 2 3" xfId="4442"/>
    <cellStyle name="20% - Accent1 5 3 3" xfId="2391"/>
    <cellStyle name="20% - Accent1 5 3 3 2" xfId="5313"/>
    <cellStyle name="20% - Accent1 5 3 4" xfId="3840"/>
    <cellStyle name="20% - Accent1 5 4" xfId="1342"/>
    <cellStyle name="20% - Accent1 5 4 2" xfId="2810"/>
    <cellStyle name="20% - Accent1 5 4 2 2" xfId="5732"/>
    <cellStyle name="20% - Accent1 5 4 3" xfId="4267"/>
    <cellStyle name="20% - Accent1 5 5" xfId="1910"/>
    <cellStyle name="20% - Accent1 5 5 2" xfId="3355"/>
    <cellStyle name="20% - Accent1 5 5 2 2" xfId="6277"/>
    <cellStyle name="20% - Accent1 5 5 3" xfId="4833"/>
    <cellStyle name="20% - Accent1 5 6" xfId="2216"/>
    <cellStyle name="20% - Accent1 5 6 2" xfId="5138"/>
    <cellStyle name="20% - Accent1 5 7" xfId="3665"/>
    <cellStyle name="20% - Accent1 5 8" xfId="6496"/>
    <cellStyle name="20% - Accent1 6" xfId="445"/>
    <cellStyle name="20% - Accent1 6 2" xfId="705"/>
    <cellStyle name="20% - Accent1 6 2 2" xfId="1607"/>
    <cellStyle name="20% - Accent1 6 2 2 2" xfId="3075"/>
    <cellStyle name="20% - Accent1 6 2 2 2 2" xfId="5997"/>
    <cellStyle name="20% - Accent1 6 2 2 3" xfId="4532"/>
    <cellStyle name="20% - Accent1 6 2 3" xfId="2481"/>
    <cellStyle name="20% - Accent1 6 2 3 2" xfId="5403"/>
    <cellStyle name="20% - Accent1 6 2 4" xfId="3930"/>
    <cellStyle name="20% - Accent1 6 3" xfId="627"/>
    <cellStyle name="20% - Accent1 6 3 2" xfId="1531"/>
    <cellStyle name="20% - Accent1 6 3 2 2" xfId="2999"/>
    <cellStyle name="20% - Accent1 6 3 2 2 2" xfId="5921"/>
    <cellStyle name="20% - Accent1 6 3 2 3" xfId="4456"/>
    <cellStyle name="20% - Accent1 6 3 3" xfId="2405"/>
    <cellStyle name="20% - Accent1 6 3 3 2" xfId="5327"/>
    <cellStyle name="20% - Accent1 6 3 4" xfId="3854"/>
    <cellStyle name="20% - Accent1 6 4" xfId="1356"/>
    <cellStyle name="20% - Accent1 6 4 2" xfId="2824"/>
    <cellStyle name="20% - Accent1 6 4 2 2" xfId="5746"/>
    <cellStyle name="20% - Accent1 6 4 3" xfId="4281"/>
    <cellStyle name="20% - Accent1 6 5" xfId="1911"/>
    <cellStyle name="20% - Accent1 6 5 2" xfId="3356"/>
    <cellStyle name="20% - Accent1 6 5 2 2" xfId="6278"/>
    <cellStyle name="20% - Accent1 6 5 3" xfId="4834"/>
    <cellStyle name="20% - Accent1 6 6" xfId="2230"/>
    <cellStyle name="20% - Accent1 6 6 2" xfId="5152"/>
    <cellStyle name="20% - Accent1 6 7" xfId="3679"/>
    <cellStyle name="20% - Accent1 6 8" xfId="6497"/>
    <cellStyle name="20% - Accent1 7" xfId="464"/>
    <cellStyle name="20% - Accent1 7 2" xfId="706"/>
    <cellStyle name="20% - Accent1 7 2 2" xfId="1608"/>
    <cellStyle name="20% - Accent1 7 2 2 2" xfId="3076"/>
    <cellStyle name="20% - Accent1 7 2 2 2 2" xfId="5998"/>
    <cellStyle name="20% - Accent1 7 2 2 3" xfId="4533"/>
    <cellStyle name="20% - Accent1 7 2 3" xfId="2482"/>
    <cellStyle name="20% - Accent1 7 2 3 2" xfId="5404"/>
    <cellStyle name="20% - Accent1 7 2 4" xfId="3931"/>
    <cellStyle name="20% - Accent1 7 3" xfId="646"/>
    <cellStyle name="20% - Accent1 7 3 2" xfId="1550"/>
    <cellStyle name="20% - Accent1 7 3 2 2" xfId="3018"/>
    <cellStyle name="20% - Accent1 7 3 2 2 2" xfId="5940"/>
    <cellStyle name="20% - Accent1 7 3 2 3" xfId="4475"/>
    <cellStyle name="20% - Accent1 7 3 3" xfId="2424"/>
    <cellStyle name="20% - Accent1 7 3 3 2" xfId="5346"/>
    <cellStyle name="20% - Accent1 7 3 4" xfId="3873"/>
    <cellStyle name="20% - Accent1 7 4" xfId="1375"/>
    <cellStyle name="20% - Accent1 7 4 2" xfId="2843"/>
    <cellStyle name="20% - Accent1 7 4 2 2" xfId="5765"/>
    <cellStyle name="20% - Accent1 7 4 3" xfId="4300"/>
    <cellStyle name="20% - Accent1 7 5" xfId="1912"/>
    <cellStyle name="20% - Accent1 7 5 2" xfId="3357"/>
    <cellStyle name="20% - Accent1 7 5 2 2" xfId="6279"/>
    <cellStyle name="20% - Accent1 7 5 3" xfId="4835"/>
    <cellStyle name="20% - Accent1 7 6" xfId="2249"/>
    <cellStyle name="20% - Accent1 7 6 2" xfId="5171"/>
    <cellStyle name="20% - Accent1 7 7" xfId="3698"/>
    <cellStyle name="20% - Accent1 7 8" xfId="6498"/>
    <cellStyle name="20% - Accent1 8" xfId="502"/>
    <cellStyle name="20% - Accent1 8 2" xfId="680"/>
    <cellStyle name="20% - Accent1 8 2 2" xfId="1584"/>
    <cellStyle name="20% - Accent1 8 2 2 2" xfId="3052"/>
    <cellStyle name="20% - Accent1 8 2 2 2 2" xfId="5974"/>
    <cellStyle name="20% - Accent1 8 2 2 3" xfId="4509"/>
    <cellStyle name="20% - Accent1 8 2 3" xfId="2458"/>
    <cellStyle name="20% - Accent1 8 2 3 2" xfId="5380"/>
    <cellStyle name="20% - Accent1 8 2 4" xfId="3907"/>
    <cellStyle name="20% - Accent1 8 3" xfId="1409"/>
    <cellStyle name="20% - Accent1 8 3 2" xfId="2877"/>
    <cellStyle name="20% - Accent1 8 3 2 2" xfId="5799"/>
    <cellStyle name="20% - Accent1 8 3 3" xfId="4334"/>
    <cellStyle name="20% - Accent1 8 4" xfId="2283"/>
    <cellStyle name="20% - Accent1 8 4 2" xfId="5205"/>
    <cellStyle name="20% - Accent1 8 5" xfId="3732"/>
    <cellStyle name="20% - Accent1 9" xfId="699"/>
    <cellStyle name="20% - Accent1 9 2" xfId="1603"/>
    <cellStyle name="20% - Accent1 9 2 2" xfId="3071"/>
    <cellStyle name="20% - Accent1 9 2 2 2" xfId="5993"/>
    <cellStyle name="20% - Accent1 9 2 3" xfId="4528"/>
    <cellStyle name="20% - Accent1 9 3" xfId="2477"/>
    <cellStyle name="20% - Accent1 9 3 2" xfId="5399"/>
    <cellStyle name="20% - Accent1 9 4" xfId="3926"/>
    <cellStyle name="20% - Accent2" xfId="369" builtinId="34" customBuiltin="1"/>
    <cellStyle name="20% - Accent2 10" xfId="560"/>
    <cellStyle name="20% - Accent2 10 2" xfId="1464"/>
    <cellStyle name="20% - Accent2 10 2 2" xfId="2932"/>
    <cellStyle name="20% - Accent2 10 2 2 2" xfId="5854"/>
    <cellStyle name="20% - Accent2 10 2 3" xfId="4389"/>
    <cellStyle name="20% - Accent2 10 3" xfId="2338"/>
    <cellStyle name="20% - Accent2 10 3 2" xfId="5260"/>
    <cellStyle name="20% - Accent2 10 4" xfId="3787"/>
    <cellStyle name="20% - Accent2 11" xfId="1239"/>
    <cellStyle name="20% - Accent2 11 2" xfId="1857"/>
    <cellStyle name="20% - Accent2 11 2 2" xfId="3305"/>
    <cellStyle name="20% - Accent2 11 2 2 2" xfId="6227"/>
    <cellStyle name="20% - Accent2 11 2 3" xfId="4782"/>
    <cellStyle name="20% - Accent2 11 3" xfId="2711"/>
    <cellStyle name="20% - Accent2 11 3 2" xfId="5633"/>
    <cellStyle name="20% - Accent2 11 4" xfId="4164"/>
    <cellStyle name="20% - Accent2 12" xfId="1289"/>
    <cellStyle name="20% - Accent2 12 2" xfId="2757"/>
    <cellStyle name="20% - Accent2 12 2 2" xfId="5679"/>
    <cellStyle name="20% - Accent2 12 3" xfId="4214"/>
    <cellStyle name="20% - Accent2 13" xfId="1875"/>
    <cellStyle name="20% - Accent2 13 2" xfId="3323"/>
    <cellStyle name="20% - Accent2 13 2 2" xfId="6245"/>
    <cellStyle name="20% - Accent2 13 3" xfId="4800"/>
    <cellStyle name="20% - Accent2 14" xfId="1913"/>
    <cellStyle name="20% - Accent2 14 2" xfId="3358"/>
    <cellStyle name="20% - Accent2 14 2 2" xfId="6280"/>
    <cellStyle name="20% - Accent2 14 3" xfId="4836"/>
    <cellStyle name="20% - Accent2 15" xfId="2163"/>
    <cellStyle name="20% - Accent2 15 2" xfId="5085"/>
    <cellStyle name="20% - Accent2 16" xfId="3612"/>
    <cellStyle name="20% - Accent2 17" xfId="6499"/>
    <cellStyle name="20% - Accent2 2" xfId="2"/>
    <cellStyle name="20% - Accent2 2 2" xfId="708"/>
    <cellStyle name="20% - Accent2 3" xfId="397"/>
    <cellStyle name="20% - Accent2 3 2" xfId="710"/>
    <cellStyle name="20% - Accent2 3 2 2" xfId="1610"/>
    <cellStyle name="20% - Accent2 3 2 2 2" xfId="3078"/>
    <cellStyle name="20% - Accent2 3 2 2 2 2" xfId="6000"/>
    <cellStyle name="20% - Accent2 3 2 2 3" xfId="4535"/>
    <cellStyle name="20% - Accent2 3 2 3" xfId="1914"/>
    <cellStyle name="20% - Accent2 3 2 3 2" xfId="3359"/>
    <cellStyle name="20% - Accent2 3 2 3 2 2" xfId="6281"/>
    <cellStyle name="20% - Accent2 3 2 3 3" xfId="4837"/>
    <cellStyle name="20% - Accent2 3 2 4" xfId="2484"/>
    <cellStyle name="20% - Accent2 3 2 4 2" xfId="5406"/>
    <cellStyle name="20% - Accent2 3 2 5" xfId="3933"/>
    <cellStyle name="20% - Accent2 3 2 6" xfId="6500"/>
    <cellStyle name="20% - Accent2 3 3" xfId="709"/>
    <cellStyle name="20% - Accent2 3 4" xfId="579"/>
    <cellStyle name="20% - Accent2 3 4 2" xfId="1483"/>
    <cellStyle name="20% - Accent2 3 4 2 2" xfId="2951"/>
    <cellStyle name="20% - Accent2 3 4 2 2 2" xfId="5873"/>
    <cellStyle name="20% - Accent2 3 4 2 3" xfId="4408"/>
    <cellStyle name="20% - Accent2 3 4 3" xfId="2357"/>
    <cellStyle name="20% - Accent2 3 4 3 2" xfId="5279"/>
    <cellStyle name="20% - Accent2 3 4 4" xfId="3806"/>
    <cellStyle name="20% - Accent2 3 5" xfId="1308"/>
    <cellStyle name="20% - Accent2 3 5 2" xfId="2776"/>
    <cellStyle name="20% - Accent2 3 5 2 2" xfId="5698"/>
    <cellStyle name="20% - Accent2 3 5 3" xfId="4233"/>
    <cellStyle name="20% - Accent2 3 6" xfId="2182"/>
    <cellStyle name="20% - Accent2 3 6 2" xfId="5104"/>
    <cellStyle name="20% - Accent2 3 7" xfId="3631"/>
    <cellStyle name="20% - Accent2 4" xfId="418"/>
    <cellStyle name="20% - Accent2 4 2" xfId="711"/>
    <cellStyle name="20% - Accent2 4 2 2" xfId="1611"/>
    <cellStyle name="20% - Accent2 4 2 2 2" xfId="3079"/>
    <cellStyle name="20% - Accent2 4 2 2 2 2" xfId="6001"/>
    <cellStyle name="20% - Accent2 4 2 2 3" xfId="4536"/>
    <cellStyle name="20% - Accent2 4 2 3" xfId="2485"/>
    <cellStyle name="20% - Accent2 4 2 3 2" xfId="5407"/>
    <cellStyle name="20% - Accent2 4 2 4" xfId="3934"/>
    <cellStyle name="20% - Accent2 4 3" xfId="600"/>
    <cellStyle name="20% - Accent2 4 3 2" xfId="1504"/>
    <cellStyle name="20% - Accent2 4 3 2 2" xfId="2972"/>
    <cellStyle name="20% - Accent2 4 3 2 2 2" xfId="5894"/>
    <cellStyle name="20% - Accent2 4 3 2 3" xfId="4429"/>
    <cellStyle name="20% - Accent2 4 3 3" xfId="2378"/>
    <cellStyle name="20% - Accent2 4 3 3 2" xfId="5300"/>
    <cellStyle name="20% - Accent2 4 3 4" xfId="3827"/>
    <cellStyle name="20% - Accent2 4 4" xfId="1329"/>
    <cellStyle name="20% - Accent2 4 4 2" xfId="2797"/>
    <cellStyle name="20% - Accent2 4 4 2 2" xfId="5719"/>
    <cellStyle name="20% - Accent2 4 4 3" xfId="4254"/>
    <cellStyle name="20% - Accent2 4 5" xfId="1915"/>
    <cellStyle name="20% - Accent2 4 5 2" xfId="3360"/>
    <cellStyle name="20% - Accent2 4 5 2 2" xfId="6282"/>
    <cellStyle name="20% - Accent2 4 5 3" xfId="4838"/>
    <cellStyle name="20% - Accent2 4 6" xfId="2203"/>
    <cellStyle name="20% - Accent2 4 6 2" xfId="5125"/>
    <cellStyle name="20% - Accent2 4 7" xfId="3652"/>
    <cellStyle name="20% - Accent2 4 8" xfId="6501"/>
    <cellStyle name="20% - Accent2 5" xfId="433"/>
    <cellStyle name="20% - Accent2 5 2" xfId="712"/>
    <cellStyle name="20% - Accent2 5 2 2" xfId="1612"/>
    <cellStyle name="20% - Accent2 5 2 2 2" xfId="3080"/>
    <cellStyle name="20% - Accent2 5 2 2 2 2" xfId="6002"/>
    <cellStyle name="20% - Accent2 5 2 2 3" xfId="4537"/>
    <cellStyle name="20% - Accent2 5 2 3" xfId="2486"/>
    <cellStyle name="20% - Accent2 5 2 3 2" xfId="5408"/>
    <cellStyle name="20% - Accent2 5 2 4" xfId="3935"/>
    <cellStyle name="20% - Accent2 5 3" xfId="615"/>
    <cellStyle name="20% - Accent2 5 3 2" xfId="1519"/>
    <cellStyle name="20% - Accent2 5 3 2 2" xfId="2987"/>
    <cellStyle name="20% - Accent2 5 3 2 2 2" xfId="5909"/>
    <cellStyle name="20% - Accent2 5 3 2 3" xfId="4444"/>
    <cellStyle name="20% - Accent2 5 3 3" xfId="2393"/>
    <cellStyle name="20% - Accent2 5 3 3 2" xfId="5315"/>
    <cellStyle name="20% - Accent2 5 3 4" xfId="3842"/>
    <cellStyle name="20% - Accent2 5 4" xfId="1344"/>
    <cellStyle name="20% - Accent2 5 4 2" xfId="2812"/>
    <cellStyle name="20% - Accent2 5 4 2 2" xfId="5734"/>
    <cellStyle name="20% - Accent2 5 4 3" xfId="4269"/>
    <cellStyle name="20% - Accent2 5 5" xfId="1916"/>
    <cellStyle name="20% - Accent2 5 5 2" xfId="3361"/>
    <cellStyle name="20% - Accent2 5 5 2 2" xfId="6283"/>
    <cellStyle name="20% - Accent2 5 5 3" xfId="4839"/>
    <cellStyle name="20% - Accent2 5 6" xfId="2218"/>
    <cellStyle name="20% - Accent2 5 6 2" xfId="5140"/>
    <cellStyle name="20% - Accent2 5 7" xfId="3667"/>
    <cellStyle name="20% - Accent2 5 8" xfId="6502"/>
    <cellStyle name="20% - Accent2 6" xfId="447"/>
    <cellStyle name="20% - Accent2 6 2" xfId="713"/>
    <cellStyle name="20% - Accent2 6 2 2" xfId="1613"/>
    <cellStyle name="20% - Accent2 6 2 2 2" xfId="3081"/>
    <cellStyle name="20% - Accent2 6 2 2 2 2" xfId="6003"/>
    <cellStyle name="20% - Accent2 6 2 2 3" xfId="4538"/>
    <cellStyle name="20% - Accent2 6 2 3" xfId="2487"/>
    <cellStyle name="20% - Accent2 6 2 3 2" xfId="5409"/>
    <cellStyle name="20% - Accent2 6 2 4" xfId="3936"/>
    <cellStyle name="20% - Accent2 6 3" xfId="629"/>
    <cellStyle name="20% - Accent2 6 3 2" xfId="1533"/>
    <cellStyle name="20% - Accent2 6 3 2 2" xfId="3001"/>
    <cellStyle name="20% - Accent2 6 3 2 2 2" xfId="5923"/>
    <cellStyle name="20% - Accent2 6 3 2 3" xfId="4458"/>
    <cellStyle name="20% - Accent2 6 3 3" xfId="2407"/>
    <cellStyle name="20% - Accent2 6 3 3 2" xfId="5329"/>
    <cellStyle name="20% - Accent2 6 3 4" xfId="3856"/>
    <cellStyle name="20% - Accent2 6 4" xfId="1358"/>
    <cellStyle name="20% - Accent2 6 4 2" xfId="2826"/>
    <cellStyle name="20% - Accent2 6 4 2 2" xfId="5748"/>
    <cellStyle name="20% - Accent2 6 4 3" xfId="4283"/>
    <cellStyle name="20% - Accent2 6 5" xfId="1917"/>
    <cellStyle name="20% - Accent2 6 5 2" xfId="3362"/>
    <cellStyle name="20% - Accent2 6 5 2 2" xfId="6284"/>
    <cellStyle name="20% - Accent2 6 5 3" xfId="4840"/>
    <cellStyle name="20% - Accent2 6 6" xfId="2232"/>
    <cellStyle name="20% - Accent2 6 6 2" xfId="5154"/>
    <cellStyle name="20% - Accent2 6 7" xfId="3681"/>
    <cellStyle name="20% - Accent2 6 8" xfId="6503"/>
    <cellStyle name="20% - Accent2 7" xfId="466"/>
    <cellStyle name="20% - Accent2 7 2" xfId="714"/>
    <cellStyle name="20% - Accent2 7 2 2" xfId="1614"/>
    <cellStyle name="20% - Accent2 7 2 2 2" xfId="3082"/>
    <cellStyle name="20% - Accent2 7 2 2 2 2" xfId="6004"/>
    <cellStyle name="20% - Accent2 7 2 2 3" xfId="4539"/>
    <cellStyle name="20% - Accent2 7 2 3" xfId="2488"/>
    <cellStyle name="20% - Accent2 7 2 3 2" xfId="5410"/>
    <cellStyle name="20% - Accent2 7 2 4" xfId="3937"/>
    <cellStyle name="20% - Accent2 7 3" xfId="648"/>
    <cellStyle name="20% - Accent2 7 3 2" xfId="1552"/>
    <cellStyle name="20% - Accent2 7 3 2 2" xfId="3020"/>
    <cellStyle name="20% - Accent2 7 3 2 2 2" xfId="5942"/>
    <cellStyle name="20% - Accent2 7 3 2 3" xfId="4477"/>
    <cellStyle name="20% - Accent2 7 3 3" xfId="2426"/>
    <cellStyle name="20% - Accent2 7 3 3 2" xfId="5348"/>
    <cellStyle name="20% - Accent2 7 3 4" xfId="3875"/>
    <cellStyle name="20% - Accent2 7 4" xfId="1377"/>
    <cellStyle name="20% - Accent2 7 4 2" xfId="2845"/>
    <cellStyle name="20% - Accent2 7 4 2 2" xfId="5767"/>
    <cellStyle name="20% - Accent2 7 4 3" xfId="4302"/>
    <cellStyle name="20% - Accent2 7 5" xfId="1918"/>
    <cellStyle name="20% - Accent2 7 5 2" xfId="3363"/>
    <cellStyle name="20% - Accent2 7 5 2 2" xfId="6285"/>
    <cellStyle name="20% - Accent2 7 5 3" xfId="4841"/>
    <cellStyle name="20% - Accent2 7 6" xfId="2251"/>
    <cellStyle name="20% - Accent2 7 6 2" xfId="5173"/>
    <cellStyle name="20% - Accent2 7 7" xfId="3700"/>
    <cellStyle name="20% - Accent2 7 8" xfId="6504"/>
    <cellStyle name="20% - Accent2 8" xfId="504"/>
    <cellStyle name="20% - Accent2 8 2" xfId="682"/>
    <cellStyle name="20% - Accent2 8 2 2" xfId="1586"/>
    <cellStyle name="20% - Accent2 8 2 2 2" xfId="3054"/>
    <cellStyle name="20% - Accent2 8 2 2 2 2" xfId="5976"/>
    <cellStyle name="20% - Accent2 8 2 2 3" xfId="4511"/>
    <cellStyle name="20% - Accent2 8 2 3" xfId="2460"/>
    <cellStyle name="20% - Accent2 8 2 3 2" xfId="5382"/>
    <cellStyle name="20% - Accent2 8 2 4" xfId="3909"/>
    <cellStyle name="20% - Accent2 8 3" xfId="1411"/>
    <cellStyle name="20% - Accent2 8 3 2" xfId="2879"/>
    <cellStyle name="20% - Accent2 8 3 2 2" xfId="5801"/>
    <cellStyle name="20% - Accent2 8 3 3" xfId="4336"/>
    <cellStyle name="20% - Accent2 8 4" xfId="2285"/>
    <cellStyle name="20% - Accent2 8 4 2" xfId="5207"/>
    <cellStyle name="20% - Accent2 8 5" xfId="3734"/>
    <cellStyle name="20% - Accent2 9" xfId="707"/>
    <cellStyle name="20% - Accent2 9 2" xfId="1609"/>
    <cellStyle name="20% - Accent2 9 2 2" xfId="3077"/>
    <cellStyle name="20% - Accent2 9 2 2 2" xfId="5999"/>
    <cellStyle name="20% - Accent2 9 2 3" xfId="4534"/>
    <cellStyle name="20% - Accent2 9 3" xfId="2483"/>
    <cellStyle name="20% - Accent2 9 3 2" xfId="5405"/>
    <cellStyle name="20% - Accent2 9 4" xfId="3932"/>
    <cellStyle name="20% - Accent3" xfId="373" builtinId="38" customBuiltin="1"/>
    <cellStyle name="20% - Accent3 10" xfId="562"/>
    <cellStyle name="20% - Accent3 10 2" xfId="1466"/>
    <cellStyle name="20% - Accent3 10 2 2" xfId="2934"/>
    <cellStyle name="20% - Accent3 10 2 2 2" xfId="5856"/>
    <cellStyle name="20% - Accent3 10 2 3" xfId="4391"/>
    <cellStyle name="20% - Accent3 10 3" xfId="2340"/>
    <cellStyle name="20% - Accent3 10 3 2" xfId="5262"/>
    <cellStyle name="20% - Accent3 10 4" xfId="3789"/>
    <cellStyle name="20% - Accent3 11" xfId="1241"/>
    <cellStyle name="20% - Accent3 11 2" xfId="1859"/>
    <cellStyle name="20% - Accent3 11 2 2" xfId="3307"/>
    <cellStyle name="20% - Accent3 11 2 2 2" xfId="6229"/>
    <cellStyle name="20% - Accent3 11 2 3" xfId="4784"/>
    <cellStyle name="20% - Accent3 11 3" xfId="2713"/>
    <cellStyle name="20% - Accent3 11 3 2" xfId="5635"/>
    <cellStyle name="20% - Accent3 11 4" xfId="4166"/>
    <cellStyle name="20% - Accent3 12" xfId="1291"/>
    <cellStyle name="20% - Accent3 12 2" xfId="2759"/>
    <cellStyle name="20% - Accent3 12 2 2" xfId="5681"/>
    <cellStyle name="20% - Accent3 12 3" xfId="4216"/>
    <cellStyle name="20% - Accent3 13" xfId="1877"/>
    <cellStyle name="20% - Accent3 13 2" xfId="3325"/>
    <cellStyle name="20% - Accent3 13 2 2" xfId="6247"/>
    <cellStyle name="20% - Accent3 13 3" xfId="4802"/>
    <cellStyle name="20% - Accent3 14" xfId="1919"/>
    <cellStyle name="20% - Accent3 14 2" xfId="3364"/>
    <cellStyle name="20% - Accent3 14 2 2" xfId="6286"/>
    <cellStyle name="20% - Accent3 14 3" xfId="4842"/>
    <cellStyle name="20% - Accent3 15" xfId="2165"/>
    <cellStyle name="20% - Accent3 15 2" xfId="5087"/>
    <cellStyle name="20% - Accent3 16" xfId="3614"/>
    <cellStyle name="20% - Accent3 17" xfId="6505"/>
    <cellStyle name="20% - Accent3 2" xfId="3"/>
    <cellStyle name="20% - Accent3 2 2" xfId="716"/>
    <cellStyle name="20% - Accent3 3" xfId="399"/>
    <cellStyle name="20% - Accent3 3 2" xfId="718"/>
    <cellStyle name="20% - Accent3 3 2 2" xfId="1616"/>
    <cellStyle name="20% - Accent3 3 2 2 2" xfId="3084"/>
    <cellStyle name="20% - Accent3 3 2 2 2 2" xfId="6006"/>
    <cellStyle name="20% - Accent3 3 2 2 3" xfId="4541"/>
    <cellStyle name="20% - Accent3 3 2 3" xfId="1920"/>
    <cellStyle name="20% - Accent3 3 2 3 2" xfId="3365"/>
    <cellStyle name="20% - Accent3 3 2 3 2 2" xfId="6287"/>
    <cellStyle name="20% - Accent3 3 2 3 3" xfId="4843"/>
    <cellStyle name="20% - Accent3 3 2 4" xfId="2490"/>
    <cellStyle name="20% - Accent3 3 2 4 2" xfId="5412"/>
    <cellStyle name="20% - Accent3 3 2 5" xfId="3939"/>
    <cellStyle name="20% - Accent3 3 2 6" xfId="6506"/>
    <cellStyle name="20% - Accent3 3 3" xfId="717"/>
    <cellStyle name="20% - Accent3 3 4" xfId="581"/>
    <cellStyle name="20% - Accent3 3 4 2" xfId="1485"/>
    <cellStyle name="20% - Accent3 3 4 2 2" xfId="2953"/>
    <cellStyle name="20% - Accent3 3 4 2 2 2" xfId="5875"/>
    <cellStyle name="20% - Accent3 3 4 2 3" xfId="4410"/>
    <cellStyle name="20% - Accent3 3 4 3" xfId="2359"/>
    <cellStyle name="20% - Accent3 3 4 3 2" xfId="5281"/>
    <cellStyle name="20% - Accent3 3 4 4" xfId="3808"/>
    <cellStyle name="20% - Accent3 3 5" xfId="1310"/>
    <cellStyle name="20% - Accent3 3 5 2" xfId="2778"/>
    <cellStyle name="20% - Accent3 3 5 2 2" xfId="5700"/>
    <cellStyle name="20% - Accent3 3 5 3" xfId="4235"/>
    <cellStyle name="20% - Accent3 3 6" xfId="2184"/>
    <cellStyle name="20% - Accent3 3 6 2" xfId="5106"/>
    <cellStyle name="20% - Accent3 3 7" xfId="3633"/>
    <cellStyle name="20% - Accent3 4" xfId="420"/>
    <cellStyle name="20% - Accent3 4 2" xfId="719"/>
    <cellStyle name="20% - Accent3 4 2 2" xfId="1617"/>
    <cellStyle name="20% - Accent3 4 2 2 2" xfId="3085"/>
    <cellStyle name="20% - Accent3 4 2 2 2 2" xfId="6007"/>
    <cellStyle name="20% - Accent3 4 2 2 3" xfId="4542"/>
    <cellStyle name="20% - Accent3 4 2 3" xfId="2491"/>
    <cellStyle name="20% - Accent3 4 2 3 2" xfId="5413"/>
    <cellStyle name="20% - Accent3 4 2 4" xfId="3940"/>
    <cellStyle name="20% - Accent3 4 3" xfId="602"/>
    <cellStyle name="20% - Accent3 4 3 2" xfId="1506"/>
    <cellStyle name="20% - Accent3 4 3 2 2" xfId="2974"/>
    <cellStyle name="20% - Accent3 4 3 2 2 2" xfId="5896"/>
    <cellStyle name="20% - Accent3 4 3 2 3" xfId="4431"/>
    <cellStyle name="20% - Accent3 4 3 3" xfId="2380"/>
    <cellStyle name="20% - Accent3 4 3 3 2" xfId="5302"/>
    <cellStyle name="20% - Accent3 4 3 4" xfId="3829"/>
    <cellStyle name="20% - Accent3 4 4" xfId="1331"/>
    <cellStyle name="20% - Accent3 4 4 2" xfId="2799"/>
    <cellStyle name="20% - Accent3 4 4 2 2" xfId="5721"/>
    <cellStyle name="20% - Accent3 4 4 3" xfId="4256"/>
    <cellStyle name="20% - Accent3 4 5" xfId="1921"/>
    <cellStyle name="20% - Accent3 4 5 2" xfId="3366"/>
    <cellStyle name="20% - Accent3 4 5 2 2" xfId="6288"/>
    <cellStyle name="20% - Accent3 4 5 3" xfId="4844"/>
    <cellStyle name="20% - Accent3 4 6" xfId="2205"/>
    <cellStyle name="20% - Accent3 4 6 2" xfId="5127"/>
    <cellStyle name="20% - Accent3 4 7" xfId="3654"/>
    <cellStyle name="20% - Accent3 4 8" xfId="6507"/>
    <cellStyle name="20% - Accent3 5" xfId="435"/>
    <cellStyle name="20% - Accent3 5 2" xfId="720"/>
    <cellStyle name="20% - Accent3 5 2 2" xfId="1618"/>
    <cellStyle name="20% - Accent3 5 2 2 2" xfId="3086"/>
    <cellStyle name="20% - Accent3 5 2 2 2 2" xfId="6008"/>
    <cellStyle name="20% - Accent3 5 2 2 3" xfId="4543"/>
    <cellStyle name="20% - Accent3 5 2 3" xfId="2492"/>
    <cellStyle name="20% - Accent3 5 2 3 2" xfId="5414"/>
    <cellStyle name="20% - Accent3 5 2 4" xfId="3941"/>
    <cellStyle name="20% - Accent3 5 3" xfId="617"/>
    <cellStyle name="20% - Accent3 5 3 2" xfId="1521"/>
    <cellStyle name="20% - Accent3 5 3 2 2" xfId="2989"/>
    <cellStyle name="20% - Accent3 5 3 2 2 2" xfId="5911"/>
    <cellStyle name="20% - Accent3 5 3 2 3" xfId="4446"/>
    <cellStyle name="20% - Accent3 5 3 3" xfId="2395"/>
    <cellStyle name="20% - Accent3 5 3 3 2" xfId="5317"/>
    <cellStyle name="20% - Accent3 5 3 4" xfId="3844"/>
    <cellStyle name="20% - Accent3 5 4" xfId="1346"/>
    <cellStyle name="20% - Accent3 5 4 2" xfId="2814"/>
    <cellStyle name="20% - Accent3 5 4 2 2" xfId="5736"/>
    <cellStyle name="20% - Accent3 5 4 3" xfId="4271"/>
    <cellStyle name="20% - Accent3 5 5" xfId="1922"/>
    <cellStyle name="20% - Accent3 5 5 2" xfId="3367"/>
    <cellStyle name="20% - Accent3 5 5 2 2" xfId="6289"/>
    <cellStyle name="20% - Accent3 5 5 3" xfId="4845"/>
    <cellStyle name="20% - Accent3 5 6" xfId="2220"/>
    <cellStyle name="20% - Accent3 5 6 2" xfId="5142"/>
    <cellStyle name="20% - Accent3 5 7" xfId="3669"/>
    <cellStyle name="20% - Accent3 5 8" xfId="6508"/>
    <cellStyle name="20% - Accent3 6" xfId="449"/>
    <cellStyle name="20% - Accent3 6 2" xfId="721"/>
    <cellStyle name="20% - Accent3 6 2 2" xfId="1619"/>
    <cellStyle name="20% - Accent3 6 2 2 2" xfId="3087"/>
    <cellStyle name="20% - Accent3 6 2 2 2 2" xfId="6009"/>
    <cellStyle name="20% - Accent3 6 2 2 3" xfId="4544"/>
    <cellStyle name="20% - Accent3 6 2 3" xfId="2493"/>
    <cellStyle name="20% - Accent3 6 2 3 2" xfId="5415"/>
    <cellStyle name="20% - Accent3 6 2 4" xfId="3942"/>
    <cellStyle name="20% - Accent3 6 3" xfId="631"/>
    <cellStyle name="20% - Accent3 6 3 2" xfId="1535"/>
    <cellStyle name="20% - Accent3 6 3 2 2" xfId="3003"/>
    <cellStyle name="20% - Accent3 6 3 2 2 2" xfId="5925"/>
    <cellStyle name="20% - Accent3 6 3 2 3" xfId="4460"/>
    <cellStyle name="20% - Accent3 6 3 3" xfId="2409"/>
    <cellStyle name="20% - Accent3 6 3 3 2" xfId="5331"/>
    <cellStyle name="20% - Accent3 6 3 4" xfId="3858"/>
    <cellStyle name="20% - Accent3 6 4" xfId="1360"/>
    <cellStyle name="20% - Accent3 6 4 2" xfId="2828"/>
    <cellStyle name="20% - Accent3 6 4 2 2" xfId="5750"/>
    <cellStyle name="20% - Accent3 6 4 3" xfId="4285"/>
    <cellStyle name="20% - Accent3 6 5" xfId="1923"/>
    <cellStyle name="20% - Accent3 6 5 2" xfId="3368"/>
    <cellStyle name="20% - Accent3 6 5 2 2" xfId="6290"/>
    <cellStyle name="20% - Accent3 6 5 3" xfId="4846"/>
    <cellStyle name="20% - Accent3 6 6" xfId="2234"/>
    <cellStyle name="20% - Accent3 6 6 2" xfId="5156"/>
    <cellStyle name="20% - Accent3 6 7" xfId="3683"/>
    <cellStyle name="20% - Accent3 6 8" xfId="6509"/>
    <cellStyle name="20% - Accent3 7" xfId="468"/>
    <cellStyle name="20% - Accent3 7 2" xfId="722"/>
    <cellStyle name="20% - Accent3 7 2 2" xfId="1620"/>
    <cellStyle name="20% - Accent3 7 2 2 2" xfId="3088"/>
    <cellStyle name="20% - Accent3 7 2 2 2 2" xfId="6010"/>
    <cellStyle name="20% - Accent3 7 2 2 3" xfId="4545"/>
    <cellStyle name="20% - Accent3 7 2 3" xfId="2494"/>
    <cellStyle name="20% - Accent3 7 2 3 2" xfId="5416"/>
    <cellStyle name="20% - Accent3 7 2 4" xfId="3943"/>
    <cellStyle name="20% - Accent3 7 3" xfId="650"/>
    <cellStyle name="20% - Accent3 7 3 2" xfId="1554"/>
    <cellStyle name="20% - Accent3 7 3 2 2" xfId="3022"/>
    <cellStyle name="20% - Accent3 7 3 2 2 2" xfId="5944"/>
    <cellStyle name="20% - Accent3 7 3 2 3" xfId="4479"/>
    <cellStyle name="20% - Accent3 7 3 3" xfId="2428"/>
    <cellStyle name="20% - Accent3 7 3 3 2" xfId="5350"/>
    <cellStyle name="20% - Accent3 7 3 4" xfId="3877"/>
    <cellStyle name="20% - Accent3 7 4" xfId="1379"/>
    <cellStyle name="20% - Accent3 7 4 2" xfId="2847"/>
    <cellStyle name="20% - Accent3 7 4 2 2" xfId="5769"/>
    <cellStyle name="20% - Accent3 7 4 3" xfId="4304"/>
    <cellStyle name="20% - Accent3 7 5" xfId="1924"/>
    <cellStyle name="20% - Accent3 7 5 2" xfId="3369"/>
    <cellStyle name="20% - Accent3 7 5 2 2" xfId="6291"/>
    <cellStyle name="20% - Accent3 7 5 3" xfId="4847"/>
    <cellStyle name="20% - Accent3 7 6" xfId="2253"/>
    <cellStyle name="20% - Accent3 7 6 2" xfId="5175"/>
    <cellStyle name="20% - Accent3 7 7" xfId="3702"/>
    <cellStyle name="20% - Accent3 7 8" xfId="6510"/>
    <cellStyle name="20% - Accent3 8" xfId="506"/>
    <cellStyle name="20% - Accent3 8 2" xfId="684"/>
    <cellStyle name="20% - Accent3 8 2 2" xfId="1588"/>
    <cellStyle name="20% - Accent3 8 2 2 2" xfId="3056"/>
    <cellStyle name="20% - Accent3 8 2 2 2 2" xfId="5978"/>
    <cellStyle name="20% - Accent3 8 2 2 3" xfId="4513"/>
    <cellStyle name="20% - Accent3 8 2 3" xfId="2462"/>
    <cellStyle name="20% - Accent3 8 2 3 2" xfId="5384"/>
    <cellStyle name="20% - Accent3 8 2 4" xfId="3911"/>
    <cellStyle name="20% - Accent3 8 3" xfId="1413"/>
    <cellStyle name="20% - Accent3 8 3 2" xfId="2881"/>
    <cellStyle name="20% - Accent3 8 3 2 2" xfId="5803"/>
    <cellStyle name="20% - Accent3 8 3 3" xfId="4338"/>
    <cellStyle name="20% - Accent3 8 4" xfId="2287"/>
    <cellStyle name="20% - Accent3 8 4 2" xfId="5209"/>
    <cellStyle name="20% - Accent3 8 5" xfId="3736"/>
    <cellStyle name="20% - Accent3 9" xfId="715"/>
    <cellStyle name="20% - Accent3 9 2" xfId="1615"/>
    <cellStyle name="20% - Accent3 9 2 2" xfId="3083"/>
    <cellStyle name="20% - Accent3 9 2 2 2" xfId="6005"/>
    <cellStyle name="20% - Accent3 9 2 3" xfId="4540"/>
    <cellStyle name="20% - Accent3 9 3" xfId="2489"/>
    <cellStyle name="20% - Accent3 9 3 2" xfId="5411"/>
    <cellStyle name="20% - Accent3 9 4" xfId="3938"/>
    <cellStyle name="20% - Accent4" xfId="377" builtinId="42" customBuiltin="1"/>
    <cellStyle name="20% - Accent4 10" xfId="564"/>
    <cellStyle name="20% - Accent4 10 2" xfId="1468"/>
    <cellStyle name="20% - Accent4 10 2 2" xfId="2936"/>
    <cellStyle name="20% - Accent4 10 2 2 2" xfId="5858"/>
    <cellStyle name="20% - Accent4 10 2 3" xfId="4393"/>
    <cellStyle name="20% - Accent4 10 3" xfId="2342"/>
    <cellStyle name="20% - Accent4 10 3 2" xfId="5264"/>
    <cellStyle name="20% - Accent4 10 4" xfId="3791"/>
    <cellStyle name="20% - Accent4 11" xfId="1243"/>
    <cellStyle name="20% - Accent4 11 2" xfId="1861"/>
    <cellStyle name="20% - Accent4 11 2 2" xfId="3309"/>
    <cellStyle name="20% - Accent4 11 2 2 2" xfId="6231"/>
    <cellStyle name="20% - Accent4 11 2 3" xfId="4786"/>
    <cellStyle name="20% - Accent4 11 3" xfId="2715"/>
    <cellStyle name="20% - Accent4 11 3 2" xfId="5637"/>
    <cellStyle name="20% - Accent4 11 4" xfId="4168"/>
    <cellStyle name="20% - Accent4 12" xfId="1293"/>
    <cellStyle name="20% - Accent4 12 2" xfId="2761"/>
    <cellStyle name="20% - Accent4 12 2 2" xfId="5683"/>
    <cellStyle name="20% - Accent4 12 3" xfId="4218"/>
    <cellStyle name="20% - Accent4 13" xfId="1879"/>
    <cellStyle name="20% - Accent4 13 2" xfId="3327"/>
    <cellStyle name="20% - Accent4 13 2 2" xfId="6249"/>
    <cellStyle name="20% - Accent4 13 3" xfId="4804"/>
    <cellStyle name="20% - Accent4 14" xfId="1925"/>
    <cellStyle name="20% - Accent4 14 2" xfId="3370"/>
    <cellStyle name="20% - Accent4 14 2 2" xfId="6292"/>
    <cellStyle name="20% - Accent4 14 3" xfId="4848"/>
    <cellStyle name="20% - Accent4 15" xfId="2167"/>
    <cellStyle name="20% - Accent4 15 2" xfId="5089"/>
    <cellStyle name="20% - Accent4 16" xfId="3616"/>
    <cellStyle name="20% - Accent4 17" xfId="6511"/>
    <cellStyle name="20% - Accent4 2" xfId="4"/>
    <cellStyle name="20% - Accent4 2 2" xfId="724"/>
    <cellStyle name="20% - Accent4 3" xfId="401"/>
    <cellStyle name="20% - Accent4 3 2" xfId="726"/>
    <cellStyle name="20% - Accent4 3 2 2" xfId="1622"/>
    <cellStyle name="20% - Accent4 3 2 2 2" xfId="3090"/>
    <cellStyle name="20% - Accent4 3 2 2 2 2" xfId="6012"/>
    <cellStyle name="20% - Accent4 3 2 2 3" xfId="4547"/>
    <cellStyle name="20% - Accent4 3 2 3" xfId="1926"/>
    <cellStyle name="20% - Accent4 3 2 3 2" xfId="3371"/>
    <cellStyle name="20% - Accent4 3 2 3 2 2" xfId="6293"/>
    <cellStyle name="20% - Accent4 3 2 3 3" xfId="4849"/>
    <cellStyle name="20% - Accent4 3 2 4" xfId="2496"/>
    <cellStyle name="20% - Accent4 3 2 4 2" xfId="5418"/>
    <cellStyle name="20% - Accent4 3 2 5" xfId="3945"/>
    <cellStyle name="20% - Accent4 3 2 6" xfId="6512"/>
    <cellStyle name="20% - Accent4 3 3" xfId="725"/>
    <cellStyle name="20% - Accent4 3 4" xfId="583"/>
    <cellStyle name="20% - Accent4 3 4 2" xfId="1487"/>
    <cellStyle name="20% - Accent4 3 4 2 2" xfId="2955"/>
    <cellStyle name="20% - Accent4 3 4 2 2 2" xfId="5877"/>
    <cellStyle name="20% - Accent4 3 4 2 3" xfId="4412"/>
    <cellStyle name="20% - Accent4 3 4 3" xfId="2361"/>
    <cellStyle name="20% - Accent4 3 4 3 2" xfId="5283"/>
    <cellStyle name="20% - Accent4 3 4 4" xfId="3810"/>
    <cellStyle name="20% - Accent4 3 5" xfId="1312"/>
    <cellStyle name="20% - Accent4 3 5 2" xfId="2780"/>
    <cellStyle name="20% - Accent4 3 5 2 2" xfId="5702"/>
    <cellStyle name="20% - Accent4 3 5 3" xfId="4237"/>
    <cellStyle name="20% - Accent4 3 6" xfId="2186"/>
    <cellStyle name="20% - Accent4 3 6 2" xfId="5108"/>
    <cellStyle name="20% - Accent4 3 7" xfId="3635"/>
    <cellStyle name="20% - Accent4 4" xfId="422"/>
    <cellStyle name="20% - Accent4 4 2" xfId="727"/>
    <cellStyle name="20% - Accent4 4 2 2" xfId="1623"/>
    <cellStyle name="20% - Accent4 4 2 2 2" xfId="3091"/>
    <cellStyle name="20% - Accent4 4 2 2 2 2" xfId="6013"/>
    <cellStyle name="20% - Accent4 4 2 2 3" xfId="4548"/>
    <cellStyle name="20% - Accent4 4 2 3" xfId="2497"/>
    <cellStyle name="20% - Accent4 4 2 3 2" xfId="5419"/>
    <cellStyle name="20% - Accent4 4 2 4" xfId="3946"/>
    <cellStyle name="20% - Accent4 4 3" xfId="604"/>
    <cellStyle name="20% - Accent4 4 3 2" xfId="1508"/>
    <cellStyle name="20% - Accent4 4 3 2 2" xfId="2976"/>
    <cellStyle name="20% - Accent4 4 3 2 2 2" xfId="5898"/>
    <cellStyle name="20% - Accent4 4 3 2 3" xfId="4433"/>
    <cellStyle name="20% - Accent4 4 3 3" xfId="2382"/>
    <cellStyle name="20% - Accent4 4 3 3 2" xfId="5304"/>
    <cellStyle name="20% - Accent4 4 3 4" xfId="3831"/>
    <cellStyle name="20% - Accent4 4 4" xfId="1333"/>
    <cellStyle name="20% - Accent4 4 4 2" xfId="2801"/>
    <cellStyle name="20% - Accent4 4 4 2 2" xfId="5723"/>
    <cellStyle name="20% - Accent4 4 4 3" xfId="4258"/>
    <cellStyle name="20% - Accent4 4 5" xfId="1927"/>
    <cellStyle name="20% - Accent4 4 5 2" xfId="3372"/>
    <cellStyle name="20% - Accent4 4 5 2 2" xfId="6294"/>
    <cellStyle name="20% - Accent4 4 5 3" xfId="4850"/>
    <cellStyle name="20% - Accent4 4 6" xfId="2207"/>
    <cellStyle name="20% - Accent4 4 6 2" xfId="5129"/>
    <cellStyle name="20% - Accent4 4 7" xfId="3656"/>
    <cellStyle name="20% - Accent4 4 8" xfId="6513"/>
    <cellStyle name="20% - Accent4 5" xfId="437"/>
    <cellStyle name="20% - Accent4 5 2" xfId="728"/>
    <cellStyle name="20% - Accent4 5 2 2" xfId="1624"/>
    <cellStyle name="20% - Accent4 5 2 2 2" xfId="3092"/>
    <cellStyle name="20% - Accent4 5 2 2 2 2" xfId="6014"/>
    <cellStyle name="20% - Accent4 5 2 2 3" xfId="4549"/>
    <cellStyle name="20% - Accent4 5 2 3" xfId="2498"/>
    <cellStyle name="20% - Accent4 5 2 3 2" xfId="5420"/>
    <cellStyle name="20% - Accent4 5 2 4" xfId="3947"/>
    <cellStyle name="20% - Accent4 5 3" xfId="619"/>
    <cellStyle name="20% - Accent4 5 3 2" xfId="1523"/>
    <cellStyle name="20% - Accent4 5 3 2 2" xfId="2991"/>
    <cellStyle name="20% - Accent4 5 3 2 2 2" xfId="5913"/>
    <cellStyle name="20% - Accent4 5 3 2 3" xfId="4448"/>
    <cellStyle name="20% - Accent4 5 3 3" xfId="2397"/>
    <cellStyle name="20% - Accent4 5 3 3 2" xfId="5319"/>
    <cellStyle name="20% - Accent4 5 3 4" xfId="3846"/>
    <cellStyle name="20% - Accent4 5 4" xfId="1348"/>
    <cellStyle name="20% - Accent4 5 4 2" xfId="2816"/>
    <cellStyle name="20% - Accent4 5 4 2 2" xfId="5738"/>
    <cellStyle name="20% - Accent4 5 4 3" xfId="4273"/>
    <cellStyle name="20% - Accent4 5 5" xfId="1928"/>
    <cellStyle name="20% - Accent4 5 5 2" xfId="3373"/>
    <cellStyle name="20% - Accent4 5 5 2 2" xfId="6295"/>
    <cellStyle name="20% - Accent4 5 5 3" xfId="4851"/>
    <cellStyle name="20% - Accent4 5 6" xfId="2222"/>
    <cellStyle name="20% - Accent4 5 6 2" xfId="5144"/>
    <cellStyle name="20% - Accent4 5 7" xfId="3671"/>
    <cellStyle name="20% - Accent4 5 8" xfId="6514"/>
    <cellStyle name="20% - Accent4 6" xfId="451"/>
    <cellStyle name="20% - Accent4 6 2" xfId="729"/>
    <cellStyle name="20% - Accent4 6 2 2" xfId="1625"/>
    <cellStyle name="20% - Accent4 6 2 2 2" xfId="3093"/>
    <cellStyle name="20% - Accent4 6 2 2 2 2" xfId="6015"/>
    <cellStyle name="20% - Accent4 6 2 2 3" xfId="4550"/>
    <cellStyle name="20% - Accent4 6 2 3" xfId="2499"/>
    <cellStyle name="20% - Accent4 6 2 3 2" xfId="5421"/>
    <cellStyle name="20% - Accent4 6 2 4" xfId="3948"/>
    <cellStyle name="20% - Accent4 6 3" xfId="633"/>
    <cellStyle name="20% - Accent4 6 3 2" xfId="1537"/>
    <cellStyle name="20% - Accent4 6 3 2 2" xfId="3005"/>
    <cellStyle name="20% - Accent4 6 3 2 2 2" xfId="5927"/>
    <cellStyle name="20% - Accent4 6 3 2 3" xfId="4462"/>
    <cellStyle name="20% - Accent4 6 3 3" xfId="2411"/>
    <cellStyle name="20% - Accent4 6 3 3 2" xfId="5333"/>
    <cellStyle name="20% - Accent4 6 3 4" xfId="3860"/>
    <cellStyle name="20% - Accent4 6 4" xfId="1362"/>
    <cellStyle name="20% - Accent4 6 4 2" xfId="2830"/>
    <cellStyle name="20% - Accent4 6 4 2 2" xfId="5752"/>
    <cellStyle name="20% - Accent4 6 4 3" xfId="4287"/>
    <cellStyle name="20% - Accent4 6 5" xfId="1929"/>
    <cellStyle name="20% - Accent4 6 5 2" xfId="3374"/>
    <cellStyle name="20% - Accent4 6 5 2 2" xfId="6296"/>
    <cellStyle name="20% - Accent4 6 5 3" xfId="4852"/>
    <cellStyle name="20% - Accent4 6 6" xfId="2236"/>
    <cellStyle name="20% - Accent4 6 6 2" xfId="5158"/>
    <cellStyle name="20% - Accent4 6 7" xfId="3685"/>
    <cellStyle name="20% - Accent4 6 8" xfId="6515"/>
    <cellStyle name="20% - Accent4 7" xfId="471"/>
    <cellStyle name="20% - Accent4 7 2" xfId="730"/>
    <cellStyle name="20% - Accent4 7 2 2" xfId="1626"/>
    <cellStyle name="20% - Accent4 7 2 2 2" xfId="3094"/>
    <cellStyle name="20% - Accent4 7 2 2 2 2" xfId="6016"/>
    <cellStyle name="20% - Accent4 7 2 2 3" xfId="4551"/>
    <cellStyle name="20% - Accent4 7 2 3" xfId="2500"/>
    <cellStyle name="20% - Accent4 7 2 3 2" xfId="5422"/>
    <cellStyle name="20% - Accent4 7 2 4" xfId="3949"/>
    <cellStyle name="20% - Accent4 7 3" xfId="653"/>
    <cellStyle name="20% - Accent4 7 3 2" xfId="1557"/>
    <cellStyle name="20% - Accent4 7 3 2 2" xfId="3025"/>
    <cellStyle name="20% - Accent4 7 3 2 2 2" xfId="5947"/>
    <cellStyle name="20% - Accent4 7 3 2 3" xfId="4482"/>
    <cellStyle name="20% - Accent4 7 3 3" xfId="2431"/>
    <cellStyle name="20% - Accent4 7 3 3 2" xfId="5353"/>
    <cellStyle name="20% - Accent4 7 3 4" xfId="3880"/>
    <cellStyle name="20% - Accent4 7 4" xfId="1382"/>
    <cellStyle name="20% - Accent4 7 4 2" xfId="2850"/>
    <cellStyle name="20% - Accent4 7 4 2 2" xfId="5772"/>
    <cellStyle name="20% - Accent4 7 4 3" xfId="4307"/>
    <cellStyle name="20% - Accent4 7 5" xfId="1930"/>
    <cellStyle name="20% - Accent4 7 5 2" xfId="3375"/>
    <cellStyle name="20% - Accent4 7 5 2 2" xfId="6297"/>
    <cellStyle name="20% - Accent4 7 5 3" xfId="4853"/>
    <cellStyle name="20% - Accent4 7 6" xfId="2256"/>
    <cellStyle name="20% - Accent4 7 6 2" xfId="5178"/>
    <cellStyle name="20% - Accent4 7 7" xfId="3705"/>
    <cellStyle name="20% - Accent4 7 8" xfId="6516"/>
    <cellStyle name="20% - Accent4 8" xfId="509"/>
    <cellStyle name="20% - Accent4 8 2" xfId="687"/>
    <cellStyle name="20% - Accent4 8 2 2" xfId="1591"/>
    <cellStyle name="20% - Accent4 8 2 2 2" xfId="3059"/>
    <cellStyle name="20% - Accent4 8 2 2 2 2" xfId="5981"/>
    <cellStyle name="20% - Accent4 8 2 2 3" xfId="4516"/>
    <cellStyle name="20% - Accent4 8 2 3" xfId="2465"/>
    <cellStyle name="20% - Accent4 8 2 3 2" xfId="5387"/>
    <cellStyle name="20% - Accent4 8 2 4" xfId="3914"/>
    <cellStyle name="20% - Accent4 8 3" xfId="1416"/>
    <cellStyle name="20% - Accent4 8 3 2" xfId="2884"/>
    <cellStyle name="20% - Accent4 8 3 2 2" xfId="5806"/>
    <cellStyle name="20% - Accent4 8 3 3" xfId="4341"/>
    <cellStyle name="20% - Accent4 8 4" xfId="2290"/>
    <cellStyle name="20% - Accent4 8 4 2" xfId="5212"/>
    <cellStyle name="20% - Accent4 8 5" xfId="3739"/>
    <cellStyle name="20% - Accent4 9" xfId="723"/>
    <cellStyle name="20% - Accent4 9 2" xfId="1621"/>
    <cellStyle name="20% - Accent4 9 2 2" xfId="3089"/>
    <cellStyle name="20% - Accent4 9 2 2 2" xfId="6011"/>
    <cellStyle name="20% - Accent4 9 2 3" xfId="4546"/>
    <cellStyle name="20% - Accent4 9 3" xfId="2495"/>
    <cellStyle name="20% - Accent4 9 3 2" xfId="5417"/>
    <cellStyle name="20% - Accent4 9 4" xfId="3944"/>
    <cellStyle name="20% - Accent5" xfId="381" builtinId="46" customBuiltin="1"/>
    <cellStyle name="20% - Accent5 10" xfId="566"/>
    <cellStyle name="20% - Accent5 10 2" xfId="1470"/>
    <cellStyle name="20% - Accent5 10 2 2" xfId="2938"/>
    <cellStyle name="20% - Accent5 10 2 2 2" xfId="5860"/>
    <cellStyle name="20% - Accent5 10 2 3" xfId="4395"/>
    <cellStyle name="20% - Accent5 10 3" xfId="2344"/>
    <cellStyle name="20% - Accent5 10 3 2" xfId="5266"/>
    <cellStyle name="20% - Accent5 10 4" xfId="3793"/>
    <cellStyle name="20% - Accent5 11" xfId="1245"/>
    <cellStyle name="20% - Accent5 11 2" xfId="1863"/>
    <cellStyle name="20% - Accent5 11 2 2" xfId="3311"/>
    <cellStyle name="20% - Accent5 11 2 2 2" xfId="6233"/>
    <cellStyle name="20% - Accent5 11 2 3" xfId="4788"/>
    <cellStyle name="20% - Accent5 11 3" xfId="2717"/>
    <cellStyle name="20% - Accent5 11 3 2" xfId="5639"/>
    <cellStyle name="20% - Accent5 11 4" xfId="4170"/>
    <cellStyle name="20% - Accent5 12" xfId="1295"/>
    <cellStyle name="20% - Accent5 12 2" xfId="2763"/>
    <cellStyle name="20% - Accent5 12 2 2" xfId="5685"/>
    <cellStyle name="20% - Accent5 12 3" xfId="4220"/>
    <cellStyle name="20% - Accent5 13" xfId="1881"/>
    <cellStyle name="20% - Accent5 13 2" xfId="3329"/>
    <cellStyle name="20% - Accent5 13 2 2" xfId="6251"/>
    <cellStyle name="20% - Accent5 13 3" xfId="4806"/>
    <cellStyle name="20% - Accent5 14" xfId="1931"/>
    <cellStyle name="20% - Accent5 14 2" xfId="3376"/>
    <cellStyle name="20% - Accent5 14 2 2" xfId="6298"/>
    <cellStyle name="20% - Accent5 14 3" xfId="4854"/>
    <cellStyle name="20% - Accent5 15" xfId="2169"/>
    <cellStyle name="20% - Accent5 15 2" xfId="5091"/>
    <cellStyle name="20% - Accent5 16" xfId="3618"/>
    <cellStyle name="20% - Accent5 17" xfId="6517"/>
    <cellStyle name="20% - Accent5 2" xfId="5"/>
    <cellStyle name="20% - Accent5 3" xfId="403"/>
    <cellStyle name="20% - Accent5 3 2" xfId="732"/>
    <cellStyle name="20% - Accent5 3 2 2" xfId="1628"/>
    <cellStyle name="20% - Accent5 3 2 2 2" xfId="3096"/>
    <cellStyle name="20% - Accent5 3 2 2 2 2" xfId="6018"/>
    <cellStyle name="20% - Accent5 3 2 2 3" xfId="4553"/>
    <cellStyle name="20% - Accent5 3 2 3" xfId="2502"/>
    <cellStyle name="20% - Accent5 3 2 3 2" xfId="5424"/>
    <cellStyle name="20% - Accent5 3 2 4" xfId="3951"/>
    <cellStyle name="20% - Accent5 3 3" xfId="585"/>
    <cellStyle name="20% - Accent5 3 3 2" xfId="1489"/>
    <cellStyle name="20% - Accent5 3 3 2 2" xfId="2957"/>
    <cellStyle name="20% - Accent5 3 3 2 2 2" xfId="5879"/>
    <cellStyle name="20% - Accent5 3 3 2 3" xfId="4414"/>
    <cellStyle name="20% - Accent5 3 3 3" xfId="2363"/>
    <cellStyle name="20% - Accent5 3 3 3 2" xfId="5285"/>
    <cellStyle name="20% - Accent5 3 3 4" xfId="3812"/>
    <cellStyle name="20% - Accent5 3 4" xfId="1314"/>
    <cellStyle name="20% - Accent5 3 4 2" xfId="2782"/>
    <cellStyle name="20% - Accent5 3 4 2 2" xfId="5704"/>
    <cellStyle name="20% - Accent5 3 4 3" xfId="4239"/>
    <cellStyle name="20% - Accent5 3 5" xfId="1932"/>
    <cellStyle name="20% - Accent5 3 5 2" xfId="3377"/>
    <cellStyle name="20% - Accent5 3 5 2 2" xfId="6299"/>
    <cellStyle name="20% - Accent5 3 5 3" xfId="4855"/>
    <cellStyle name="20% - Accent5 3 6" xfId="2188"/>
    <cellStyle name="20% - Accent5 3 6 2" xfId="5110"/>
    <cellStyle name="20% - Accent5 3 7" xfId="3637"/>
    <cellStyle name="20% - Accent5 3 8" xfId="6518"/>
    <cellStyle name="20% - Accent5 4" xfId="424"/>
    <cellStyle name="20% - Accent5 4 2" xfId="733"/>
    <cellStyle name="20% - Accent5 4 2 2" xfId="1629"/>
    <cellStyle name="20% - Accent5 4 2 2 2" xfId="3097"/>
    <cellStyle name="20% - Accent5 4 2 2 2 2" xfId="6019"/>
    <cellStyle name="20% - Accent5 4 2 2 3" xfId="4554"/>
    <cellStyle name="20% - Accent5 4 2 3" xfId="2503"/>
    <cellStyle name="20% - Accent5 4 2 3 2" xfId="5425"/>
    <cellStyle name="20% - Accent5 4 2 4" xfId="3952"/>
    <cellStyle name="20% - Accent5 4 3" xfId="606"/>
    <cellStyle name="20% - Accent5 4 3 2" xfId="1510"/>
    <cellStyle name="20% - Accent5 4 3 2 2" xfId="2978"/>
    <cellStyle name="20% - Accent5 4 3 2 2 2" xfId="5900"/>
    <cellStyle name="20% - Accent5 4 3 2 3" xfId="4435"/>
    <cellStyle name="20% - Accent5 4 3 3" xfId="2384"/>
    <cellStyle name="20% - Accent5 4 3 3 2" xfId="5306"/>
    <cellStyle name="20% - Accent5 4 3 4" xfId="3833"/>
    <cellStyle name="20% - Accent5 4 4" xfId="1335"/>
    <cellStyle name="20% - Accent5 4 4 2" xfId="2803"/>
    <cellStyle name="20% - Accent5 4 4 2 2" xfId="5725"/>
    <cellStyle name="20% - Accent5 4 4 3" xfId="4260"/>
    <cellStyle name="20% - Accent5 4 5" xfId="1933"/>
    <cellStyle name="20% - Accent5 4 5 2" xfId="3378"/>
    <cellStyle name="20% - Accent5 4 5 2 2" xfId="6300"/>
    <cellStyle name="20% - Accent5 4 5 3" xfId="4856"/>
    <cellStyle name="20% - Accent5 4 6" xfId="2209"/>
    <cellStyle name="20% - Accent5 4 6 2" xfId="5131"/>
    <cellStyle name="20% - Accent5 4 7" xfId="3658"/>
    <cellStyle name="20% - Accent5 4 8" xfId="6519"/>
    <cellStyle name="20% - Accent5 5" xfId="439"/>
    <cellStyle name="20% - Accent5 5 2" xfId="734"/>
    <cellStyle name="20% - Accent5 5 2 2" xfId="1630"/>
    <cellStyle name="20% - Accent5 5 2 2 2" xfId="3098"/>
    <cellStyle name="20% - Accent5 5 2 2 2 2" xfId="6020"/>
    <cellStyle name="20% - Accent5 5 2 2 3" xfId="4555"/>
    <cellStyle name="20% - Accent5 5 2 3" xfId="2504"/>
    <cellStyle name="20% - Accent5 5 2 3 2" xfId="5426"/>
    <cellStyle name="20% - Accent5 5 2 4" xfId="3953"/>
    <cellStyle name="20% - Accent5 5 3" xfId="621"/>
    <cellStyle name="20% - Accent5 5 3 2" xfId="1525"/>
    <cellStyle name="20% - Accent5 5 3 2 2" xfId="2993"/>
    <cellStyle name="20% - Accent5 5 3 2 2 2" xfId="5915"/>
    <cellStyle name="20% - Accent5 5 3 2 3" xfId="4450"/>
    <cellStyle name="20% - Accent5 5 3 3" xfId="2399"/>
    <cellStyle name="20% - Accent5 5 3 3 2" xfId="5321"/>
    <cellStyle name="20% - Accent5 5 3 4" xfId="3848"/>
    <cellStyle name="20% - Accent5 5 4" xfId="1350"/>
    <cellStyle name="20% - Accent5 5 4 2" xfId="2818"/>
    <cellStyle name="20% - Accent5 5 4 2 2" xfId="5740"/>
    <cellStyle name="20% - Accent5 5 4 3" xfId="4275"/>
    <cellStyle name="20% - Accent5 5 5" xfId="1934"/>
    <cellStyle name="20% - Accent5 5 5 2" xfId="3379"/>
    <cellStyle name="20% - Accent5 5 5 2 2" xfId="6301"/>
    <cellStyle name="20% - Accent5 5 5 3" xfId="4857"/>
    <cellStyle name="20% - Accent5 5 6" xfId="2224"/>
    <cellStyle name="20% - Accent5 5 6 2" xfId="5146"/>
    <cellStyle name="20% - Accent5 5 7" xfId="3673"/>
    <cellStyle name="20% - Accent5 5 8" xfId="6520"/>
    <cellStyle name="20% - Accent5 6" xfId="453"/>
    <cellStyle name="20% - Accent5 6 2" xfId="735"/>
    <cellStyle name="20% - Accent5 6 2 2" xfId="1631"/>
    <cellStyle name="20% - Accent5 6 2 2 2" xfId="3099"/>
    <cellStyle name="20% - Accent5 6 2 2 2 2" xfId="6021"/>
    <cellStyle name="20% - Accent5 6 2 2 3" xfId="4556"/>
    <cellStyle name="20% - Accent5 6 2 3" xfId="2505"/>
    <cellStyle name="20% - Accent5 6 2 3 2" xfId="5427"/>
    <cellStyle name="20% - Accent5 6 2 4" xfId="3954"/>
    <cellStyle name="20% - Accent5 6 3" xfId="635"/>
    <cellStyle name="20% - Accent5 6 3 2" xfId="1539"/>
    <cellStyle name="20% - Accent5 6 3 2 2" xfId="3007"/>
    <cellStyle name="20% - Accent5 6 3 2 2 2" xfId="5929"/>
    <cellStyle name="20% - Accent5 6 3 2 3" xfId="4464"/>
    <cellStyle name="20% - Accent5 6 3 3" xfId="2413"/>
    <cellStyle name="20% - Accent5 6 3 3 2" xfId="5335"/>
    <cellStyle name="20% - Accent5 6 3 4" xfId="3862"/>
    <cellStyle name="20% - Accent5 6 4" xfId="1364"/>
    <cellStyle name="20% - Accent5 6 4 2" xfId="2832"/>
    <cellStyle name="20% - Accent5 6 4 2 2" xfId="5754"/>
    <cellStyle name="20% - Accent5 6 4 3" xfId="4289"/>
    <cellStyle name="20% - Accent5 6 5" xfId="1935"/>
    <cellStyle name="20% - Accent5 6 5 2" xfId="3380"/>
    <cellStyle name="20% - Accent5 6 5 2 2" xfId="6302"/>
    <cellStyle name="20% - Accent5 6 5 3" xfId="4858"/>
    <cellStyle name="20% - Accent5 6 6" xfId="2238"/>
    <cellStyle name="20% - Accent5 6 6 2" xfId="5160"/>
    <cellStyle name="20% - Accent5 6 7" xfId="3687"/>
    <cellStyle name="20% - Accent5 6 8" xfId="6521"/>
    <cellStyle name="20% - Accent5 7" xfId="473"/>
    <cellStyle name="20% - Accent5 7 2" xfId="736"/>
    <cellStyle name="20% - Accent5 7 2 2" xfId="1632"/>
    <cellStyle name="20% - Accent5 7 2 2 2" xfId="3100"/>
    <cellStyle name="20% - Accent5 7 2 2 2 2" xfId="6022"/>
    <cellStyle name="20% - Accent5 7 2 2 3" xfId="4557"/>
    <cellStyle name="20% - Accent5 7 2 3" xfId="2506"/>
    <cellStyle name="20% - Accent5 7 2 3 2" xfId="5428"/>
    <cellStyle name="20% - Accent5 7 2 4" xfId="3955"/>
    <cellStyle name="20% - Accent5 7 3" xfId="655"/>
    <cellStyle name="20% - Accent5 7 3 2" xfId="1559"/>
    <cellStyle name="20% - Accent5 7 3 2 2" xfId="3027"/>
    <cellStyle name="20% - Accent5 7 3 2 2 2" xfId="5949"/>
    <cellStyle name="20% - Accent5 7 3 2 3" xfId="4484"/>
    <cellStyle name="20% - Accent5 7 3 3" xfId="2433"/>
    <cellStyle name="20% - Accent5 7 3 3 2" xfId="5355"/>
    <cellStyle name="20% - Accent5 7 3 4" xfId="3882"/>
    <cellStyle name="20% - Accent5 7 4" xfId="1384"/>
    <cellStyle name="20% - Accent5 7 4 2" xfId="2852"/>
    <cellStyle name="20% - Accent5 7 4 2 2" xfId="5774"/>
    <cellStyle name="20% - Accent5 7 4 3" xfId="4309"/>
    <cellStyle name="20% - Accent5 7 5" xfId="1936"/>
    <cellStyle name="20% - Accent5 7 5 2" xfId="3381"/>
    <cellStyle name="20% - Accent5 7 5 2 2" xfId="6303"/>
    <cellStyle name="20% - Accent5 7 5 3" xfId="4859"/>
    <cellStyle name="20% - Accent5 7 6" xfId="2258"/>
    <cellStyle name="20% - Accent5 7 6 2" xfId="5180"/>
    <cellStyle name="20% - Accent5 7 7" xfId="3707"/>
    <cellStyle name="20% - Accent5 7 8" xfId="6522"/>
    <cellStyle name="20% - Accent5 8" xfId="512"/>
    <cellStyle name="20% - Accent5 8 2" xfId="690"/>
    <cellStyle name="20% - Accent5 8 2 2" xfId="1594"/>
    <cellStyle name="20% - Accent5 8 2 2 2" xfId="3062"/>
    <cellStyle name="20% - Accent5 8 2 2 2 2" xfId="5984"/>
    <cellStyle name="20% - Accent5 8 2 2 3" xfId="4519"/>
    <cellStyle name="20% - Accent5 8 2 3" xfId="2468"/>
    <cellStyle name="20% - Accent5 8 2 3 2" xfId="5390"/>
    <cellStyle name="20% - Accent5 8 2 4" xfId="3917"/>
    <cellStyle name="20% - Accent5 8 3" xfId="1419"/>
    <cellStyle name="20% - Accent5 8 3 2" xfId="2887"/>
    <cellStyle name="20% - Accent5 8 3 2 2" xfId="5809"/>
    <cellStyle name="20% - Accent5 8 3 3" xfId="4344"/>
    <cellStyle name="20% - Accent5 8 4" xfId="2293"/>
    <cellStyle name="20% - Accent5 8 4 2" xfId="5215"/>
    <cellStyle name="20% - Accent5 8 5" xfId="3742"/>
    <cellStyle name="20% - Accent5 9" xfId="731"/>
    <cellStyle name="20% - Accent5 9 2" xfId="1627"/>
    <cellStyle name="20% - Accent5 9 2 2" xfId="3095"/>
    <cellStyle name="20% - Accent5 9 2 2 2" xfId="6017"/>
    <cellStyle name="20% - Accent5 9 2 3" xfId="4552"/>
    <cellStyle name="20% - Accent5 9 3" xfId="2501"/>
    <cellStyle name="20% - Accent5 9 3 2" xfId="5423"/>
    <cellStyle name="20% - Accent5 9 4" xfId="3950"/>
    <cellStyle name="20% - Accent6" xfId="385" builtinId="50" customBuiltin="1"/>
    <cellStyle name="20% - Accent6 10" xfId="568"/>
    <cellStyle name="20% - Accent6 10 2" xfId="1472"/>
    <cellStyle name="20% - Accent6 10 2 2" xfId="2940"/>
    <cellStyle name="20% - Accent6 10 2 2 2" xfId="5862"/>
    <cellStyle name="20% - Accent6 10 2 3" xfId="4397"/>
    <cellStyle name="20% - Accent6 10 3" xfId="2346"/>
    <cellStyle name="20% - Accent6 10 3 2" xfId="5268"/>
    <cellStyle name="20% - Accent6 10 4" xfId="3795"/>
    <cellStyle name="20% - Accent6 11" xfId="1247"/>
    <cellStyle name="20% - Accent6 11 2" xfId="1865"/>
    <cellStyle name="20% - Accent6 11 2 2" xfId="3313"/>
    <cellStyle name="20% - Accent6 11 2 2 2" xfId="6235"/>
    <cellStyle name="20% - Accent6 11 2 3" xfId="4790"/>
    <cellStyle name="20% - Accent6 11 3" xfId="2719"/>
    <cellStyle name="20% - Accent6 11 3 2" xfId="5641"/>
    <cellStyle name="20% - Accent6 11 4" xfId="4172"/>
    <cellStyle name="20% - Accent6 12" xfId="1297"/>
    <cellStyle name="20% - Accent6 12 2" xfId="2765"/>
    <cellStyle name="20% - Accent6 12 2 2" xfId="5687"/>
    <cellStyle name="20% - Accent6 12 3" xfId="4222"/>
    <cellStyle name="20% - Accent6 13" xfId="1884"/>
    <cellStyle name="20% - Accent6 13 2" xfId="3332"/>
    <cellStyle name="20% - Accent6 13 2 2" xfId="6254"/>
    <cellStyle name="20% - Accent6 13 3" xfId="4809"/>
    <cellStyle name="20% - Accent6 14" xfId="1937"/>
    <cellStyle name="20% - Accent6 14 2" xfId="3382"/>
    <cellStyle name="20% - Accent6 14 2 2" xfId="6304"/>
    <cellStyle name="20% - Accent6 14 3" xfId="4860"/>
    <cellStyle name="20% - Accent6 15" xfId="2171"/>
    <cellStyle name="20% - Accent6 15 2" xfId="5093"/>
    <cellStyle name="20% - Accent6 16" xfId="3620"/>
    <cellStyle name="20% - Accent6 17" xfId="6523"/>
    <cellStyle name="20% - Accent6 2" xfId="6"/>
    <cellStyle name="20% - Accent6 2 2" xfId="738"/>
    <cellStyle name="20% - Accent6 3" xfId="405"/>
    <cellStyle name="20% - Accent6 3 2" xfId="740"/>
    <cellStyle name="20% - Accent6 3 2 2" xfId="1634"/>
    <cellStyle name="20% - Accent6 3 2 2 2" xfId="3102"/>
    <cellStyle name="20% - Accent6 3 2 2 2 2" xfId="6024"/>
    <cellStyle name="20% - Accent6 3 2 2 3" xfId="4559"/>
    <cellStyle name="20% - Accent6 3 2 3" xfId="1938"/>
    <cellStyle name="20% - Accent6 3 2 3 2" xfId="3383"/>
    <cellStyle name="20% - Accent6 3 2 3 2 2" xfId="6305"/>
    <cellStyle name="20% - Accent6 3 2 3 3" xfId="4861"/>
    <cellStyle name="20% - Accent6 3 2 4" xfId="2508"/>
    <cellStyle name="20% - Accent6 3 2 4 2" xfId="5430"/>
    <cellStyle name="20% - Accent6 3 2 5" xfId="3957"/>
    <cellStyle name="20% - Accent6 3 2 6" xfId="6524"/>
    <cellStyle name="20% - Accent6 3 3" xfId="739"/>
    <cellStyle name="20% - Accent6 3 4" xfId="587"/>
    <cellStyle name="20% - Accent6 3 4 2" xfId="1491"/>
    <cellStyle name="20% - Accent6 3 4 2 2" xfId="2959"/>
    <cellStyle name="20% - Accent6 3 4 2 2 2" xfId="5881"/>
    <cellStyle name="20% - Accent6 3 4 2 3" xfId="4416"/>
    <cellStyle name="20% - Accent6 3 4 3" xfId="2365"/>
    <cellStyle name="20% - Accent6 3 4 3 2" xfId="5287"/>
    <cellStyle name="20% - Accent6 3 4 4" xfId="3814"/>
    <cellStyle name="20% - Accent6 3 5" xfId="1316"/>
    <cellStyle name="20% - Accent6 3 5 2" xfId="2784"/>
    <cellStyle name="20% - Accent6 3 5 2 2" xfId="5706"/>
    <cellStyle name="20% - Accent6 3 5 3" xfId="4241"/>
    <cellStyle name="20% - Accent6 3 6" xfId="2190"/>
    <cellStyle name="20% - Accent6 3 6 2" xfId="5112"/>
    <cellStyle name="20% - Accent6 3 7" xfId="3639"/>
    <cellStyle name="20% - Accent6 4" xfId="426"/>
    <cellStyle name="20% - Accent6 4 2" xfId="741"/>
    <cellStyle name="20% - Accent6 4 2 2" xfId="1635"/>
    <cellStyle name="20% - Accent6 4 2 2 2" xfId="3103"/>
    <cellStyle name="20% - Accent6 4 2 2 2 2" xfId="6025"/>
    <cellStyle name="20% - Accent6 4 2 2 3" xfId="4560"/>
    <cellStyle name="20% - Accent6 4 2 3" xfId="2509"/>
    <cellStyle name="20% - Accent6 4 2 3 2" xfId="5431"/>
    <cellStyle name="20% - Accent6 4 2 4" xfId="3958"/>
    <cellStyle name="20% - Accent6 4 3" xfId="608"/>
    <cellStyle name="20% - Accent6 4 3 2" xfId="1512"/>
    <cellStyle name="20% - Accent6 4 3 2 2" xfId="2980"/>
    <cellStyle name="20% - Accent6 4 3 2 2 2" xfId="5902"/>
    <cellStyle name="20% - Accent6 4 3 2 3" xfId="4437"/>
    <cellStyle name="20% - Accent6 4 3 3" xfId="2386"/>
    <cellStyle name="20% - Accent6 4 3 3 2" xfId="5308"/>
    <cellStyle name="20% - Accent6 4 3 4" xfId="3835"/>
    <cellStyle name="20% - Accent6 4 4" xfId="1337"/>
    <cellStyle name="20% - Accent6 4 4 2" xfId="2805"/>
    <cellStyle name="20% - Accent6 4 4 2 2" xfId="5727"/>
    <cellStyle name="20% - Accent6 4 4 3" xfId="4262"/>
    <cellStyle name="20% - Accent6 4 5" xfId="1939"/>
    <cellStyle name="20% - Accent6 4 5 2" xfId="3384"/>
    <cellStyle name="20% - Accent6 4 5 2 2" xfId="6306"/>
    <cellStyle name="20% - Accent6 4 5 3" xfId="4862"/>
    <cellStyle name="20% - Accent6 4 6" xfId="2211"/>
    <cellStyle name="20% - Accent6 4 6 2" xfId="5133"/>
    <cellStyle name="20% - Accent6 4 7" xfId="3660"/>
    <cellStyle name="20% - Accent6 4 8" xfId="6525"/>
    <cellStyle name="20% - Accent6 5" xfId="441"/>
    <cellStyle name="20% - Accent6 5 2" xfId="742"/>
    <cellStyle name="20% - Accent6 5 2 2" xfId="1636"/>
    <cellStyle name="20% - Accent6 5 2 2 2" xfId="3104"/>
    <cellStyle name="20% - Accent6 5 2 2 2 2" xfId="6026"/>
    <cellStyle name="20% - Accent6 5 2 2 3" xfId="4561"/>
    <cellStyle name="20% - Accent6 5 2 3" xfId="2510"/>
    <cellStyle name="20% - Accent6 5 2 3 2" xfId="5432"/>
    <cellStyle name="20% - Accent6 5 2 4" xfId="3959"/>
    <cellStyle name="20% - Accent6 5 3" xfId="623"/>
    <cellStyle name="20% - Accent6 5 3 2" xfId="1527"/>
    <cellStyle name="20% - Accent6 5 3 2 2" xfId="2995"/>
    <cellStyle name="20% - Accent6 5 3 2 2 2" xfId="5917"/>
    <cellStyle name="20% - Accent6 5 3 2 3" xfId="4452"/>
    <cellStyle name="20% - Accent6 5 3 3" xfId="2401"/>
    <cellStyle name="20% - Accent6 5 3 3 2" xfId="5323"/>
    <cellStyle name="20% - Accent6 5 3 4" xfId="3850"/>
    <cellStyle name="20% - Accent6 5 4" xfId="1352"/>
    <cellStyle name="20% - Accent6 5 4 2" xfId="2820"/>
    <cellStyle name="20% - Accent6 5 4 2 2" xfId="5742"/>
    <cellStyle name="20% - Accent6 5 4 3" xfId="4277"/>
    <cellStyle name="20% - Accent6 5 5" xfId="1940"/>
    <cellStyle name="20% - Accent6 5 5 2" xfId="3385"/>
    <cellStyle name="20% - Accent6 5 5 2 2" xfId="6307"/>
    <cellStyle name="20% - Accent6 5 5 3" xfId="4863"/>
    <cellStyle name="20% - Accent6 5 6" xfId="2226"/>
    <cellStyle name="20% - Accent6 5 6 2" xfId="5148"/>
    <cellStyle name="20% - Accent6 5 7" xfId="3675"/>
    <cellStyle name="20% - Accent6 5 8" xfId="6526"/>
    <cellStyle name="20% - Accent6 6" xfId="455"/>
    <cellStyle name="20% - Accent6 6 2" xfId="743"/>
    <cellStyle name="20% - Accent6 6 2 2" xfId="1637"/>
    <cellStyle name="20% - Accent6 6 2 2 2" xfId="3105"/>
    <cellStyle name="20% - Accent6 6 2 2 2 2" xfId="6027"/>
    <cellStyle name="20% - Accent6 6 2 2 3" xfId="4562"/>
    <cellStyle name="20% - Accent6 6 2 3" xfId="2511"/>
    <cellStyle name="20% - Accent6 6 2 3 2" xfId="5433"/>
    <cellStyle name="20% - Accent6 6 2 4" xfId="3960"/>
    <cellStyle name="20% - Accent6 6 3" xfId="637"/>
    <cellStyle name="20% - Accent6 6 3 2" xfId="1541"/>
    <cellStyle name="20% - Accent6 6 3 2 2" xfId="3009"/>
    <cellStyle name="20% - Accent6 6 3 2 2 2" xfId="5931"/>
    <cellStyle name="20% - Accent6 6 3 2 3" xfId="4466"/>
    <cellStyle name="20% - Accent6 6 3 3" xfId="2415"/>
    <cellStyle name="20% - Accent6 6 3 3 2" xfId="5337"/>
    <cellStyle name="20% - Accent6 6 3 4" xfId="3864"/>
    <cellStyle name="20% - Accent6 6 4" xfId="1366"/>
    <cellStyle name="20% - Accent6 6 4 2" xfId="2834"/>
    <cellStyle name="20% - Accent6 6 4 2 2" xfId="5756"/>
    <cellStyle name="20% - Accent6 6 4 3" xfId="4291"/>
    <cellStyle name="20% - Accent6 6 5" xfId="1941"/>
    <cellStyle name="20% - Accent6 6 5 2" xfId="3386"/>
    <cellStyle name="20% - Accent6 6 5 2 2" xfId="6308"/>
    <cellStyle name="20% - Accent6 6 5 3" xfId="4864"/>
    <cellStyle name="20% - Accent6 6 6" xfId="2240"/>
    <cellStyle name="20% - Accent6 6 6 2" xfId="5162"/>
    <cellStyle name="20% - Accent6 6 7" xfId="3689"/>
    <cellStyle name="20% - Accent6 6 8" xfId="6527"/>
    <cellStyle name="20% - Accent6 7" xfId="475"/>
    <cellStyle name="20% - Accent6 7 2" xfId="744"/>
    <cellStyle name="20% - Accent6 7 2 2" xfId="1638"/>
    <cellStyle name="20% - Accent6 7 2 2 2" xfId="3106"/>
    <cellStyle name="20% - Accent6 7 2 2 2 2" xfId="6028"/>
    <cellStyle name="20% - Accent6 7 2 2 3" xfId="4563"/>
    <cellStyle name="20% - Accent6 7 2 3" xfId="2512"/>
    <cellStyle name="20% - Accent6 7 2 3 2" xfId="5434"/>
    <cellStyle name="20% - Accent6 7 2 4" xfId="3961"/>
    <cellStyle name="20% - Accent6 7 3" xfId="657"/>
    <cellStyle name="20% - Accent6 7 3 2" xfId="1561"/>
    <cellStyle name="20% - Accent6 7 3 2 2" xfId="3029"/>
    <cellStyle name="20% - Accent6 7 3 2 2 2" xfId="5951"/>
    <cellStyle name="20% - Accent6 7 3 2 3" xfId="4486"/>
    <cellStyle name="20% - Accent6 7 3 3" xfId="2435"/>
    <cellStyle name="20% - Accent6 7 3 3 2" xfId="5357"/>
    <cellStyle name="20% - Accent6 7 3 4" xfId="3884"/>
    <cellStyle name="20% - Accent6 7 4" xfId="1386"/>
    <cellStyle name="20% - Accent6 7 4 2" xfId="2854"/>
    <cellStyle name="20% - Accent6 7 4 2 2" xfId="5776"/>
    <cellStyle name="20% - Accent6 7 4 3" xfId="4311"/>
    <cellStyle name="20% - Accent6 7 5" xfId="1942"/>
    <cellStyle name="20% - Accent6 7 5 2" xfId="3387"/>
    <cellStyle name="20% - Accent6 7 5 2 2" xfId="6309"/>
    <cellStyle name="20% - Accent6 7 5 3" xfId="4865"/>
    <cellStyle name="20% - Accent6 7 6" xfId="2260"/>
    <cellStyle name="20% - Accent6 7 6 2" xfId="5182"/>
    <cellStyle name="20% - Accent6 7 7" xfId="3709"/>
    <cellStyle name="20% - Accent6 7 8" xfId="6528"/>
    <cellStyle name="20% - Accent6 8" xfId="515"/>
    <cellStyle name="20% - Accent6 8 2" xfId="693"/>
    <cellStyle name="20% - Accent6 8 2 2" xfId="1597"/>
    <cellStyle name="20% - Accent6 8 2 2 2" xfId="3065"/>
    <cellStyle name="20% - Accent6 8 2 2 2 2" xfId="5987"/>
    <cellStyle name="20% - Accent6 8 2 2 3" xfId="4522"/>
    <cellStyle name="20% - Accent6 8 2 3" xfId="2471"/>
    <cellStyle name="20% - Accent6 8 2 3 2" xfId="5393"/>
    <cellStyle name="20% - Accent6 8 2 4" xfId="3920"/>
    <cellStyle name="20% - Accent6 8 3" xfId="1422"/>
    <cellStyle name="20% - Accent6 8 3 2" xfId="2890"/>
    <cellStyle name="20% - Accent6 8 3 2 2" xfId="5812"/>
    <cellStyle name="20% - Accent6 8 3 3" xfId="4347"/>
    <cellStyle name="20% - Accent6 8 4" xfId="2296"/>
    <cellStyle name="20% - Accent6 8 4 2" xfId="5218"/>
    <cellStyle name="20% - Accent6 8 5" xfId="3745"/>
    <cellStyle name="20% - Accent6 9" xfId="737"/>
    <cellStyle name="20% - Accent6 9 2" xfId="1633"/>
    <cellStyle name="20% - Accent6 9 2 2" xfId="3101"/>
    <cellStyle name="20% - Accent6 9 2 2 2" xfId="6023"/>
    <cellStyle name="20% - Accent6 9 2 3" xfId="4558"/>
    <cellStyle name="20% - Accent6 9 3" xfId="2507"/>
    <cellStyle name="20% - Accent6 9 3 2" xfId="5429"/>
    <cellStyle name="20% - Accent6 9 4" xfId="3956"/>
    <cellStyle name="40% - Accent1" xfId="366" builtinId="31" customBuiltin="1"/>
    <cellStyle name="40% - Accent1 10" xfId="559"/>
    <cellStyle name="40% - Accent1 10 2" xfId="1463"/>
    <cellStyle name="40% - Accent1 10 2 2" xfId="2931"/>
    <cellStyle name="40% - Accent1 10 2 2 2" xfId="5853"/>
    <cellStyle name="40% - Accent1 10 2 3" xfId="4388"/>
    <cellStyle name="40% - Accent1 10 3" xfId="2337"/>
    <cellStyle name="40% - Accent1 10 3 2" xfId="5259"/>
    <cellStyle name="40% - Accent1 10 4" xfId="3786"/>
    <cellStyle name="40% - Accent1 11" xfId="1238"/>
    <cellStyle name="40% - Accent1 11 2" xfId="1856"/>
    <cellStyle name="40% - Accent1 11 2 2" xfId="3304"/>
    <cellStyle name="40% - Accent1 11 2 2 2" xfId="6226"/>
    <cellStyle name="40% - Accent1 11 2 3" xfId="4781"/>
    <cellStyle name="40% - Accent1 11 3" xfId="2710"/>
    <cellStyle name="40% - Accent1 11 3 2" xfId="5632"/>
    <cellStyle name="40% - Accent1 11 4" xfId="4163"/>
    <cellStyle name="40% - Accent1 12" xfId="1288"/>
    <cellStyle name="40% - Accent1 12 2" xfId="2756"/>
    <cellStyle name="40% - Accent1 12 2 2" xfId="5678"/>
    <cellStyle name="40% - Accent1 12 3" xfId="4213"/>
    <cellStyle name="40% - Accent1 13" xfId="1873"/>
    <cellStyle name="40% - Accent1 13 2" xfId="3321"/>
    <cellStyle name="40% - Accent1 13 2 2" xfId="6243"/>
    <cellStyle name="40% - Accent1 13 3" xfId="4798"/>
    <cellStyle name="40% - Accent1 14" xfId="1943"/>
    <cellStyle name="40% - Accent1 14 2" xfId="3388"/>
    <cellStyle name="40% - Accent1 14 2 2" xfId="6310"/>
    <cellStyle name="40% - Accent1 14 3" xfId="4866"/>
    <cellStyle name="40% - Accent1 15" xfId="2162"/>
    <cellStyle name="40% - Accent1 15 2" xfId="5084"/>
    <cellStyle name="40% - Accent1 16" xfId="3611"/>
    <cellStyle name="40% - Accent1 17" xfId="6529"/>
    <cellStyle name="40% - Accent1 2" xfId="7"/>
    <cellStyle name="40% - Accent1 2 2" xfId="746"/>
    <cellStyle name="40% - Accent1 3" xfId="396"/>
    <cellStyle name="40% - Accent1 3 2" xfId="748"/>
    <cellStyle name="40% - Accent1 3 2 2" xfId="1640"/>
    <cellStyle name="40% - Accent1 3 2 2 2" xfId="3108"/>
    <cellStyle name="40% - Accent1 3 2 2 2 2" xfId="6030"/>
    <cellStyle name="40% - Accent1 3 2 2 3" xfId="4565"/>
    <cellStyle name="40% - Accent1 3 2 3" xfId="1944"/>
    <cellStyle name="40% - Accent1 3 2 3 2" xfId="3389"/>
    <cellStyle name="40% - Accent1 3 2 3 2 2" xfId="6311"/>
    <cellStyle name="40% - Accent1 3 2 3 3" xfId="4867"/>
    <cellStyle name="40% - Accent1 3 2 4" xfId="2514"/>
    <cellStyle name="40% - Accent1 3 2 4 2" xfId="5436"/>
    <cellStyle name="40% - Accent1 3 2 5" xfId="3963"/>
    <cellStyle name="40% - Accent1 3 2 6" xfId="6530"/>
    <cellStyle name="40% - Accent1 3 3" xfId="747"/>
    <cellStyle name="40% - Accent1 3 4" xfId="578"/>
    <cellStyle name="40% - Accent1 3 4 2" xfId="1482"/>
    <cellStyle name="40% - Accent1 3 4 2 2" xfId="2950"/>
    <cellStyle name="40% - Accent1 3 4 2 2 2" xfId="5872"/>
    <cellStyle name="40% - Accent1 3 4 2 3" xfId="4407"/>
    <cellStyle name="40% - Accent1 3 4 3" xfId="2356"/>
    <cellStyle name="40% - Accent1 3 4 3 2" xfId="5278"/>
    <cellStyle name="40% - Accent1 3 4 4" xfId="3805"/>
    <cellStyle name="40% - Accent1 3 5" xfId="1307"/>
    <cellStyle name="40% - Accent1 3 5 2" xfId="2775"/>
    <cellStyle name="40% - Accent1 3 5 2 2" xfId="5697"/>
    <cellStyle name="40% - Accent1 3 5 3" xfId="4232"/>
    <cellStyle name="40% - Accent1 3 6" xfId="2181"/>
    <cellStyle name="40% - Accent1 3 6 2" xfId="5103"/>
    <cellStyle name="40% - Accent1 3 7" xfId="3630"/>
    <cellStyle name="40% - Accent1 4" xfId="417"/>
    <cellStyle name="40% - Accent1 4 2" xfId="749"/>
    <cellStyle name="40% - Accent1 4 2 2" xfId="1641"/>
    <cellStyle name="40% - Accent1 4 2 2 2" xfId="3109"/>
    <cellStyle name="40% - Accent1 4 2 2 2 2" xfId="6031"/>
    <cellStyle name="40% - Accent1 4 2 2 3" xfId="4566"/>
    <cellStyle name="40% - Accent1 4 2 3" xfId="2515"/>
    <cellStyle name="40% - Accent1 4 2 3 2" xfId="5437"/>
    <cellStyle name="40% - Accent1 4 2 4" xfId="3964"/>
    <cellStyle name="40% - Accent1 4 3" xfId="599"/>
    <cellStyle name="40% - Accent1 4 3 2" xfId="1503"/>
    <cellStyle name="40% - Accent1 4 3 2 2" xfId="2971"/>
    <cellStyle name="40% - Accent1 4 3 2 2 2" xfId="5893"/>
    <cellStyle name="40% - Accent1 4 3 2 3" xfId="4428"/>
    <cellStyle name="40% - Accent1 4 3 3" xfId="2377"/>
    <cellStyle name="40% - Accent1 4 3 3 2" xfId="5299"/>
    <cellStyle name="40% - Accent1 4 3 4" xfId="3826"/>
    <cellStyle name="40% - Accent1 4 4" xfId="1328"/>
    <cellStyle name="40% - Accent1 4 4 2" xfId="2796"/>
    <cellStyle name="40% - Accent1 4 4 2 2" xfId="5718"/>
    <cellStyle name="40% - Accent1 4 4 3" xfId="4253"/>
    <cellStyle name="40% - Accent1 4 5" xfId="1945"/>
    <cellStyle name="40% - Accent1 4 5 2" xfId="3390"/>
    <cellStyle name="40% - Accent1 4 5 2 2" xfId="6312"/>
    <cellStyle name="40% - Accent1 4 5 3" xfId="4868"/>
    <cellStyle name="40% - Accent1 4 6" xfId="2202"/>
    <cellStyle name="40% - Accent1 4 6 2" xfId="5124"/>
    <cellStyle name="40% - Accent1 4 7" xfId="3651"/>
    <cellStyle name="40% - Accent1 4 8" xfId="6531"/>
    <cellStyle name="40% - Accent1 5" xfId="432"/>
    <cellStyle name="40% - Accent1 5 2" xfId="750"/>
    <cellStyle name="40% - Accent1 5 2 2" xfId="1642"/>
    <cellStyle name="40% - Accent1 5 2 2 2" xfId="3110"/>
    <cellStyle name="40% - Accent1 5 2 2 2 2" xfId="6032"/>
    <cellStyle name="40% - Accent1 5 2 2 3" xfId="4567"/>
    <cellStyle name="40% - Accent1 5 2 3" xfId="2516"/>
    <cellStyle name="40% - Accent1 5 2 3 2" xfId="5438"/>
    <cellStyle name="40% - Accent1 5 2 4" xfId="3965"/>
    <cellStyle name="40% - Accent1 5 3" xfId="614"/>
    <cellStyle name="40% - Accent1 5 3 2" xfId="1518"/>
    <cellStyle name="40% - Accent1 5 3 2 2" xfId="2986"/>
    <cellStyle name="40% - Accent1 5 3 2 2 2" xfId="5908"/>
    <cellStyle name="40% - Accent1 5 3 2 3" xfId="4443"/>
    <cellStyle name="40% - Accent1 5 3 3" xfId="2392"/>
    <cellStyle name="40% - Accent1 5 3 3 2" xfId="5314"/>
    <cellStyle name="40% - Accent1 5 3 4" xfId="3841"/>
    <cellStyle name="40% - Accent1 5 4" xfId="1343"/>
    <cellStyle name="40% - Accent1 5 4 2" xfId="2811"/>
    <cellStyle name="40% - Accent1 5 4 2 2" xfId="5733"/>
    <cellStyle name="40% - Accent1 5 4 3" xfId="4268"/>
    <cellStyle name="40% - Accent1 5 5" xfId="1946"/>
    <cellStyle name="40% - Accent1 5 5 2" xfId="3391"/>
    <cellStyle name="40% - Accent1 5 5 2 2" xfId="6313"/>
    <cellStyle name="40% - Accent1 5 5 3" xfId="4869"/>
    <cellStyle name="40% - Accent1 5 6" xfId="2217"/>
    <cellStyle name="40% - Accent1 5 6 2" xfId="5139"/>
    <cellStyle name="40% - Accent1 5 7" xfId="3666"/>
    <cellStyle name="40% - Accent1 5 8" xfId="6532"/>
    <cellStyle name="40% - Accent1 6" xfId="446"/>
    <cellStyle name="40% - Accent1 6 2" xfId="751"/>
    <cellStyle name="40% - Accent1 6 2 2" xfId="1643"/>
    <cellStyle name="40% - Accent1 6 2 2 2" xfId="3111"/>
    <cellStyle name="40% - Accent1 6 2 2 2 2" xfId="6033"/>
    <cellStyle name="40% - Accent1 6 2 2 3" xfId="4568"/>
    <cellStyle name="40% - Accent1 6 2 3" xfId="2517"/>
    <cellStyle name="40% - Accent1 6 2 3 2" xfId="5439"/>
    <cellStyle name="40% - Accent1 6 2 4" xfId="3966"/>
    <cellStyle name="40% - Accent1 6 3" xfId="628"/>
    <cellStyle name="40% - Accent1 6 3 2" xfId="1532"/>
    <cellStyle name="40% - Accent1 6 3 2 2" xfId="3000"/>
    <cellStyle name="40% - Accent1 6 3 2 2 2" xfId="5922"/>
    <cellStyle name="40% - Accent1 6 3 2 3" xfId="4457"/>
    <cellStyle name="40% - Accent1 6 3 3" xfId="2406"/>
    <cellStyle name="40% - Accent1 6 3 3 2" xfId="5328"/>
    <cellStyle name="40% - Accent1 6 3 4" xfId="3855"/>
    <cellStyle name="40% - Accent1 6 4" xfId="1357"/>
    <cellStyle name="40% - Accent1 6 4 2" xfId="2825"/>
    <cellStyle name="40% - Accent1 6 4 2 2" xfId="5747"/>
    <cellStyle name="40% - Accent1 6 4 3" xfId="4282"/>
    <cellStyle name="40% - Accent1 6 5" xfId="1947"/>
    <cellStyle name="40% - Accent1 6 5 2" xfId="3392"/>
    <cellStyle name="40% - Accent1 6 5 2 2" xfId="6314"/>
    <cellStyle name="40% - Accent1 6 5 3" xfId="4870"/>
    <cellStyle name="40% - Accent1 6 6" xfId="2231"/>
    <cellStyle name="40% - Accent1 6 6 2" xfId="5153"/>
    <cellStyle name="40% - Accent1 6 7" xfId="3680"/>
    <cellStyle name="40% - Accent1 6 8" xfId="6533"/>
    <cellStyle name="40% - Accent1 7" xfId="465"/>
    <cellStyle name="40% - Accent1 7 2" xfId="752"/>
    <cellStyle name="40% - Accent1 7 2 2" xfId="1644"/>
    <cellStyle name="40% - Accent1 7 2 2 2" xfId="3112"/>
    <cellStyle name="40% - Accent1 7 2 2 2 2" xfId="6034"/>
    <cellStyle name="40% - Accent1 7 2 2 3" xfId="4569"/>
    <cellStyle name="40% - Accent1 7 2 3" xfId="2518"/>
    <cellStyle name="40% - Accent1 7 2 3 2" xfId="5440"/>
    <cellStyle name="40% - Accent1 7 2 4" xfId="3967"/>
    <cellStyle name="40% - Accent1 7 3" xfId="647"/>
    <cellStyle name="40% - Accent1 7 3 2" xfId="1551"/>
    <cellStyle name="40% - Accent1 7 3 2 2" xfId="3019"/>
    <cellStyle name="40% - Accent1 7 3 2 2 2" xfId="5941"/>
    <cellStyle name="40% - Accent1 7 3 2 3" xfId="4476"/>
    <cellStyle name="40% - Accent1 7 3 3" xfId="2425"/>
    <cellStyle name="40% - Accent1 7 3 3 2" xfId="5347"/>
    <cellStyle name="40% - Accent1 7 3 4" xfId="3874"/>
    <cellStyle name="40% - Accent1 7 4" xfId="1376"/>
    <cellStyle name="40% - Accent1 7 4 2" xfId="2844"/>
    <cellStyle name="40% - Accent1 7 4 2 2" xfId="5766"/>
    <cellStyle name="40% - Accent1 7 4 3" xfId="4301"/>
    <cellStyle name="40% - Accent1 7 5" xfId="1948"/>
    <cellStyle name="40% - Accent1 7 5 2" xfId="3393"/>
    <cellStyle name="40% - Accent1 7 5 2 2" xfId="6315"/>
    <cellStyle name="40% - Accent1 7 5 3" xfId="4871"/>
    <cellStyle name="40% - Accent1 7 6" xfId="2250"/>
    <cellStyle name="40% - Accent1 7 6 2" xfId="5172"/>
    <cellStyle name="40% - Accent1 7 7" xfId="3699"/>
    <cellStyle name="40% - Accent1 7 8" xfId="6534"/>
    <cellStyle name="40% - Accent1 8" xfId="503"/>
    <cellStyle name="40% - Accent1 8 2" xfId="681"/>
    <cellStyle name="40% - Accent1 8 2 2" xfId="1585"/>
    <cellStyle name="40% - Accent1 8 2 2 2" xfId="3053"/>
    <cellStyle name="40% - Accent1 8 2 2 2 2" xfId="5975"/>
    <cellStyle name="40% - Accent1 8 2 2 3" xfId="4510"/>
    <cellStyle name="40% - Accent1 8 2 3" xfId="2459"/>
    <cellStyle name="40% - Accent1 8 2 3 2" xfId="5381"/>
    <cellStyle name="40% - Accent1 8 2 4" xfId="3908"/>
    <cellStyle name="40% - Accent1 8 3" xfId="1410"/>
    <cellStyle name="40% - Accent1 8 3 2" xfId="2878"/>
    <cellStyle name="40% - Accent1 8 3 2 2" xfId="5800"/>
    <cellStyle name="40% - Accent1 8 3 3" xfId="4335"/>
    <cellStyle name="40% - Accent1 8 4" xfId="2284"/>
    <cellStyle name="40% - Accent1 8 4 2" xfId="5206"/>
    <cellStyle name="40% - Accent1 8 5" xfId="3733"/>
    <cellStyle name="40% - Accent1 9" xfId="745"/>
    <cellStyle name="40% - Accent1 9 2" xfId="1639"/>
    <cellStyle name="40% - Accent1 9 2 2" xfId="3107"/>
    <cellStyle name="40% - Accent1 9 2 2 2" xfId="6029"/>
    <cellStyle name="40% - Accent1 9 2 3" xfId="4564"/>
    <cellStyle name="40% - Accent1 9 3" xfId="2513"/>
    <cellStyle name="40% - Accent1 9 3 2" xfId="5435"/>
    <cellStyle name="40% - Accent1 9 4" xfId="3962"/>
    <cellStyle name="40% - Accent2" xfId="370" builtinId="35" customBuiltin="1"/>
    <cellStyle name="40% - Accent2 10" xfId="561"/>
    <cellStyle name="40% - Accent2 10 2" xfId="1465"/>
    <cellStyle name="40% - Accent2 10 2 2" xfId="2933"/>
    <cellStyle name="40% - Accent2 10 2 2 2" xfId="5855"/>
    <cellStyle name="40% - Accent2 10 2 3" xfId="4390"/>
    <cellStyle name="40% - Accent2 10 3" xfId="2339"/>
    <cellStyle name="40% - Accent2 10 3 2" xfId="5261"/>
    <cellStyle name="40% - Accent2 10 4" xfId="3788"/>
    <cellStyle name="40% - Accent2 11" xfId="1240"/>
    <cellStyle name="40% - Accent2 11 2" xfId="1858"/>
    <cellStyle name="40% - Accent2 11 2 2" xfId="3306"/>
    <cellStyle name="40% - Accent2 11 2 2 2" xfId="6228"/>
    <cellStyle name="40% - Accent2 11 2 3" xfId="4783"/>
    <cellStyle name="40% - Accent2 11 3" xfId="2712"/>
    <cellStyle name="40% - Accent2 11 3 2" xfId="5634"/>
    <cellStyle name="40% - Accent2 11 4" xfId="4165"/>
    <cellStyle name="40% - Accent2 12" xfId="1290"/>
    <cellStyle name="40% - Accent2 12 2" xfId="2758"/>
    <cellStyle name="40% - Accent2 12 2 2" xfId="5680"/>
    <cellStyle name="40% - Accent2 12 3" xfId="4215"/>
    <cellStyle name="40% - Accent2 13" xfId="1876"/>
    <cellStyle name="40% - Accent2 13 2" xfId="3324"/>
    <cellStyle name="40% - Accent2 13 2 2" xfId="6246"/>
    <cellStyle name="40% - Accent2 13 3" xfId="4801"/>
    <cellStyle name="40% - Accent2 14" xfId="1949"/>
    <cellStyle name="40% - Accent2 14 2" xfId="3394"/>
    <cellStyle name="40% - Accent2 14 2 2" xfId="6316"/>
    <cellStyle name="40% - Accent2 14 3" xfId="4872"/>
    <cellStyle name="40% - Accent2 15" xfId="2164"/>
    <cellStyle name="40% - Accent2 15 2" xfId="5086"/>
    <cellStyle name="40% - Accent2 16" xfId="3613"/>
    <cellStyle name="40% - Accent2 17" xfId="6535"/>
    <cellStyle name="40% - Accent2 2" xfId="8"/>
    <cellStyle name="40% - Accent2 3" xfId="398"/>
    <cellStyle name="40% - Accent2 3 2" xfId="754"/>
    <cellStyle name="40% - Accent2 3 2 2" xfId="1646"/>
    <cellStyle name="40% - Accent2 3 2 2 2" xfId="3114"/>
    <cellStyle name="40% - Accent2 3 2 2 2 2" xfId="6036"/>
    <cellStyle name="40% - Accent2 3 2 2 3" xfId="4571"/>
    <cellStyle name="40% - Accent2 3 2 3" xfId="2520"/>
    <cellStyle name="40% - Accent2 3 2 3 2" xfId="5442"/>
    <cellStyle name="40% - Accent2 3 2 4" xfId="3969"/>
    <cellStyle name="40% - Accent2 3 3" xfId="580"/>
    <cellStyle name="40% - Accent2 3 3 2" xfId="1484"/>
    <cellStyle name="40% - Accent2 3 3 2 2" xfId="2952"/>
    <cellStyle name="40% - Accent2 3 3 2 2 2" xfId="5874"/>
    <cellStyle name="40% - Accent2 3 3 2 3" xfId="4409"/>
    <cellStyle name="40% - Accent2 3 3 3" xfId="2358"/>
    <cellStyle name="40% - Accent2 3 3 3 2" xfId="5280"/>
    <cellStyle name="40% - Accent2 3 3 4" xfId="3807"/>
    <cellStyle name="40% - Accent2 3 4" xfId="1309"/>
    <cellStyle name="40% - Accent2 3 4 2" xfId="2777"/>
    <cellStyle name="40% - Accent2 3 4 2 2" xfId="5699"/>
    <cellStyle name="40% - Accent2 3 4 3" xfId="4234"/>
    <cellStyle name="40% - Accent2 3 5" xfId="1950"/>
    <cellStyle name="40% - Accent2 3 5 2" xfId="3395"/>
    <cellStyle name="40% - Accent2 3 5 2 2" xfId="6317"/>
    <cellStyle name="40% - Accent2 3 5 3" xfId="4873"/>
    <cellStyle name="40% - Accent2 3 6" xfId="2183"/>
    <cellStyle name="40% - Accent2 3 6 2" xfId="5105"/>
    <cellStyle name="40% - Accent2 3 7" xfId="3632"/>
    <cellStyle name="40% - Accent2 3 8" xfId="6536"/>
    <cellStyle name="40% - Accent2 4" xfId="419"/>
    <cellStyle name="40% - Accent2 4 2" xfId="755"/>
    <cellStyle name="40% - Accent2 4 2 2" xfId="1647"/>
    <cellStyle name="40% - Accent2 4 2 2 2" xfId="3115"/>
    <cellStyle name="40% - Accent2 4 2 2 2 2" xfId="6037"/>
    <cellStyle name="40% - Accent2 4 2 2 3" xfId="4572"/>
    <cellStyle name="40% - Accent2 4 2 3" xfId="2521"/>
    <cellStyle name="40% - Accent2 4 2 3 2" xfId="5443"/>
    <cellStyle name="40% - Accent2 4 2 4" xfId="3970"/>
    <cellStyle name="40% - Accent2 4 3" xfId="601"/>
    <cellStyle name="40% - Accent2 4 3 2" xfId="1505"/>
    <cellStyle name="40% - Accent2 4 3 2 2" xfId="2973"/>
    <cellStyle name="40% - Accent2 4 3 2 2 2" xfId="5895"/>
    <cellStyle name="40% - Accent2 4 3 2 3" xfId="4430"/>
    <cellStyle name="40% - Accent2 4 3 3" xfId="2379"/>
    <cellStyle name="40% - Accent2 4 3 3 2" xfId="5301"/>
    <cellStyle name="40% - Accent2 4 3 4" xfId="3828"/>
    <cellStyle name="40% - Accent2 4 4" xfId="1330"/>
    <cellStyle name="40% - Accent2 4 4 2" xfId="2798"/>
    <cellStyle name="40% - Accent2 4 4 2 2" xfId="5720"/>
    <cellStyle name="40% - Accent2 4 4 3" xfId="4255"/>
    <cellStyle name="40% - Accent2 4 5" xfId="1951"/>
    <cellStyle name="40% - Accent2 4 5 2" xfId="3396"/>
    <cellStyle name="40% - Accent2 4 5 2 2" xfId="6318"/>
    <cellStyle name="40% - Accent2 4 5 3" xfId="4874"/>
    <cellStyle name="40% - Accent2 4 6" xfId="2204"/>
    <cellStyle name="40% - Accent2 4 6 2" xfId="5126"/>
    <cellStyle name="40% - Accent2 4 7" xfId="3653"/>
    <cellStyle name="40% - Accent2 4 8" xfId="6537"/>
    <cellStyle name="40% - Accent2 5" xfId="434"/>
    <cellStyle name="40% - Accent2 5 2" xfId="756"/>
    <cellStyle name="40% - Accent2 5 2 2" xfId="1648"/>
    <cellStyle name="40% - Accent2 5 2 2 2" xfId="3116"/>
    <cellStyle name="40% - Accent2 5 2 2 2 2" xfId="6038"/>
    <cellStyle name="40% - Accent2 5 2 2 3" xfId="4573"/>
    <cellStyle name="40% - Accent2 5 2 3" xfId="2522"/>
    <cellStyle name="40% - Accent2 5 2 3 2" xfId="5444"/>
    <cellStyle name="40% - Accent2 5 2 4" xfId="3971"/>
    <cellStyle name="40% - Accent2 5 3" xfId="616"/>
    <cellStyle name="40% - Accent2 5 3 2" xfId="1520"/>
    <cellStyle name="40% - Accent2 5 3 2 2" xfId="2988"/>
    <cellStyle name="40% - Accent2 5 3 2 2 2" xfId="5910"/>
    <cellStyle name="40% - Accent2 5 3 2 3" xfId="4445"/>
    <cellStyle name="40% - Accent2 5 3 3" xfId="2394"/>
    <cellStyle name="40% - Accent2 5 3 3 2" xfId="5316"/>
    <cellStyle name="40% - Accent2 5 3 4" xfId="3843"/>
    <cellStyle name="40% - Accent2 5 4" xfId="1345"/>
    <cellStyle name="40% - Accent2 5 4 2" xfId="2813"/>
    <cellStyle name="40% - Accent2 5 4 2 2" xfId="5735"/>
    <cellStyle name="40% - Accent2 5 4 3" xfId="4270"/>
    <cellStyle name="40% - Accent2 5 5" xfId="1952"/>
    <cellStyle name="40% - Accent2 5 5 2" xfId="3397"/>
    <cellStyle name="40% - Accent2 5 5 2 2" xfId="6319"/>
    <cellStyle name="40% - Accent2 5 5 3" xfId="4875"/>
    <cellStyle name="40% - Accent2 5 6" xfId="2219"/>
    <cellStyle name="40% - Accent2 5 6 2" xfId="5141"/>
    <cellStyle name="40% - Accent2 5 7" xfId="3668"/>
    <cellStyle name="40% - Accent2 5 8" xfId="6538"/>
    <cellStyle name="40% - Accent2 6" xfId="448"/>
    <cellStyle name="40% - Accent2 6 2" xfId="757"/>
    <cellStyle name="40% - Accent2 6 2 2" xfId="1649"/>
    <cellStyle name="40% - Accent2 6 2 2 2" xfId="3117"/>
    <cellStyle name="40% - Accent2 6 2 2 2 2" xfId="6039"/>
    <cellStyle name="40% - Accent2 6 2 2 3" xfId="4574"/>
    <cellStyle name="40% - Accent2 6 2 3" xfId="2523"/>
    <cellStyle name="40% - Accent2 6 2 3 2" xfId="5445"/>
    <cellStyle name="40% - Accent2 6 2 4" xfId="3972"/>
    <cellStyle name="40% - Accent2 6 3" xfId="630"/>
    <cellStyle name="40% - Accent2 6 3 2" xfId="1534"/>
    <cellStyle name="40% - Accent2 6 3 2 2" xfId="3002"/>
    <cellStyle name="40% - Accent2 6 3 2 2 2" xfId="5924"/>
    <cellStyle name="40% - Accent2 6 3 2 3" xfId="4459"/>
    <cellStyle name="40% - Accent2 6 3 3" xfId="2408"/>
    <cellStyle name="40% - Accent2 6 3 3 2" xfId="5330"/>
    <cellStyle name="40% - Accent2 6 3 4" xfId="3857"/>
    <cellStyle name="40% - Accent2 6 4" xfId="1359"/>
    <cellStyle name="40% - Accent2 6 4 2" xfId="2827"/>
    <cellStyle name="40% - Accent2 6 4 2 2" xfId="5749"/>
    <cellStyle name="40% - Accent2 6 4 3" xfId="4284"/>
    <cellStyle name="40% - Accent2 6 5" xfId="1953"/>
    <cellStyle name="40% - Accent2 6 5 2" xfId="3398"/>
    <cellStyle name="40% - Accent2 6 5 2 2" xfId="6320"/>
    <cellStyle name="40% - Accent2 6 5 3" xfId="4876"/>
    <cellStyle name="40% - Accent2 6 6" xfId="2233"/>
    <cellStyle name="40% - Accent2 6 6 2" xfId="5155"/>
    <cellStyle name="40% - Accent2 6 7" xfId="3682"/>
    <cellStyle name="40% - Accent2 6 8" xfId="6539"/>
    <cellStyle name="40% - Accent2 7" xfId="467"/>
    <cellStyle name="40% - Accent2 7 2" xfId="758"/>
    <cellStyle name="40% - Accent2 7 2 2" xfId="1650"/>
    <cellStyle name="40% - Accent2 7 2 2 2" xfId="3118"/>
    <cellStyle name="40% - Accent2 7 2 2 2 2" xfId="6040"/>
    <cellStyle name="40% - Accent2 7 2 2 3" xfId="4575"/>
    <cellStyle name="40% - Accent2 7 2 3" xfId="2524"/>
    <cellStyle name="40% - Accent2 7 2 3 2" xfId="5446"/>
    <cellStyle name="40% - Accent2 7 2 4" xfId="3973"/>
    <cellStyle name="40% - Accent2 7 3" xfId="649"/>
    <cellStyle name="40% - Accent2 7 3 2" xfId="1553"/>
    <cellStyle name="40% - Accent2 7 3 2 2" xfId="3021"/>
    <cellStyle name="40% - Accent2 7 3 2 2 2" xfId="5943"/>
    <cellStyle name="40% - Accent2 7 3 2 3" xfId="4478"/>
    <cellStyle name="40% - Accent2 7 3 3" xfId="2427"/>
    <cellStyle name="40% - Accent2 7 3 3 2" xfId="5349"/>
    <cellStyle name="40% - Accent2 7 3 4" xfId="3876"/>
    <cellStyle name="40% - Accent2 7 4" xfId="1378"/>
    <cellStyle name="40% - Accent2 7 4 2" xfId="2846"/>
    <cellStyle name="40% - Accent2 7 4 2 2" xfId="5768"/>
    <cellStyle name="40% - Accent2 7 4 3" xfId="4303"/>
    <cellStyle name="40% - Accent2 7 5" xfId="1954"/>
    <cellStyle name="40% - Accent2 7 5 2" xfId="3399"/>
    <cellStyle name="40% - Accent2 7 5 2 2" xfId="6321"/>
    <cellStyle name="40% - Accent2 7 5 3" xfId="4877"/>
    <cellStyle name="40% - Accent2 7 6" xfId="2252"/>
    <cellStyle name="40% - Accent2 7 6 2" xfId="5174"/>
    <cellStyle name="40% - Accent2 7 7" xfId="3701"/>
    <cellStyle name="40% - Accent2 7 8" xfId="6540"/>
    <cellStyle name="40% - Accent2 8" xfId="505"/>
    <cellStyle name="40% - Accent2 8 2" xfId="683"/>
    <cellStyle name="40% - Accent2 8 2 2" xfId="1587"/>
    <cellStyle name="40% - Accent2 8 2 2 2" xfId="3055"/>
    <cellStyle name="40% - Accent2 8 2 2 2 2" xfId="5977"/>
    <cellStyle name="40% - Accent2 8 2 2 3" xfId="4512"/>
    <cellStyle name="40% - Accent2 8 2 3" xfId="2461"/>
    <cellStyle name="40% - Accent2 8 2 3 2" xfId="5383"/>
    <cellStyle name="40% - Accent2 8 2 4" xfId="3910"/>
    <cellStyle name="40% - Accent2 8 3" xfId="1412"/>
    <cellStyle name="40% - Accent2 8 3 2" xfId="2880"/>
    <cellStyle name="40% - Accent2 8 3 2 2" xfId="5802"/>
    <cellStyle name="40% - Accent2 8 3 3" xfId="4337"/>
    <cellStyle name="40% - Accent2 8 4" xfId="2286"/>
    <cellStyle name="40% - Accent2 8 4 2" xfId="5208"/>
    <cellStyle name="40% - Accent2 8 5" xfId="3735"/>
    <cellStyle name="40% - Accent2 9" xfId="753"/>
    <cellStyle name="40% - Accent2 9 2" xfId="1645"/>
    <cellStyle name="40% - Accent2 9 2 2" xfId="3113"/>
    <cellStyle name="40% - Accent2 9 2 2 2" xfId="6035"/>
    <cellStyle name="40% - Accent2 9 2 3" xfId="4570"/>
    <cellStyle name="40% - Accent2 9 3" xfId="2519"/>
    <cellStyle name="40% - Accent2 9 3 2" xfId="5441"/>
    <cellStyle name="40% - Accent2 9 4" xfId="3968"/>
    <cellStyle name="40% - Accent3" xfId="374" builtinId="39" customBuiltin="1"/>
    <cellStyle name="40% - Accent3 10" xfId="563"/>
    <cellStyle name="40% - Accent3 10 2" xfId="1467"/>
    <cellStyle name="40% - Accent3 10 2 2" xfId="2935"/>
    <cellStyle name="40% - Accent3 10 2 2 2" xfId="5857"/>
    <cellStyle name="40% - Accent3 10 2 3" xfId="4392"/>
    <cellStyle name="40% - Accent3 10 3" xfId="2341"/>
    <cellStyle name="40% - Accent3 10 3 2" xfId="5263"/>
    <cellStyle name="40% - Accent3 10 4" xfId="3790"/>
    <cellStyle name="40% - Accent3 11" xfId="1242"/>
    <cellStyle name="40% - Accent3 11 2" xfId="1860"/>
    <cellStyle name="40% - Accent3 11 2 2" xfId="3308"/>
    <cellStyle name="40% - Accent3 11 2 2 2" xfId="6230"/>
    <cellStyle name="40% - Accent3 11 2 3" xfId="4785"/>
    <cellStyle name="40% - Accent3 11 3" xfId="2714"/>
    <cellStyle name="40% - Accent3 11 3 2" xfId="5636"/>
    <cellStyle name="40% - Accent3 11 4" xfId="4167"/>
    <cellStyle name="40% - Accent3 12" xfId="1292"/>
    <cellStyle name="40% - Accent3 12 2" xfId="2760"/>
    <cellStyle name="40% - Accent3 12 2 2" xfId="5682"/>
    <cellStyle name="40% - Accent3 12 3" xfId="4217"/>
    <cellStyle name="40% - Accent3 13" xfId="1878"/>
    <cellStyle name="40% - Accent3 13 2" xfId="3326"/>
    <cellStyle name="40% - Accent3 13 2 2" xfId="6248"/>
    <cellStyle name="40% - Accent3 13 3" xfId="4803"/>
    <cellStyle name="40% - Accent3 14" xfId="1955"/>
    <cellStyle name="40% - Accent3 14 2" xfId="3400"/>
    <cellStyle name="40% - Accent3 14 2 2" xfId="6322"/>
    <cellStyle name="40% - Accent3 14 3" xfId="4878"/>
    <cellStyle name="40% - Accent3 15" xfId="2166"/>
    <cellStyle name="40% - Accent3 15 2" xfId="5088"/>
    <cellStyle name="40% - Accent3 16" xfId="3615"/>
    <cellStyle name="40% - Accent3 17" xfId="6541"/>
    <cellStyle name="40% - Accent3 2" xfId="9"/>
    <cellStyle name="40% - Accent3 2 2" xfId="760"/>
    <cellStyle name="40% - Accent3 3" xfId="400"/>
    <cellStyle name="40% - Accent3 3 2" xfId="762"/>
    <cellStyle name="40% - Accent3 3 2 2" xfId="1652"/>
    <cellStyle name="40% - Accent3 3 2 2 2" xfId="3120"/>
    <cellStyle name="40% - Accent3 3 2 2 2 2" xfId="6042"/>
    <cellStyle name="40% - Accent3 3 2 2 3" xfId="4577"/>
    <cellStyle name="40% - Accent3 3 2 3" xfId="1956"/>
    <cellStyle name="40% - Accent3 3 2 3 2" xfId="3401"/>
    <cellStyle name="40% - Accent3 3 2 3 2 2" xfId="6323"/>
    <cellStyle name="40% - Accent3 3 2 3 3" xfId="4879"/>
    <cellStyle name="40% - Accent3 3 2 4" xfId="2526"/>
    <cellStyle name="40% - Accent3 3 2 4 2" xfId="5448"/>
    <cellStyle name="40% - Accent3 3 2 5" xfId="3975"/>
    <cellStyle name="40% - Accent3 3 2 6" xfId="6542"/>
    <cellStyle name="40% - Accent3 3 3" xfId="761"/>
    <cellStyle name="40% - Accent3 3 4" xfId="582"/>
    <cellStyle name="40% - Accent3 3 4 2" xfId="1486"/>
    <cellStyle name="40% - Accent3 3 4 2 2" xfId="2954"/>
    <cellStyle name="40% - Accent3 3 4 2 2 2" xfId="5876"/>
    <cellStyle name="40% - Accent3 3 4 2 3" xfId="4411"/>
    <cellStyle name="40% - Accent3 3 4 3" xfId="2360"/>
    <cellStyle name="40% - Accent3 3 4 3 2" xfId="5282"/>
    <cellStyle name="40% - Accent3 3 4 4" xfId="3809"/>
    <cellStyle name="40% - Accent3 3 5" xfId="1311"/>
    <cellStyle name="40% - Accent3 3 5 2" xfId="2779"/>
    <cellStyle name="40% - Accent3 3 5 2 2" xfId="5701"/>
    <cellStyle name="40% - Accent3 3 5 3" xfId="4236"/>
    <cellStyle name="40% - Accent3 3 6" xfId="2185"/>
    <cellStyle name="40% - Accent3 3 6 2" xfId="5107"/>
    <cellStyle name="40% - Accent3 3 7" xfId="3634"/>
    <cellStyle name="40% - Accent3 4" xfId="421"/>
    <cellStyle name="40% - Accent3 4 2" xfId="763"/>
    <cellStyle name="40% - Accent3 4 2 2" xfId="1653"/>
    <cellStyle name="40% - Accent3 4 2 2 2" xfId="3121"/>
    <cellStyle name="40% - Accent3 4 2 2 2 2" xfId="6043"/>
    <cellStyle name="40% - Accent3 4 2 2 3" xfId="4578"/>
    <cellStyle name="40% - Accent3 4 2 3" xfId="2527"/>
    <cellStyle name="40% - Accent3 4 2 3 2" xfId="5449"/>
    <cellStyle name="40% - Accent3 4 2 4" xfId="3976"/>
    <cellStyle name="40% - Accent3 4 3" xfId="603"/>
    <cellStyle name="40% - Accent3 4 3 2" xfId="1507"/>
    <cellStyle name="40% - Accent3 4 3 2 2" xfId="2975"/>
    <cellStyle name="40% - Accent3 4 3 2 2 2" xfId="5897"/>
    <cellStyle name="40% - Accent3 4 3 2 3" xfId="4432"/>
    <cellStyle name="40% - Accent3 4 3 3" xfId="2381"/>
    <cellStyle name="40% - Accent3 4 3 3 2" xfId="5303"/>
    <cellStyle name="40% - Accent3 4 3 4" xfId="3830"/>
    <cellStyle name="40% - Accent3 4 4" xfId="1332"/>
    <cellStyle name="40% - Accent3 4 4 2" xfId="2800"/>
    <cellStyle name="40% - Accent3 4 4 2 2" xfId="5722"/>
    <cellStyle name="40% - Accent3 4 4 3" xfId="4257"/>
    <cellStyle name="40% - Accent3 4 5" xfId="1957"/>
    <cellStyle name="40% - Accent3 4 5 2" xfId="3402"/>
    <cellStyle name="40% - Accent3 4 5 2 2" xfId="6324"/>
    <cellStyle name="40% - Accent3 4 5 3" xfId="4880"/>
    <cellStyle name="40% - Accent3 4 6" xfId="2206"/>
    <cellStyle name="40% - Accent3 4 6 2" xfId="5128"/>
    <cellStyle name="40% - Accent3 4 7" xfId="3655"/>
    <cellStyle name="40% - Accent3 4 8" xfId="6543"/>
    <cellStyle name="40% - Accent3 5" xfId="436"/>
    <cellStyle name="40% - Accent3 5 2" xfId="764"/>
    <cellStyle name="40% - Accent3 5 2 2" xfId="1654"/>
    <cellStyle name="40% - Accent3 5 2 2 2" xfId="3122"/>
    <cellStyle name="40% - Accent3 5 2 2 2 2" xfId="6044"/>
    <cellStyle name="40% - Accent3 5 2 2 3" xfId="4579"/>
    <cellStyle name="40% - Accent3 5 2 3" xfId="2528"/>
    <cellStyle name="40% - Accent3 5 2 3 2" xfId="5450"/>
    <cellStyle name="40% - Accent3 5 2 4" xfId="3977"/>
    <cellStyle name="40% - Accent3 5 3" xfId="618"/>
    <cellStyle name="40% - Accent3 5 3 2" xfId="1522"/>
    <cellStyle name="40% - Accent3 5 3 2 2" xfId="2990"/>
    <cellStyle name="40% - Accent3 5 3 2 2 2" xfId="5912"/>
    <cellStyle name="40% - Accent3 5 3 2 3" xfId="4447"/>
    <cellStyle name="40% - Accent3 5 3 3" xfId="2396"/>
    <cellStyle name="40% - Accent3 5 3 3 2" xfId="5318"/>
    <cellStyle name="40% - Accent3 5 3 4" xfId="3845"/>
    <cellStyle name="40% - Accent3 5 4" xfId="1347"/>
    <cellStyle name="40% - Accent3 5 4 2" xfId="2815"/>
    <cellStyle name="40% - Accent3 5 4 2 2" xfId="5737"/>
    <cellStyle name="40% - Accent3 5 4 3" xfId="4272"/>
    <cellStyle name="40% - Accent3 5 5" xfId="1958"/>
    <cellStyle name="40% - Accent3 5 5 2" xfId="3403"/>
    <cellStyle name="40% - Accent3 5 5 2 2" xfId="6325"/>
    <cellStyle name="40% - Accent3 5 5 3" xfId="4881"/>
    <cellStyle name="40% - Accent3 5 6" xfId="2221"/>
    <cellStyle name="40% - Accent3 5 6 2" xfId="5143"/>
    <cellStyle name="40% - Accent3 5 7" xfId="3670"/>
    <cellStyle name="40% - Accent3 5 8" xfId="6544"/>
    <cellStyle name="40% - Accent3 6" xfId="450"/>
    <cellStyle name="40% - Accent3 6 2" xfId="765"/>
    <cellStyle name="40% - Accent3 6 2 2" xfId="1655"/>
    <cellStyle name="40% - Accent3 6 2 2 2" xfId="3123"/>
    <cellStyle name="40% - Accent3 6 2 2 2 2" xfId="6045"/>
    <cellStyle name="40% - Accent3 6 2 2 3" xfId="4580"/>
    <cellStyle name="40% - Accent3 6 2 3" xfId="2529"/>
    <cellStyle name="40% - Accent3 6 2 3 2" xfId="5451"/>
    <cellStyle name="40% - Accent3 6 2 4" xfId="3978"/>
    <cellStyle name="40% - Accent3 6 3" xfId="632"/>
    <cellStyle name="40% - Accent3 6 3 2" xfId="1536"/>
    <cellStyle name="40% - Accent3 6 3 2 2" xfId="3004"/>
    <cellStyle name="40% - Accent3 6 3 2 2 2" xfId="5926"/>
    <cellStyle name="40% - Accent3 6 3 2 3" xfId="4461"/>
    <cellStyle name="40% - Accent3 6 3 3" xfId="2410"/>
    <cellStyle name="40% - Accent3 6 3 3 2" xfId="5332"/>
    <cellStyle name="40% - Accent3 6 3 4" xfId="3859"/>
    <cellStyle name="40% - Accent3 6 4" xfId="1361"/>
    <cellStyle name="40% - Accent3 6 4 2" xfId="2829"/>
    <cellStyle name="40% - Accent3 6 4 2 2" xfId="5751"/>
    <cellStyle name="40% - Accent3 6 4 3" xfId="4286"/>
    <cellStyle name="40% - Accent3 6 5" xfId="1959"/>
    <cellStyle name="40% - Accent3 6 5 2" xfId="3404"/>
    <cellStyle name="40% - Accent3 6 5 2 2" xfId="6326"/>
    <cellStyle name="40% - Accent3 6 5 3" xfId="4882"/>
    <cellStyle name="40% - Accent3 6 6" xfId="2235"/>
    <cellStyle name="40% - Accent3 6 6 2" xfId="5157"/>
    <cellStyle name="40% - Accent3 6 7" xfId="3684"/>
    <cellStyle name="40% - Accent3 6 8" xfId="6545"/>
    <cellStyle name="40% - Accent3 7" xfId="469"/>
    <cellStyle name="40% - Accent3 7 2" xfId="766"/>
    <cellStyle name="40% - Accent3 7 2 2" xfId="1656"/>
    <cellStyle name="40% - Accent3 7 2 2 2" xfId="3124"/>
    <cellStyle name="40% - Accent3 7 2 2 2 2" xfId="6046"/>
    <cellStyle name="40% - Accent3 7 2 2 3" xfId="4581"/>
    <cellStyle name="40% - Accent3 7 2 3" xfId="2530"/>
    <cellStyle name="40% - Accent3 7 2 3 2" xfId="5452"/>
    <cellStyle name="40% - Accent3 7 2 4" xfId="3979"/>
    <cellStyle name="40% - Accent3 7 3" xfId="651"/>
    <cellStyle name="40% - Accent3 7 3 2" xfId="1555"/>
    <cellStyle name="40% - Accent3 7 3 2 2" xfId="3023"/>
    <cellStyle name="40% - Accent3 7 3 2 2 2" xfId="5945"/>
    <cellStyle name="40% - Accent3 7 3 2 3" xfId="4480"/>
    <cellStyle name="40% - Accent3 7 3 3" xfId="2429"/>
    <cellStyle name="40% - Accent3 7 3 3 2" xfId="5351"/>
    <cellStyle name="40% - Accent3 7 3 4" xfId="3878"/>
    <cellStyle name="40% - Accent3 7 4" xfId="1380"/>
    <cellStyle name="40% - Accent3 7 4 2" xfId="2848"/>
    <cellStyle name="40% - Accent3 7 4 2 2" xfId="5770"/>
    <cellStyle name="40% - Accent3 7 4 3" xfId="4305"/>
    <cellStyle name="40% - Accent3 7 5" xfId="1960"/>
    <cellStyle name="40% - Accent3 7 5 2" xfId="3405"/>
    <cellStyle name="40% - Accent3 7 5 2 2" xfId="6327"/>
    <cellStyle name="40% - Accent3 7 5 3" xfId="4883"/>
    <cellStyle name="40% - Accent3 7 6" xfId="2254"/>
    <cellStyle name="40% - Accent3 7 6 2" xfId="5176"/>
    <cellStyle name="40% - Accent3 7 7" xfId="3703"/>
    <cellStyle name="40% - Accent3 7 8" xfId="6546"/>
    <cellStyle name="40% - Accent3 8" xfId="507"/>
    <cellStyle name="40% - Accent3 8 2" xfId="685"/>
    <cellStyle name="40% - Accent3 8 2 2" xfId="1589"/>
    <cellStyle name="40% - Accent3 8 2 2 2" xfId="3057"/>
    <cellStyle name="40% - Accent3 8 2 2 2 2" xfId="5979"/>
    <cellStyle name="40% - Accent3 8 2 2 3" xfId="4514"/>
    <cellStyle name="40% - Accent3 8 2 3" xfId="2463"/>
    <cellStyle name="40% - Accent3 8 2 3 2" xfId="5385"/>
    <cellStyle name="40% - Accent3 8 2 4" xfId="3912"/>
    <cellStyle name="40% - Accent3 8 3" xfId="1414"/>
    <cellStyle name="40% - Accent3 8 3 2" xfId="2882"/>
    <cellStyle name="40% - Accent3 8 3 2 2" xfId="5804"/>
    <cellStyle name="40% - Accent3 8 3 3" xfId="4339"/>
    <cellStyle name="40% - Accent3 8 4" xfId="2288"/>
    <cellStyle name="40% - Accent3 8 4 2" xfId="5210"/>
    <cellStyle name="40% - Accent3 8 5" xfId="3737"/>
    <cellStyle name="40% - Accent3 9" xfId="759"/>
    <cellStyle name="40% - Accent3 9 2" xfId="1651"/>
    <cellStyle name="40% - Accent3 9 2 2" xfId="3119"/>
    <cellStyle name="40% - Accent3 9 2 2 2" xfId="6041"/>
    <cellStyle name="40% - Accent3 9 2 3" xfId="4576"/>
    <cellStyle name="40% - Accent3 9 3" xfId="2525"/>
    <cellStyle name="40% - Accent3 9 3 2" xfId="5447"/>
    <cellStyle name="40% - Accent3 9 4" xfId="3974"/>
    <cellStyle name="40% - Accent4" xfId="378" builtinId="43" customBuiltin="1"/>
    <cellStyle name="40% - Accent4 10" xfId="565"/>
    <cellStyle name="40% - Accent4 10 2" xfId="1469"/>
    <cellStyle name="40% - Accent4 10 2 2" xfId="2937"/>
    <cellStyle name="40% - Accent4 10 2 2 2" xfId="5859"/>
    <cellStyle name="40% - Accent4 10 2 3" xfId="4394"/>
    <cellStyle name="40% - Accent4 10 3" xfId="2343"/>
    <cellStyle name="40% - Accent4 10 3 2" xfId="5265"/>
    <cellStyle name="40% - Accent4 10 4" xfId="3792"/>
    <cellStyle name="40% - Accent4 11" xfId="1244"/>
    <cellStyle name="40% - Accent4 11 2" xfId="1862"/>
    <cellStyle name="40% - Accent4 11 2 2" xfId="3310"/>
    <cellStyle name="40% - Accent4 11 2 2 2" xfId="6232"/>
    <cellStyle name="40% - Accent4 11 2 3" xfId="4787"/>
    <cellStyle name="40% - Accent4 11 3" xfId="2716"/>
    <cellStyle name="40% - Accent4 11 3 2" xfId="5638"/>
    <cellStyle name="40% - Accent4 11 4" xfId="4169"/>
    <cellStyle name="40% - Accent4 12" xfId="1294"/>
    <cellStyle name="40% - Accent4 12 2" xfId="2762"/>
    <cellStyle name="40% - Accent4 12 2 2" xfId="5684"/>
    <cellStyle name="40% - Accent4 12 3" xfId="4219"/>
    <cellStyle name="40% - Accent4 13" xfId="1880"/>
    <cellStyle name="40% - Accent4 13 2" xfId="3328"/>
    <cellStyle name="40% - Accent4 13 2 2" xfId="6250"/>
    <cellStyle name="40% - Accent4 13 3" xfId="4805"/>
    <cellStyle name="40% - Accent4 14" xfId="1961"/>
    <cellStyle name="40% - Accent4 14 2" xfId="3406"/>
    <cellStyle name="40% - Accent4 14 2 2" xfId="6328"/>
    <cellStyle name="40% - Accent4 14 3" xfId="4884"/>
    <cellStyle name="40% - Accent4 15" xfId="2168"/>
    <cellStyle name="40% - Accent4 15 2" xfId="5090"/>
    <cellStyle name="40% - Accent4 16" xfId="3617"/>
    <cellStyle name="40% - Accent4 17" xfId="6547"/>
    <cellStyle name="40% - Accent4 2" xfId="10"/>
    <cellStyle name="40% - Accent4 2 2" xfId="768"/>
    <cellStyle name="40% - Accent4 3" xfId="402"/>
    <cellStyle name="40% - Accent4 3 2" xfId="770"/>
    <cellStyle name="40% - Accent4 3 2 2" xfId="1658"/>
    <cellStyle name="40% - Accent4 3 2 2 2" xfId="3126"/>
    <cellStyle name="40% - Accent4 3 2 2 2 2" xfId="6048"/>
    <cellStyle name="40% - Accent4 3 2 2 3" xfId="4583"/>
    <cellStyle name="40% - Accent4 3 2 3" xfId="1962"/>
    <cellStyle name="40% - Accent4 3 2 3 2" xfId="3407"/>
    <cellStyle name="40% - Accent4 3 2 3 2 2" xfId="6329"/>
    <cellStyle name="40% - Accent4 3 2 3 3" xfId="4885"/>
    <cellStyle name="40% - Accent4 3 2 4" xfId="2532"/>
    <cellStyle name="40% - Accent4 3 2 4 2" xfId="5454"/>
    <cellStyle name="40% - Accent4 3 2 5" xfId="3981"/>
    <cellStyle name="40% - Accent4 3 2 6" xfId="6548"/>
    <cellStyle name="40% - Accent4 3 3" xfId="769"/>
    <cellStyle name="40% - Accent4 3 4" xfId="584"/>
    <cellStyle name="40% - Accent4 3 4 2" xfId="1488"/>
    <cellStyle name="40% - Accent4 3 4 2 2" xfId="2956"/>
    <cellStyle name="40% - Accent4 3 4 2 2 2" xfId="5878"/>
    <cellStyle name="40% - Accent4 3 4 2 3" xfId="4413"/>
    <cellStyle name="40% - Accent4 3 4 3" xfId="2362"/>
    <cellStyle name="40% - Accent4 3 4 3 2" xfId="5284"/>
    <cellStyle name="40% - Accent4 3 4 4" xfId="3811"/>
    <cellStyle name="40% - Accent4 3 5" xfId="1313"/>
    <cellStyle name="40% - Accent4 3 5 2" xfId="2781"/>
    <cellStyle name="40% - Accent4 3 5 2 2" xfId="5703"/>
    <cellStyle name="40% - Accent4 3 5 3" xfId="4238"/>
    <cellStyle name="40% - Accent4 3 6" xfId="2187"/>
    <cellStyle name="40% - Accent4 3 6 2" xfId="5109"/>
    <cellStyle name="40% - Accent4 3 7" xfId="3636"/>
    <cellStyle name="40% - Accent4 4" xfId="423"/>
    <cellStyle name="40% - Accent4 4 2" xfId="771"/>
    <cellStyle name="40% - Accent4 4 2 2" xfId="1659"/>
    <cellStyle name="40% - Accent4 4 2 2 2" xfId="3127"/>
    <cellStyle name="40% - Accent4 4 2 2 2 2" xfId="6049"/>
    <cellStyle name="40% - Accent4 4 2 2 3" xfId="4584"/>
    <cellStyle name="40% - Accent4 4 2 3" xfId="2533"/>
    <cellStyle name="40% - Accent4 4 2 3 2" xfId="5455"/>
    <cellStyle name="40% - Accent4 4 2 4" xfId="3982"/>
    <cellStyle name="40% - Accent4 4 3" xfId="605"/>
    <cellStyle name="40% - Accent4 4 3 2" xfId="1509"/>
    <cellStyle name="40% - Accent4 4 3 2 2" xfId="2977"/>
    <cellStyle name="40% - Accent4 4 3 2 2 2" xfId="5899"/>
    <cellStyle name="40% - Accent4 4 3 2 3" xfId="4434"/>
    <cellStyle name="40% - Accent4 4 3 3" xfId="2383"/>
    <cellStyle name="40% - Accent4 4 3 3 2" xfId="5305"/>
    <cellStyle name="40% - Accent4 4 3 4" xfId="3832"/>
    <cellStyle name="40% - Accent4 4 4" xfId="1334"/>
    <cellStyle name="40% - Accent4 4 4 2" xfId="2802"/>
    <cellStyle name="40% - Accent4 4 4 2 2" xfId="5724"/>
    <cellStyle name="40% - Accent4 4 4 3" xfId="4259"/>
    <cellStyle name="40% - Accent4 4 5" xfId="1963"/>
    <cellStyle name="40% - Accent4 4 5 2" xfId="3408"/>
    <cellStyle name="40% - Accent4 4 5 2 2" xfId="6330"/>
    <cellStyle name="40% - Accent4 4 5 3" xfId="4886"/>
    <cellStyle name="40% - Accent4 4 6" xfId="2208"/>
    <cellStyle name="40% - Accent4 4 6 2" xfId="5130"/>
    <cellStyle name="40% - Accent4 4 7" xfId="3657"/>
    <cellStyle name="40% - Accent4 4 8" xfId="6549"/>
    <cellStyle name="40% - Accent4 5" xfId="438"/>
    <cellStyle name="40% - Accent4 5 2" xfId="772"/>
    <cellStyle name="40% - Accent4 5 2 2" xfId="1660"/>
    <cellStyle name="40% - Accent4 5 2 2 2" xfId="3128"/>
    <cellStyle name="40% - Accent4 5 2 2 2 2" xfId="6050"/>
    <cellStyle name="40% - Accent4 5 2 2 3" xfId="4585"/>
    <cellStyle name="40% - Accent4 5 2 3" xfId="2534"/>
    <cellStyle name="40% - Accent4 5 2 3 2" xfId="5456"/>
    <cellStyle name="40% - Accent4 5 2 4" xfId="3983"/>
    <cellStyle name="40% - Accent4 5 3" xfId="620"/>
    <cellStyle name="40% - Accent4 5 3 2" xfId="1524"/>
    <cellStyle name="40% - Accent4 5 3 2 2" xfId="2992"/>
    <cellStyle name="40% - Accent4 5 3 2 2 2" xfId="5914"/>
    <cellStyle name="40% - Accent4 5 3 2 3" xfId="4449"/>
    <cellStyle name="40% - Accent4 5 3 3" xfId="2398"/>
    <cellStyle name="40% - Accent4 5 3 3 2" xfId="5320"/>
    <cellStyle name="40% - Accent4 5 3 4" xfId="3847"/>
    <cellStyle name="40% - Accent4 5 4" xfId="1349"/>
    <cellStyle name="40% - Accent4 5 4 2" xfId="2817"/>
    <cellStyle name="40% - Accent4 5 4 2 2" xfId="5739"/>
    <cellStyle name="40% - Accent4 5 4 3" xfId="4274"/>
    <cellStyle name="40% - Accent4 5 5" xfId="1964"/>
    <cellStyle name="40% - Accent4 5 5 2" xfId="3409"/>
    <cellStyle name="40% - Accent4 5 5 2 2" xfId="6331"/>
    <cellStyle name="40% - Accent4 5 5 3" xfId="4887"/>
    <cellStyle name="40% - Accent4 5 6" xfId="2223"/>
    <cellStyle name="40% - Accent4 5 6 2" xfId="5145"/>
    <cellStyle name="40% - Accent4 5 7" xfId="3672"/>
    <cellStyle name="40% - Accent4 5 8" xfId="6550"/>
    <cellStyle name="40% - Accent4 6" xfId="452"/>
    <cellStyle name="40% - Accent4 6 2" xfId="773"/>
    <cellStyle name="40% - Accent4 6 2 2" xfId="1661"/>
    <cellStyle name="40% - Accent4 6 2 2 2" xfId="3129"/>
    <cellStyle name="40% - Accent4 6 2 2 2 2" xfId="6051"/>
    <cellStyle name="40% - Accent4 6 2 2 3" xfId="4586"/>
    <cellStyle name="40% - Accent4 6 2 3" xfId="2535"/>
    <cellStyle name="40% - Accent4 6 2 3 2" xfId="5457"/>
    <cellStyle name="40% - Accent4 6 2 4" xfId="3984"/>
    <cellStyle name="40% - Accent4 6 3" xfId="634"/>
    <cellStyle name="40% - Accent4 6 3 2" xfId="1538"/>
    <cellStyle name="40% - Accent4 6 3 2 2" xfId="3006"/>
    <cellStyle name="40% - Accent4 6 3 2 2 2" xfId="5928"/>
    <cellStyle name="40% - Accent4 6 3 2 3" xfId="4463"/>
    <cellStyle name="40% - Accent4 6 3 3" xfId="2412"/>
    <cellStyle name="40% - Accent4 6 3 3 2" xfId="5334"/>
    <cellStyle name="40% - Accent4 6 3 4" xfId="3861"/>
    <cellStyle name="40% - Accent4 6 4" xfId="1363"/>
    <cellStyle name="40% - Accent4 6 4 2" xfId="2831"/>
    <cellStyle name="40% - Accent4 6 4 2 2" xfId="5753"/>
    <cellStyle name="40% - Accent4 6 4 3" xfId="4288"/>
    <cellStyle name="40% - Accent4 6 5" xfId="1965"/>
    <cellStyle name="40% - Accent4 6 5 2" xfId="3410"/>
    <cellStyle name="40% - Accent4 6 5 2 2" xfId="6332"/>
    <cellStyle name="40% - Accent4 6 5 3" xfId="4888"/>
    <cellStyle name="40% - Accent4 6 6" xfId="2237"/>
    <cellStyle name="40% - Accent4 6 6 2" xfId="5159"/>
    <cellStyle name="40% - Accent4 6 7" xfId="3686"/>
    <cellStyle name="40% - Accent4 6 8" xfId="6551"/>
    <cellStyle name="40% - Accent4 7" xfId="472"/>
    <cellStyle name="40% - Accent4 7 2" xfId="774"/>
    <cellStyle name="40% - Accent4 7 2 2" xfId="1662"/>
    <cellStyle name="40% - Accent4 7 2 2 2" xfId="3130"/>
    <cellStyle name="40% - Accent4 7 2 2 2 2" xfId="6052"/>
    <cellStyle name="40% - Accent4 7 2 2 3" xfId="4587"/>
    <cellStyle name="40% - Accent4 7 2 3" xfId="2536"/>
    <cellStyle name="40% - Accent4 7 2 3 2" xfId="5458"/>
    <cellStyle name="40% - Accent4 7 2 4" xfId="3985"/>
    <cellStyle name="40% - Accent4 7 3" xfId="654"/>
    <cellStyle name="40% - Accent4 7 3 2" xfId="1558"/>
    <cellStyle name="40% - Accent4 7 3 2 2" xfId="3026"/>
    <cellStyle name="40% - Accent4 7 3 2 2 2" xfId="5948"/>
    <cellStyle name="40% - Accent4 7 3 2 3" xfId="4483"/>
    <cellStyle name="40% - Accent4 7 3 3" xfId="2432"/>
    <cellStyle name="40% - Accent4 7 3 3 2" xfId="5354"/>
    <cellStyle name="40% - Accent4 7 3 4" xfId="3881"/>
    <cellStyle name="40% - Accent4 7 4" xfId="1383"/>
    <cellStyle name="40% - Accent4 7 4 2" xfId="2851"/>
    <cellStyle name="40% - Accent4 7 4 2 2" xfId="5773"/>
    <cellStyle name="40% - Accent4 7 4 3" xfId="4308"/>
    <cellStyle name="40% - Accent4 7 5" xfId="1966"/>
    <cellStyle name="40% - Accent4 7 5 2" xfId="3411"/>
    <cellStyle name="40% - Accent4 7 5 2 2" xfId="6333"/>
    <cellStyle name="40% - Accent4 7 5 3" xfId="4889"/>
    <cellStyle name="40% - Accent4 7 6" xfId="2257"/>
    <cellStyle name="40% - Accent4 7 6 2" xfId="5179"/>
    <cellStyle name="40% - Accent4 7 7" xfId="3706"/>
    <cellStyle name="40% - Accent4 7 8" xfId="6552"/>
    <cellStyle name="40% - Accent4 8" xfId="510"/>
    <cellStyle name="40% - Accent4 8 2" xfId="688"/>
    <cellStyle name="40% - Accent4 8 2 2" xfId="1592"/>
    <cellStyle name="40% - Accent4 8 2 2 2" xfId="3060"/>
    <cellStyle name="40% - Accent4 8 2 2 2 2" xfId="5982"/>
    <cellStyle name="40% - Accent4 8 2 2 3" xfId="4517"/>
    <cellStyle name="40% - Accent4 8 2 3" xfId="2466"/>
    <cellStyle name="40% - Accent4 8 2 3 2" xfId="5388"/>
    <cellStyle name="40% - Accent4 8 2 4" xfId="3915"/>
    <cellStyle name="40% - Accent4 8 3" xfId="1417"/>
    <cellStyle name="40% - Accent4 8 3 2" xfId="2885"/>
    <cellStyle name="40% - Accent4 8 3 2 2" xfId="5807"/>
    <cellStyle name="40% - Accent4 8 3 3" xfId="4342"/>
    <cellStyle name="40% - Accent4 8 4" xfId="2291"/>
    <cellStyle name="40% - Accent4 8 4 2" xfId="5213"/>
    <cellStyle name="40% - Accent4 8 5" xfId="3740"/>
    <cellStyle name="40% - Accent4 9" xfId="767"/>
    <cellStyle name="40% - Accent4 9 2" xfId="1657"/>
    <cellStyle name="40% - Accent4 9 2 2" xfId="3125"/>
    <cellStyle name="40% - Accent4 9 2 2 2" xfId="6047"/>
    <cellStyle name="40% - Accent4 9 2 3" xfId="4582"/>
    <cellStyle name="40% - Accent4 9 3" xfId="2531"/>
    <cellStyle name="40% - Accent4 9 3 2" xfId="5453"/>
    <cellStyle name="40% - Accent4 9 4" xfId="3980"/>
    <cellStyle name="40% - Accent5" xfId="382" builtinId="47" customBuiltin="1"/>
    <cellStyle name="40% - Accent5 10" xfId="567"/>
    <cellStyle name="40% - Accent5 10 2" xfId="1471"/>
    <cellStyle name="40% - Accent5 10 2 2" xfId="2939"/>
    <cellStyle name="40% - Accent5 10 2 2 2" xfId="5861"/>
    <cellStyle name="40% - Accent5 10 2 3" xfId="4396"/>
    <cellStyle name="40% - Accent5 10 3" xfId="2345"/>
    <cellStyle name="40% - Accent5 10 3 2" xfId="5267"/>
    <cellStyle name="40% - Accent5 10 4" xfId="3794"/>
    <cellStyle name="40% - Accent5 11" xfId="1246"/>
    <cellStyle name="40% - Accent5 11 2" xfId="1864"/>
    <cellStyle name="40% - Accent5 11 2 2" xfId="3312"/>
    <cellStyle name="40% - Accent5 11 2 2 2" xfId="6234"/>
    <cellStyle name="40% - Accent5 11 2 3" xfId="4789"/>
    <cellStyle name="40% - Accent5 11 3" xfId="2718"/>
    <cellStyle name="40% - Accent5 11 3 2" xfId="5640"/>
    <cellStyle name="40% - Accent5 11 4" xfId="4171"/>
    <cellStyle name="40% - Accent5 12" xfId="1296"/>
    <cellStyle name="40% - Accent5 12 2" xfId="2764"/>
    <cellStyle name="40% - Accent5 12 2 2" xfId="5686"/>
    <cellStyle name="40% - Accent5 12 3" xfId="4221"/>
    <cellStyle name="40% - Accent5 13" xfId="1882"/>
    <cellStyle name="40% - Accent5 13 2" xfId="3330"/>
    <cellStyle name="40% - Accent5 13 2 2" xfId="6252"/>
    <cellStyle name="40% - Accent5 13 3" xfId="4807"/>
    <cellStyle name="40% - Accent5 14" xfId="1967"/>
    <cellStyle name="40% - Accent5 14 2" xfId="3412"/>
    <cellStyle name="40% - Accent5 14 2 2" xfId="6334"/>
    <cellStyle name="40% - Accent5 14 3" xfId="4890"/>
    <cellStyle name="40% - Accent5 15" xfId="2170"/>
    <cellStyle name="40% - Accent5 15 2" xfId="5092"/>
    <cellStyle name="40% - Accent5 16" xfId="3619"/>
    <cellStyle name="40% - Accent5 17" xfId="6553"/>
    <cellStyle name="40% - Accent5 2" xfId="11"/>
    <cellStyle name="40% - Accent5 2 2" xfId="776"/>
    <cellStyle name="40% - Accent5 3" xfId="404"/>
    <cellStyle name="40% - Accent5 3 2" xfId="778"/>
    <cellStyle name="40% - Accent5 3 2 2" xfId="1664"/>
    <cellStyle name="40% - Accent5 3 2 2 2" xfId="3132"/>
    <cellStyle name="40% - Accent5 3 2 2 2 2" xfId="6054"/>
    <cellStyle name="40% - Accent5 3 2 2 3" xfId="4589"/>
    <cellStyle name="40% - Accent5 3 2 3" xfId="1968"/>
    <cellStyle name="40% - Accent5 3 2 3 2" xfId="3413"/>
    <cellStyle name="40% - Accent5 3 2 3 2 2" xfId="6335"/>
    <cellStyle name="40% - Accent5 3 2 3 3" xfId="4891"/>
    <cellStyle name="40% - Accent5 3 2 4" xfId="2538"/>
    <cellStyle name="40% - Accent5 3 2 4 2" xfId="5460"/>
    <cellStyle name="40% - Accent5 3 2 5" xfId="3987"/>
    <cellStyle name="40% - Accent5 3 2 6" xfId="6554"/>
    <cellStyle name="40% - Accent5 3 3" xfId="777"/>
    <cellStyle name="40% - Accent5 3 4" xfId="586"/>
    <cellStyle name="40% - Accent5 3 4 2" xfId="1490"/>
    <cellStyle name="40% - Accent5 3 4 2 2" xfId="2958"/>
    <cellStyle name="40% - Accent5 3 4 2 2 2" xfId="5880"/>
    <cellStyle name="40% - Accent5 3 4 2 3" xfId="4415"/>
    <cellStyle name="40% - Accent5 3 4 3" xfId="2364"/>
    <cellStyle name="40% - Accent5 3 4 3 2" xfId="5286"/>
    <cellStyle name="40% - Accent5 3 4 4" xfId="3813"/>
    <cellStyle name="40% - Accent5 3 5" xfId="1315"/>
    <cellStyle name="40% - Accent5 3 5 2" xfId="2783"/>
    <cellStyle name="40% - Accent5 3 5 2 2" xfId="5705"/>
    <cellStyle name="40% - Accent5 3 5 3" xfId="4240"/>
    <cellStyle name="40% - Accent5 3 6" xfId="2189"/>
    <cellStyle name="40% - Accent5 3 6 2" xfId="5111"/>
    <cellStyle name="40% - Accent5 3 7" xfId="3638"/>
    <cellStyle name="40% - Accent5 4" xfId="425"/>
    <cellStyle name="40% - Accent5 4 2" xfId="779"/>
    <cellStyle name="40% - Accent5 4 2 2" xfId="1665"/>
    <cellStyle name="40% - Accent5 4 2 2 2" xfId="3133"/>
    <cellStyle name="40% - Accent5 4 2 2 2 2" xfId="6055"/>
    <cellStyle name="40% - Accent5 4 2 2 3" xfId="4590"/>
    <cellStyle name="40% - Accent5 4 2 3" xfId="2539"/>
    <cellStyle name="40% - Accent5 4 2 3 2" xfId="5461"/>
    <cellStyle name="40% - Accent5 4 2 4" xfId="3988"/>
    <cellStyle name="40% - Accent5 4 3" xfId="607"/>
    <cellStyle name="40% - Accent5 4 3 2" xfId="1511"/>
    <cellStyle name="40% - Accent5 4 3 2 2" xfId="2979"/>
    <cellStyle name="40% - Accent5 4 3 2 2 2" xfId="5901"/>
    <cellStyle name="40% - Accent5 4 3 2 3" xfId="4436"/>
    <cellStyle name="40% - Accent5 4 3 3" xfId="2385"/>
    <cellStyle name="40% - Accent5 4 3 3 2" xfId="5307"/>
    <cellStyle name="40% - Accent5 4 3 4" xfId="3834"/>
    <cellStyle name="40% - Accent5 4 4" xfId="1336"/>
    <cellStyle name="40% - Accent5 4 4 2" xfId="2804"/>
    <cellStyle name="40% - Accent5 4 4 2 2" xfId="5726"/>
    <cellStyle name="40% - Accent5 4 4 3" xfId="4261"/>
    <cellStyle name="40% - Accent5 4 5" xfId="1969"/>
    <cellStyle name="40% - Accent5 4 5 2" xfId="3414"/>
    <cellStyle name="40% - Accent5 4 5 2 2" xfId="6336"/>
    <cellStyle name="40% - Accent5 4 5 3" xfId="4892"/>
    <cellStyle name="40% - Accent5 4 6" xfId="2210"/>
    <cellStyle name="40% - Accent5 4 6 2" xfId="5132"/>
    <cellStyle name="40% - Accent5 4 7" xfId="3659"/>
    <cellStyle name="40% - Accent5 4 8" xfId="6555"/>
    <cellStyle name="40% - Accent5 5" xfId="440"/>
    <cellStyle name="40% - Accent5 5 2" xfId="780"/>
    <cellStyle name="40% - Accent5 5 2 2" xfId="1666"/>
    <cellStyle name="40% - Accent5 5 2 2 2" xfId="3134"/>
    <cellStyle name="40% - Accent5 5 2 2 2 2" xfId="6056"/>
    <cellStyle name="40% - Accent5 5 2 2 3" xfId="4591"/>
    <cellStyle name="40% - Accent5 5 2 3" xfId="2540"/>
    <cellStyle name="40% - Accent5 5 2 3 2" xfId="5462"/>
    <cellStyle name="40% - Accent5 5 2 4" xfId="3989"/>
    <cellStyle name="40% - Accent5 5 3" xfId="622"/>
    <cellStyle name="40% - Accent5 5 3 2" xfId="1526"/>
    <cellStyle name="40% - Accent5 5 3 2 2" xfId="2994"/>
    <cellStyle name="40% - Accent5 5 3 2 2 2" xfId="5916"/>
    <cellStyle name="40% - Accent5 5 3 2 3" xfId="4451"/>
    <cellStyle name="40% - Accent5 5 3 3" xfId="2400"/>
    <cellStyle name="40% - Accent5 5 3 3 2" xfId="5322"/>
    <cellStyle name="40% - Accent5 5 3 4" xfId="3849"/>
    <cellStyle name="40% - Accent5 5 4" xfId="1351"/>
    <cellStyle name="40% - Accent5 5 4 2" xfId="2819"/>
    <cellStyle name="40% - Accent5 5 4 2 2" xfId="5741"/>
    <cellStyle name="40% - Accent5 5 4 3" xfId="4276"/>
    <cellStyle name="40% - Accent5 5 5" xfId="1970"/>
    <cellStyle name="40% - Accent5 5 5 2" xfId="3415"/>
    <cellStyle name="40% - Accent5 5 5 2 2" xfId="6337"/>
    <cellStyle name="40% - Accent5 5 5 3" xfId="4893"/>
    <cellStyle name="40% - Accent5 5 6" xfId="2225"/>
    <cellStyle name="40% - Accent5 5 6 2" xfId="5147"/>
    <cellStyle name="40% - Accent5 5 7" xfId="3674"/>
    <cellStyle name="40% - Accent5 5 8" xfId="6556"/>
    <cellStyle name="40% - Accent5 6" xfId="454"/>
    <cellStyle name="40% - Accent5 6 2" xfId="781"/>
    <cellStyle name="40% - Accent5 6 2 2" xfId="1667"/>
    <cellStyle name="40% - Accent5 6 2 2 2" xfId="3135"/>
    <cellStyle name="40% - Accent5 6 2 2 2 2" xfId="6057"/>
    <cellStyle name="40% - Accent5 6 2 2 3" xfId="4592"/>
    <cellStyle name="40% - Accent5 6 2 3" xfId="2541"/>
    <cellStyle name="40% - Accent5 6 2 3 2" xfId="5463"/>
    <cellStyle name="40% - Accent5 6 2 4" xfId="3990"/>
    <cellStyle name="40% - Accent5 6 3" xfId="636"/>
    <cellStyle name="40% - Accent5 6 3 2" xfId="1540"/>
    <cellStyle name="40% - Accent5 6 3 2 2" xfId="3008"/>
    <cellStyle name="40% - Accent5 6 3 2 2 2" xfId="5930"/>
    <cellStyle name="40% - Accent5 6 3 2 3" xfId="4465"/>
    <cellStyle name="40% - Accent5 6 3 3" xfId="2414"/>
    <cellStyle name="40% - Accent5 6 3 3 2" xfId="5336"/>
    <cellStyle name="40% - Accent5 6 3 4" xfId="3863"/>
    <cellStyle name="40% - Accent5 6 4" xfId="1365"/>
    <cellStyle name="40% - Accent5 6 4 2" xfId="2833"/>
    <cellStyle name="40% - Accent5 6 4 2 2" xfId="5755"/>
    <cellStyle name="40% - Accent5 6 4 3" xfId="4290"/>
    <cellStyle name="40% - Accent5 6 5" xfId="1971"/>
    <cellStyle name="40% - Accent5 6 5 2" xfId="3416"/>
    <cellStyle name="40% - Accent5 6 5 2 2" xfId="6338"/>
    <cellStyle name="40% - Accent5 6 5 3" xfId="4894"/>
    <cellStyle name="40% - Accent5 6 6" xfId="2239"/>
    <cellStyle name="40% - Accent5 6 6 2" xfId="5161"/>
    <cellStyle name="40% - Accent5 6 7" xfId="3688"/>
    <cellStyle name="40% - Accent5 6 8" xfId="6557"/>
    <cellStyle name="40% - Accent5 7" xfId="474"/>
    <cellStyle name="40% - Accent5 7 2" xfId="782"/>
    <cellStyle name="40% - Accent5 7 2 2" xfId="1668"/>
    <cellStyle name="40% - Accent5 7 2 2 2" xfId="3136"/>
    <cellStyle name="40% - Accent5 7 2 2 2 2" xfId="6058"/>
    <cellStyle name="40% - Accent5 7 2 2 3" xfId="4593"/>
    <cellStyle name="40% - Accent5 7 2 3" xfId="2542"/>
    <cellStyle name="40% - Accent5 7 2 3 2" xfId="5464"/>
    <cellStyle name="40% - Accent5 7 2 4" xfId="3991"/>
    <cellStyle name="40% - Accent5 7 3" xfId="656"/>
    <cellStyle name="40% - Accent5 7 3 2" xfId="1560"/>
    <cellStyle name="40% - Accent5 7 3 2 2" xfId="3028"/>
    <cellStyle name="40% - Accent5 7 3 2 2 2" xfId="5950"/>
    <cellStyle name="40% - Accent5 7 3 2 3" xfId="4485"/>
    <cellStyle name="40% - Accent5 7 3 3" xfId="2434"/>
    <cellStyle name="40% - Accent5 7 3 3 2" xfId="5356"/>
    <cellStyle name="40% - Accent5 7 3 4" xfId="3883"/>
    <cellStyle name="40% - Accent5 7 4" xfId="1385"/>
    <cellStyle name="40% - Accent5 7 4 2" xfId="2853"/>
    <cellStyle name="40% - Accent5 7 4 2 2" xfId="5775"/>
    <cellStyle name="40% - Accent5 7 4 3" xfId="4310"/>
    <cellStyle name="40% - Accent5 7 5" xfId="1972"/>
    <cellStyle name="40% - Accent5 7 5 2" xfId="3417"/>
    <cellStyle name="40% - Accent5 7 5 2 2" xfId="6339"/>
    <cellStyle name="40% - Accent5 7 5 3" xfId="4895"/>
    <cellStyle name="40% - Accent5 7 6" xfId="2259"/>
    <cellStyle name="40% - Accent5 7 6 2" xfId="5181"/>
    <cellStyle name="40% - Accent5 7 7" xfId="3708"/>
    <cellStyle name="40% - Accent5 7 8" xfId="6558"/>
    <cellStyle name="40% - Accent5 8" xfId="513"/>
    <cellStyle name="40% - Accent5 8 2" xfId="691"/>
    <cellStyle name="40% - Accent5 8 2 2" xfId="1595"/>
    <cellStyle name="40% - Accent5 8 2 2 2" xfId="3063"/>
    <cellStyle name="40% - Accent5 8 2 2 2 2" xfId="5985"/>
    <cellStyle name="40% - Accent5 8 2 2 3" xfId="4520"/>
    <cellStyle name="40% - Accent5 8 2 3" xfId="2469"/>
    <cellStyle name="40% - Accent5 8 2 3 2" xfId="5391"/>
    <cellStyle name="40% - Accent5 8 2 4" xfId="3918"/>
    <cellStyle name="40% - Accent5 8 3" xfId="1420"/>
    <cellStyle name="40% - Accent5 8 3 2" xfId="2888"/>
    <cellStyle name="40% - Accent5 8 3 2 2" xfId="5810"/>
    <cellStyle name="40% - Accent5 8 3 3" xfId="4345"/>
    <cellStyle name="40% - Accent5 8 4" xfId="2294"/>
    <cellStyle name="40% - Accent5 8 4 2" xfId="5216"/>
    <cellStyle name="40% - Accent5 8 5" xfId="3743"/>
    <cellStyle name="40% - Accent5 9" xfId="775"/>
    <cellStyle name="40% - Accent5 9 2" xfId="1663"/>
    <cellStyle name="40% - Accent5 9 2 2" xfId="3131"/>
    <cellStyle name="40% - Accent5 9 2 2 2" xfId="6053"/>
    <cellStyle name="40% - Accent5 9 2 3" xfId="4588"/>
    <cellStyle name="40% - Accent5 9 3" xfId="2537"/>
    <cellStyle name="40% - Accent5 9 3 2" xfId="5459"/>
    <cellStyle name="40% - Accent5 9 4" xfId="3986"/>
    <cellStyle name="40% - Accent6" xfId="386" builtinId="51" customBuiltin="1"/>
    <cellStyle name="40% - Accent6 10" xfId="569"/>
    <cellStyle name="40% - Accent6 10 2" xfId="1473"/>
    <cellStyle name="40% - Accent6 10 2 2" xfId="2941"/>
    <cellStyle name="40% - Accent6 10 2 2 2" xfId="5863"/>
    <cellStyle name="40% - Accent6 10 2 3" xfId="4398"/>
    <cellStyle name="40% - Accent6 10 3" xfId="2347"/>
    <cellStyle name="40% - Accent6 10 3 2" xfId="5269"/>
    <cellStyle name="40% - Accent6 10 4" xfId="3796"/>
    <cellStyle name="40% - Accent6 11" xfId="1248"/>
    <cellStyle name="40% - Accent6 11 2" xfId="1866"/>
    <cellStyle name="40% - Accent6 11 2 2" xfId="3314"/>
    <cellStyle name="40% - Accent6 11 2 2 2" xfId="6236"/>
    <cellStyle name="40% - Accent6 11 2 3" xfId="4791"/>
    <cellStyle name="40% - Accent6 11 3" xfId="2720"/>
    <cellStyle name="40% - Accent6 11 3 2" xfId="5642"/>
    <cellStyle name="40% - Accent6 11 4" xfId="4173"/>
    <cellStyle name="40% - Accent6 12" xfId="1298"/>
    <cellStyle name="40% - Accent6 12 2" xfId="2766"/>
    <cellStyle name="40% - Accent6 12 2 2" xfId="5688"/>
    <cellStyle name="40% - Accent6 12 3" xfId="4223"/>
    <cellStyle name="40% - Accent6 13" xfId="1885"/>
    <cellStyle name="40% - Accent6 13 2" xfId="3333"/>
    <cellStyle name="40% - Accent6 13 2 2" xfId="6255"/>
    <cellStyle name="40% - Accent6 13 3" xfId="4810"/>
    <cellStyle name="40% - Accent6 14" xfId="1973"/>
    <cellStyle name="40% - Accent6 14 2" xfId="3418"/>
    <cellStyle name="40% - Accent6 14 2 2" xfId="6340"/>
    <cellStyle name="40% - Accent6 14 3" xfId="4896"/>
    <cellStyle name="40% - Accent6 15" xfId="2172"/>
    <cellStyle name="40% - Accent6 15 2" xfId="5094"/>
    <cellStyle name="40% - Accent6 16" xfId="3621"/>
    <cellStyle name="40% - Accent6 17" xfId="6559"/>
    <cellStyle name="40% - Accent6 2" xfId="12"/>
    <cellStyle name="40% - Accent6 2 2" xfId="784"/>
    <cellStyle name="40% - Accent6 3" xfId="406"/>
    <cellStyle name="40% - Accent6 3 2" xfId="786"/>
    <cellStyle name="40% - Accent6 3 2 2" xfId="1670"/>
    <cellStyle name="40% - Accent6 3 2 2 2" xfId="3138"/>
    <cellStyle name="40% - Accent6 3 2 2 2 2" xfId="6060"/>
    <cellStyle name="40% - Accent6 3 2 2 3" xfId="4595"/>
    <cellStyle name="40% - Accent6 3 2 3" xfId="1974"/>
    <cellStyle name="40% - Accent6 3 2 3 2" xfId="3419"/>
    <cellStyle name="40% - Accent6 3 2 3 2 2" xfId="6341"/>
    <cellStyle name="40% - Accent6 3 2 3 3" xfId="4897"/>
    <cellStyle name="40% - Accent6 3 2 4" xfId="2544"/>
    <cellStyle name="40% - Accent6 3 2 4 2" xfId="5466"/>
    <cellStyle name="40% - Accent6 3 2 5" xfId="3993"/>
    <cellStyle name="40% - Accent6 3 2 6" xfId="6560"/>
    <cellStyle name="40% - Accent6 3 3" xfId="785"/>
    <cellStyle name="40% - Accent6 3 4" xfId="588"/>
    <cellStyle name="40% - Accent6 3 4 2" xfId="1492"/>
    <cellStyle name="40% - Accent6 3 4 2 2" xfId="2960"/>
    <cellStyle name="40% - Accent6 3 4 2 2 2" xfId="5882"/>
    <cellStyle name="40% - Accent6 3 4 2 3" xfId="4417"/>
    <cellStyle name="40% - Accent6 3 4 3" xfId="2366"/>
    <cellStyle name="40% - Accent6 3 4 3 2" xfId="5288"/>
    <cellStyle name="40% - Accent6 3 4 4" xfId="3815"/>
    <cellStyle name="40% - Accent6 3 5" xfId="1317"/>
    <cellStyle name="40% - Accent6 3 5 2" xfId="2785"/>
    <cellStyle name="40% - Accent6 3 5 2 2" xfId="5707"/>
    <cellStyle name="40% - Accent6 3 5 3" xfId="4242"/>
    <cellStyle name="40% - Accent6 3 6" xfId="2191"/>
    <cellStyle name="40% - Accent6 3 6 2" xfId="5113"/>
    <cellStyle name="40% - Accent6 3 7" xfId="3640"/>
    <cellStyle name="40% - Accent6 4" xfId="427"/>
    <cellStyle name="40% - Accent6 4 2" xfId="787"/>
    <cellStyle name="40% - Accent6 4 2 2" xfId="1671"/>
    <cellStyle name="40% - Accent6 4 2 2 2" xfId="3139"/>
    <cellStyle name="40% - Accent6 4 2 2 2 2" xfId="6061"/>
    <cellStyle name="40% - Accent6 4 2 2 3" xfId="4596"/>
    <cellStyle name="40% - Accent6 4 2 3" xfId="2545"/>
    <cellStyle name="40% - Accent6 4 2 3 2" xfId="5467"/>
    <cellStyle name="40% - Accent6 4 2 4" xfId="3994"/>
    <cellStyle name="40% - Accent6 4 3" xfId="609"/>
    <cellStyle name="40% - Accent6 4 3 2" xfId="1513"/>
    <cellStyle name="40% - Accent6 4 3 2 2" xfId="2981"/>
    <cellStyle name="40% - Accent6 4 3 2 2 2" xfId="5903"/>
    <cellStyle name="40% - Accent6 4 3 2 3" xfId="4438"/>
    <cellStyle name="40% - Accent6 4 3 3" xfId="2387"/>
    <cellStyle name="40% - Accent6 4 3 3 2" xfId="5309"/>
    <cellStyle name="40% - Accent6 4 3 4" xfId="3836"/>
    <cellStyle name="40% - Accent6 4 4" xfId="1338"/>
    <cellStyle name="40% - Accent6 4 4 2" xfId="2806"/>
    <cellStyle name="40% - Accent6 4 4 2 2" xfId="5728"/>
    <cellStyle name="40% - Accent6 4 4 3" xfId="4263"/>
    <cellStyle name="40% - Accent6 4 5" xfId="1975"/>
    <cellStyle name="40% - Accent6 4 5 2" xfId="3420"/>
    <cellStyle name="40% - Accent6 4 5 2 2" xfId="6342"/>
    <cellStyle name="40% - Accent6 4 5 3" xfId="4898"/>
    <cellStyle name="40% - Accent6 4 6" xfId="2212"/>
    <cellStyle name="40% - Accent6 4 6 2" xfId="5134"/>
    <cellStyle name="40% - Accent6 4 7" xfId="3661"/>
    <cellStyle name="40% - Accent6 4 8" xfId="6561"/>
    <cellStyle name="40% - Accent6 5" xfId="442"/>
    <cellStyle name="40% - Accent6 5 2" xfId="788"/>
    <cellStyle name="40% - Accent6 5 2 2" xfId="1672"/>
    <cellStyle name="40% - Accent6 5 2 2 2" xfId="3140"/>
    <cellStyle name="40% - Accent6 5 2 2 2 2" xfId="6062"/>
    <cellStyle name="40% - Accent6 5 2 2 3" xfId="4597"/>
    <cellStyle name="40% - Accent6 5 2 3" xfId="2546"/>
    <cellStyle name="40% - Accent6 5 2 3 2" xfId="5468"/>
    <cellStyle name="40% - Accent6 5 2 4" xfId="3995"/>
    <cellStyle name="40% - Accent6 5 3" xfId="624"/>
    <cellStyle name="40% - Accent6 5 3 2" xfId="1528"/>
    <cellStyle name="40% - Accent6 5 3 2 2" xfId="2996"/>
    <cellStyle name="40% - Accent6 5 3 2 2 2" xfId="5918"/>
    <cellStyle name="40% - Accent6 5 3 2 3" xfId="4453"/>
    <cellStyle name="40% - Accent6 5 3 3" xfId="2402"/>
    <cellStyle name="40% - Accent6 5 3 3 2" xfId="5324"/>
    <cellStyle name="40% - Accent6 5 3 4" xfId="3851"/>
    <cellStyle name="40% - Accent6 5 4" xfId="1353"/>
    <cellStyle name="40% - Accent6 5 4 2" xfId="2821"/>
    <cellStyle name="40% - Accent6 5 4 2 2" xfId="5743"/>
    <cellStyle name="40% - Accent6 5 4 3" xfId="4278"/>
    <cellStyle name="40% - Accent6 5 5" xfId="1976"/>
    <cellStyle name="40% - Accent6 5 5 2" xfId="3421"/>
    <cellStyle name="40% - Accent6 5 5 2 2" xfId="6343"/>
    <cellStyle name="40% - Accent6 5 5 3" xfId="4899"/>
    <cellStyle name="40% - Accent6 5 6" xfId="2227"/>
    <cellStyle name="40% - Accent6 5 6 2" xfId="5149"/>
    <cellStyle name="40% - Accent6 5 7" xfId="3676"/>
    <cellStyle name="40% - Accent6 5 8" xfId="6562"/>
    <cellStyle name="40% - Accent6 6" xfId="456"/>
    <cellStyle name="40% - Accent6 6 2" xfId="789"/>
    <cellStyle name="40% - Accent6 6 2 2" xfId="1673"/>
    <cellStyle name="40% - Accent6 6 2 2 2" xfId="3141"/>
    <cellStyle name="40% - Accent6 6 2 2 2 2" xfId="6063"/>
    <cellStyle name="40% - Accent6 6 2 2 3" xfId="4598"/>
    <cellStyle name="40% - Accent6 6 2 3" xfId="2547"/>
    <cellStyle name="40% - Accent6 6 2 3 2" xfId="5469"/>
    <cellStyle name="40% - Accent6 6 2 4" xfId="3996"/>
    <cellStyle name="40% - Accent6 6 3" xfId="638"/>
    <cellStyle name="40% - Accent6 6 3 2" xfId="1542"/>
    <cellStyle name="40% - Accent6 6 3 2 2" xfId="3010"/>
    <cellStyle name="40% - Accent6 6 3 2 2 2" xfId="5932"/>
    <cellStyle name="40% - Accent6 6 3 2 3" xfId="4467"/>
    <cellStyle name="40% - Accent6 6 3 3" xfId="2416"/>
    <cellStyle name="40% - Accent6 6 3 3 2" xfId="5338"/>
    <cellStyle name="40% - Accent6 6 3 4" xfId="3865"/>
    <cellStyle name="40% - Accent6 6 4" xfId="1367"/>
    <cellStyle name="40% - Accent6 6 4 2" xfId="2835"/>
    <cellStyle name="40% - Accent6 6 4 2 2" xfId="5757"/>
    <cellStyle name="40% - Accent6 6 4 3" xfId="4292"/>
    <cellStyle name="40% - Accent6 6 5" xfId="1977"/>
    <cellStyle name="40% - Accent6 6 5 2" xfId="3422"/>
    <cellStyle name="40% - Accent6 6 5 2 2" xfId="6344"/>
    <cellStyle name="40% - Accent6 6 5 3" xfId="4900"/>
    <cellStyle name="40% - Accent6 6 6" xfId="2241"/>
    <cellStyle name="40% - Accent6 6 6 2" xfId="5163"/>
    <cellStyle name="40% - Accent6 6 7" xfId="3690"/>
    <cellStyle name="40% - Accent6 6 8" xfId="6563"/>
    <cellStyle name="40% - Accent6 7" xfId="476"/>
    <cellStyle name="40% - Accent6 7 2" xfId="790"/>
    <cellStyle name="40% - Accent6 7 2 2" xfId="1674"/>
    <cellStyle name="40% - Accent6 7 2 2 2" xfId="3142"/>
    <cellStyle name="40% - Accent6 7 2 2 2 2" xfId="6064"/>
    <cellStyle name="40% - Accent6 7 2 2 3" xfId="4599"/>
    <cellStyle name="40% - Accent6 7 2 3" xfId="2548"/>
    <cellStyle name="40% - Accent6 7 2 3 2" xfId="5470"/>
    <cellStyle name="40% - Accent6 7 2 4" xfId="3997"/>
    <cellStyle name="40% - Accent6 7 3" xfId="658"/>
    <cellStyle name="40% - Accent6 7 3 2" xfId="1562"/>
    <cellStyle name="40% - Accent6 7 3 2 2" xfId="3030"/>
    <cellStyle name="40% - Accent6 7 3 2 2 2" xfId="5952"/>
    <cellStyle name="40% - Accent6 7 3 2 3" xfId="4487"/>
    <cellStyle name="40% - Accent6 7 3 3" xfId="2436"/>
    <cellStyle name="40% - Accent6 7 3 3 2" xfId="5358"/>
    <cellStyle name="40% - Accent6 7 3 4" xfId="3885"/>
    <cellStyle name="40% - Accent6 7 4" xfId="1387"/>
    <cellStyle name="40% - Accent6 7 4 2" xfId="2855"/>
    <cellStyle name="40% - Accent6 7 4 2 2" xfId="5777"/>
    <cellStyle name="40% - Accent6 7 4 3" xfId="4312"/>
    <cellStyle name="40% - Accent6 7 5" xfId="1978"/>
    <cellStyle name="40% - Accent6 7 5 2" xfId="3423"/>
    <cellStyle name="40% - Accent6 7 5 2 2" xfId="6345"/>
    <cellStyle name="40% - Accent6 7 5 3" xfId="4901"/>
    <cellStyle name="40% - Accent6 7 6" xfId="2261"/>
    <cellStyle name="40% - Accent6 7 6 2" xfId="5183"/>
    <cellStyle name="40% - Accent6 7 7" xfId="3710"/>
    <cellStyle name="40% - Accent6 7 8" xfId="6564"/>
    <cellStyle name="40% - Accent6 8" xfId="516"/>
    <cellStyle name="40% - Accent6 8 2" xfId="694"/>
    <cellStyle name="40% - Accent6 8 2 2" xfId="1598"/>
    <cellStyle name="40% - Accent6 8 2 2 2" xfId="3066"/>
    <cellStyle name="40% - Accent6 8 2 2 2 2" xfId="5988"/>
    <cellStyle name="40% - Accent6 8 2 2 3" xfId="4523"/>
    <cellStyle name="40% - Accent6 8 2 3" xfId="2472"/>
    <cellStyle name="40% - Accent6 8 2 3 2" xfId="5394"/>
    <cellStyle name="40% - Accent6 8 2 4" xfId="3921"/>
    <cellStyle name="40% - Accent6 8 3" xfId="1423"/>
    <cellStyle name="40% - Accent6 8 3 2" xfId="2891"/>
    <cellStyle name="40% - Accent6 8 3 2 2" xfId="5813"/>
    <cellStyle name="40% - Accent6 8 3 3" xfId="4348"/>
    <cellStyle name="40% - Accent6 8 4" xfId="2297"/>
    <cellStyle name="40% - Accent6 8 4 2" xfId="5219"/>
    <cellStyle name="40% - Accent6 8 5" xfId="3746"/>
    <cellStyle name="40% - Accent6 9" xfId="783"/>
    <cellStyle name="40% - Accent6 9 2" xfId="1669"/>
    <cellStyle name="40% - Accent6 9 2 2" xfId="3137"/>
    <cellStyle name="40% - Accent6 9 2 2 2" xfId="6059"/>
    <cellStyle name="40% - Accent6 9 2 3" xfId="4594"/>
    <cellStyle name="40% - Accent6 9 3" xfId="2543"/>
    <cellStyle name="40% - Accent6 9 3 2" xfId="5465"/>
    <cellStyle name="40% - Accent6 9 4" xfId="3992"/>
    <cellStyle name="60% - Accent1" xfId="367" builtinId="32" customBuiltin="1"/>
    <cellStyle name="60% - Accent1 2" xfId="13"/>
    <cellStyle name="60% - Accent1 2 2" xfId="791"/>
    <cellStyle name="60% - Accent1 3" xfId="792"/>
    <cellStyle name="60% - Accent2" xfId="371" builtinId="36" customBuiltin="1"/>
    <cellStyle name="60% - Accent2 2" xfId="14"/>
    <cellStyle name="60% - Accent2 2 2" xfId="793"/>
    <cellStyle name="60% - Accent2 3" xfId="794"/>
    <cellStyle name="60% - Accent3" xfId="375" builtinId="40" customBuiltin="1"/>
    <cellStyle name="60% - Accent3 2" xfId="15"/>
    <cellStyle name="60% - Accent3 2 2" xfId="795"/>
    <cellStyle name="60% - Accent3 3" xfId="796"/>
    <cellStyle name="60% - Accent4" xfId="379" builtinId="44" customBuiltin="1"/>
    <cellStyle name="60% - Accent4 2" xfId="16"/>
    <cellStyle name="60% - Accent4 2 2" xfId="797"/>
    <cellStyle name="60% - Accent4 3" xfId="798"/>
    <cellStyle name="60% - Accent5" xfId="383" builtinId="48" customBuiltin="1"/>
    <cellStyle name="60% - Accent5 2" xfId="17"/>
    <cellStyle name="60% - Accent5 2 2" xfId="799"/>
    <cellStyle name="60% - Accent5 3" xfId="800"/>
    <cellStyle name="60% - Accent6" xfId="387" builtinId="52" customBuiltin="1"/>
    <cellStyle name="60% - Accent6 2" xfId="18"/>
    <cellStyle name="60% - Accent6 2 2" xfId="801"/>
    <cellStyle name="60% - Accent6 3" xfId="802"/>
    <cellStyle name="Accent1" xfId="364" builtinId="29" customBuiltin="1"/>
    <cellStyle name="Accent1 2" xfId="19"/>
    <cellStyle name="Accent1 2 2" xfId="803"/>
    <cellStyle name="Accent1 3" xfId="804"/>
    <cellStyle name="Accent2" xfId="368" builtinId="33" customBuiltin="1"/>
    <cellStyle name="Accent2 2" xfId="20"/>
    <cellStyle name="Accent2 2 2" xfId="805"/>
    <cellStyle name="Accent2 3" xfId="806"/>
    <cellStyle name="Accent3" xfId="372" builtinId="37" customBuiltin="1"/>
    <cellStyle name="Accent3 2" xfId="21"/>
    <cellStyle name="Accent3 2 2" xfId="807"/>
    <cellStyle name="Accent3 3" xfId="808"/>
    <cellStyle name="Accent4" xfId="376" builtinId="41" customBuiltin="1"/>
    <cellStyle name="Accent4 2" xfId="22"/>
    <cellStyle name="Accent4 2 2" xfId="809"/>
    <cellStyle name="Accent4 3" xfId="810"/>
    <cellStyle name="Accent5" xfId="380" builtinId="45" customBuiltin="1"/>
    <cellStyle name="Accent5 2" xfId="23"/>
    <cellStyle name="Accent6" xfId="384" builtinId="49" customBuiltin="1"/>
    <cellStyle name="Accent6 2" xfId="24"/>
    <cellStyle name="Accent6 2 2" xfId="811"/>
    <cellStyle name="Accent6 3" xfId="812"/>
    <cellStyle name="Bad" xfId="354" builtinId="27" customBuiltin="1"/>
    <cellStyle name="Bad 2" xfId="25"/>
    <cellStyle name="Bad 2 2" xfId="813"/>
    <cellStyle name="Bad 3" xfId="814"/>
    <cellStyle name="bottom" xfId="26"/>
    <cellStyle name="bottom 2" xfId="1979"/>
    <cellStyle name="Calc Currency (0)" xfId="27"/>
    <cellStyle name="Calculation" xfId="358" builtinId="22" customBuiltin="1"/>
    <cellStyle name="Calculation 2" xfId="28"/>
    <cellStyle name="Calculation 2 2" xfId="815"/>
    <cellStyle name="Calculation 2 2 2" xfId="816"/>
    <cellStyle name="Calculation 2 2 2 2" xfId="1676"/>
    <cellStyle name="Calculation 2 2 2 2 2" xfId="4601"/>
    <cellStyle name="Calculation 2 2 3" xfId="1675"/>
    <cellStyle name="Calculation 2 2 3 2" xfId="4600"/>
    <cellStyle name="Calculation 2 3" xfId="817"/>
    <cellStyle name="Calculation 2 3 2" xfId="1677"/>
    <cellStyle name="Calculation 2 3 2 2" xfId="4602"/>
    <cellStyle name="Calculation 2 4" xfId="1249"/>
    <cellStyle name="Calculation 2 4 2" xfId="4174"/>
    <cellStyle name="Calculation 3" xfId="818"/>
    <cellStyle name="Calculation 3 2" xfId="819"/>
    <cellStyle name="Calculation 3 2 2" xfId="1679"/>
    <cellStyle name="Calculation 3 2 2 2" xfId="4604"/>
    <cellStyle name="Calculation 3 3" xfId="1678"/>
    <cellStyle name="Calculation 3 3 2" xfId="4603"/>
    <cellStyle name="Check Cell" xfId="360" builtinId="23" customBuiltin="1"/>
    <cellStyle name="Check Cell 2" xfId="29"/>
    <cellStyle name="Comma" xfId="30" builtinId="3"/>
    <cellStyle name="Comma [0] 2" xfId="820"/>
    <cellStyle name="Comma 10" xfId="31"/>
    <cellStyle name="Comma 10 2" xfId="822"/>
    <cellStyle name="Comma 10 3" xfId="823"/>
    <cellStyle name="Comma 10 4" xfId="824"/>
    <cellStyle name="Comma 10 4 2" xfId="1680"/>
    <cellStyle name="Comma 10 4 2 2" xfId="3143"/>
    <cellStyle name="Comma 10 4 2 2 2" xfId="6065"/>
    <cellStyle name="Comma 10 4 2 3" xfId="4605"/>
    <cellStyle name="Comma 10 4 3" xfId="1980"/>
    <cellStyle name="Comma 10 4 3 2" xfId="3424"/>
    <cellStyle name="Comma 10 4 3 2 2" xfId="6346"/>
    <cellStyle name="Comma 10 4 3 3" xfId="4902"/>
    <cellStyle name="Comma 10 4 4" xfId="2549"/>
    <cellStyle name="Comma 10 4 4 2" xfId="5471"/>
    <cellStyle name="Comma 10 4 5" xfId="3998"/>
    <cellStyle name="Comma 10 4 6" xfId="6565"/>
    <cellStyle name="Comma 10 5" xfId="821"/>
    <cellStyle name="Comma 10 6" xfId="521"/>
    <cellStyle name="Comma 10 6 2" xfId="1428"/>
    <cellStyle name="Comma 10 6 2 2" xfId="2896"/>
    <cellStyle name="Comma 10 6 2 2 2" xfId="5818"/>
    <cellStyle name="Comma 10 6 2 3" xfId="4353"/>
    <cellStyle name="Comma 10 6 3" xfId="2302"/>
    <cellStyle name="Comma 10 6 3 2" xfId="5224"/>
    <cellStyle name="Comma 10 6 4" xfId="3751"/>
    <cellStyle name="Comma 10 7" xfId="1250"/>
    <cellStyle name="Comma 10 7 2" xfId="2721"/>
    <cellStyle name="Comma 10 7 2 2" xfId="5643"/>
    <cellStyle name="Comma 10 7 3" xfId="4175"/>
    <cellStyle name="Comma 10 8" xfId="2127"/>
    <cellStyle name="Comma 10 8 2" xfId="5049"/>
    <cellStyle name="Comma 10 9" xfId="3571"/>
    <cellStyle name="Comma 11" xfId="458"/>
    <cellStyle name="Comma 11 2" xfId="826"/>
    <cellStyle name="Comma 11 3" xfId="827"/>
    <cellStyle name="Comma 11 3 2" xfId="1681"/>
    <cellStyle name="Comma 11 3 2 2" xfId="3144"/>
    <cellStyle name="Comma 11 3 2 2 2" xfId="6066"/>
    <cellStyle name="Comma 11 3 2 3" xfId="4606"/>
    <cellStyle name="Comma 11 3 3" xfId="1981"/>
    <cellStyle name="Comma 11 3 3 2" xfId="3425"/>
    <cellStyle name="Comma 11 3 3 2 2" xfId="6347"/>
    <cellStyle name="Comma 11 3 3 3" xfId="4903"/>
    <cellStyle name="Comma 11 3 4" xfId="2550"/>
    <cellStyle name="Comma 11 3 4 2" xfId="5472"/>
    <cellStyle name="Comma 11 3 5" xfId="3999"/>
    <cellStyle name="Comma 11 3 6" xfId="6566"/>
    <cellStyle name="Comma 11 4" xfId="828"/>
    <cellStyle name="Comma 11 5" xfId="825"/>
    <cellStyle name="Comma 11 6" xfId="640"/>
    <cellStyle name="Comma 11 6 2" xfId="1544"/>
    <cellStyle name="Comma 11 6 2 2" xfId="3012"/>
    <cellStyle name="Comma 11 6 2 2 2" xfId="5934"/>
    <cellStyle name="Comma 11 6 2 3" xfId="4469"/>
    <cellStyle name="Comma 11 6 3" xfId="2418"/>
    <cellStyle name="Comma 11 6 3 2" xfId="5340"/>
    <cellStyle name="Comma 11 6 4" xfId="3867"/>
    <cellStyle name="Comma 11 7" xfId="1369"/>
    <cellStyle name="Comma 11 7 2" xfId="2837"/>
    <cellStyle name="Comma 11 7 2 2" xfId="5759"/>
    <cellStyle name="Comma 11 7 3" xfId="4294"/>
    <cellStyle name="Comma 11 8" xfId="2243"/>
    <cellStyle name="Comma 11 8 2" xfId="5165"/>
    <cellStyle name="Comma 11 9" xfId="3692"/>
    <cellStyle name="Comma 12" xfId="478"/>
    <cellStyle name="Comma 12 2" xfId="829"/>
    <cellStyle name="Comma 12 3" xfId="660"/>
    <cellStyle name="Comma 12 3 2" xfId="1564"/>
    <cellStyle name="Comma 12 3 2 2" xfId="3032"/>
    <cellStyle name="Comma 12 3 2 2 2" xfId="5954"/>
    <cellStyle name="Comma 12 3 2 3" xfId="4489"/>
    <cellStyle name="Comma 12 3 3" xfId="2438"/>
    <cellStyle name="Comma 12 3 3 2" xfId="5360"/>
    <cellStyle name="Comma 12 3 4" xfId="3887"/>
    <cellStyle name="Comma 12 4" xfId="1389"/>
    <cellStyle name="Comma 12 4 2" xfId="2857"/>
    <cellStyle name="Comma 12 4 2 2" xfId="5779"/>
    <cellStyle name="Comma 12 4 3" xfId="4314"/>
    <cellStyle name="Comma 12 5" xfId="2263"/>
    <cellStyle name="Comma 12 5 2" xfId="5185"/>
    <cellStyle name="Comma 12 6" xfId="3712"/>
    <cellStyle name="Comma 13" xfId="487"/>
    <cellStyle name="Comma 13 2" xfId="830"/>
    <cellStyle name="Comma 13 3" xfId="665"/>
    <cellStyle name="Comma 13 3 2" xfId="1569"/>
    <cellStyle name="Comma 13 3 2 2" xfId="3037"/>
    <cellStyle name="Comma 13 3 2 2 2" xfId="5959"/>
    <cellStyle name="Comma 13 3 2 3" xfId="4494"/>
    <cellStyle name="Comma 13 3 3" xfId="2443"/>
    <cellStyle name="Comma 13 3 3 2" xfId="5365"/>
    <cellStyle name="Comma 13 3 4" xfId="3892"/>
    <cellStyle name="Comma 13 4" xfId="1394"/>
    <cellStyle name="Comma 13 4 2" xfId="2862"/>
    <cellStyle name="Comma 13 4 2 2" xfId="5784"/>
    <cellStyle name="Comma 13 4 3" xfId="4319"/>
    <cellStyle name="Comma 13 5" xfId="2268"/>
    <cellStyle name="Comma 13 5 2" xfId="5190"/>
    <cellStyle name="Comma 13 6" xfId="3717"/>
    <cellStyle name="Comma 14" xfId="488"/>
    <cellStyle name="Comma 14 2" xfId="831"/>
    <cellStyle name="Comma 14 3" xfId="666"/>
    <cellStyle name="Comma 14 3 2" xfId="1570"/>
    <cellStyle name="Comma 14 3 2 2" xfId="3038"/>
    <cellStyle name="Comma 14 3 2 2 2" xfId="5960"/>
    <cellStyle name="Comma 14 3 2 3" xfId="4495"/>
    <cellStyle name="Comma 14 3 3" xfId="2444"/>
    <cellStyle name="Comma 14 3 3 2" xfId="5366"/>
    <cellStyle name="Comma 14 3 4" xfId="3893"/>
    <cellStyle name="Comma 14 4" xfId="1395"/>
    <cellStyle name="Comma 14 4 2" xfId="2863"/>
    <cellStyle name="Comma 14 4 2 2" xfId="5785"/>
    <cellStyle name="Comma 14 4 3" xfId="4320"/>
    <cellStyle name="Comma 14 5" xfId="2269"/>
    <cellStyle name="Comma 14 5 2" xfId="5191"/>
    <cellStyle name="Comma 14 6" xfId="3718"/>
    <cellStyle name="Comma 15" xfId="832"/>
    <cellStyle name="Comma 16" xfId="833"/>
    <cellStyle name="Comma 17" xfId="834"/>
    <cellStyle name="Comma 18" xfId="835"/>
    <cellStyle name="Comma 19" xfId="836"/>
    <cellStyle name="Comma 2" xfId="32"/>
    <cellStyle name="Comma 2 2" xfId="33"/>
    <cellStyle name="Comma 2 2 2" xfId="838"/>
    <cellStyle name="Comma 2 2 2 2" xfId="839"/>
    <cellStyle name="Comma 2 2 2 2 2" xfId="840"/>
    <cellStyle name="Comma 2 2 2 2 2 2" xfId="841"/>
    <cellStyle name="Comma 2 2 2 2 3" xfId="842"/>
    <cellStyle name="Comma 2 2 2 3" xfId="1898"/>
    <cellStyle name="Comma 2 2 2 3 2" xfId="3343"/>
    <cellStyle name="Comma 2 2 2 3 2 2" xfId="6265"/>
    <cellStyle name="Comma 2 2 2 3 3" xfId="4821"/>
    <cellStyle name="Comma 2 2 3" xfId="843"/>
    <cellStyle name="Comma 2 2 3 2" xfId="844"/>
    <cellStyle name="Comma 2 2 3 2 2" xfId="845"/>
    <cellStyle name="Comma 2 2 3 3" xfId="846"/>
    <cellStyle name="Comma 2 2 4" xfId="847"/>
    <cellStyle name="Comma 2 2 5" xfId="837"/>
    <cellStyle name="Comma 2 2 6" xfId="522"/>
    <cellStyle name="Comma 2 2 7" xfId="1892"/>
    <cellStyle name="Comma 2 2 7 2" xfId="3337"/>
    <cellStyle name="Comma 2 2 7 2 2" xfId="6259"/>
    <cellStyle name="Comma 2 2 7 3" xfId="4815"/>
    <cellStyle name="Comma 2 3" xfId="34"/>
    <cellStyle name="Comma 2 3 10" xfId="1894"/>
    <cellStyle name="Comma 2 3 10 2" xfId="3339"/>
    <cellStyle name="Comma 2 3 10 2 2" xfId="6261"/>
    <cellStyle name="Comma 2 3 10 3" xfId="4817"/>
    <cellStyle name="Comma 2 3 11" xfId="2128"/>
    <cellStyle name="Comma 2 3 11 2" xfId="5050"/>
    <cellStyle name="Comma 2 3 12" xfId="3572"/>
    <cellStyle name="Comma 2 3 2" xfId="849"/>
    <cellStyle name="Comma 2 3 2 2" xfId="850"/>
    <cellStyle name="Comma 2 3 2 2 2" xfId="851"/>
    <cellStyle name="Comma 2 3 2 3" xfId="852"/>
    <cellStyle name="Comma 2 3 2 4" xfId="1900"/>
    <cellStyle name="Comma 2 3 2 4 2" xfId="3345"/>
    <cellStyle name="Comma 2 3 2 4 2 2" xfId="6267"/>
    <cellStyle name="Comma 2 3 2 4 3" xfId="4823"/>
    <cellStyle name="Comma 2 3 3" xfId="853"/>
    <cellStyle name="Comma 2 3 3 2" xfId="854"/>
    <cellStyle name="Comma 2 3 4" xfId="855"/>
    <cellStyle name="Comma 2 3 4 2" xfId="856"/>
    <cellStyle name="Comma 2 3 5" xfId="857"/>
    <cellStyle name="Comma 2 3 6" xfId="858"/>
    <cellStyle name="Comma 2 3 6 2" xfId="1682"/>
    <cellStyle name="Comma 2 3 6 2 2" xfId="3145"/>
    <cellStyle name="Comma 2 3 6 2 2 2" xfId="6067"/>
    <cellStyle name="Comma 2 3 6 2 3" xfId="4607"/>
    <cellStyle name="Comma 2 3 6 3" xfId="1982"/>
    <cellStyle name="Comma 2 3 6 3 2" xfId="3426"/>
    <cellStyle name="Comma 2 3 6 3 2 2" xfId="6348"/>
    <cellStyle name="Comma 2 3 6 3 3" xfId="4904"/>
    <cellStyle name="Comma 2 3 6 4" xfId="2551"/>
    <cellStyle name="Comma 2 3 6 4 2" xfId="5473"/>
    <cellStyle name="Comma 2 3 6 5" xfId="4000"/>
    <cellStyle name="Comma 2 3 6 6" xfId="6567"/>
    <cellStyle name="Comma 2 3 7" xfId="848"/>
    <cellStyle name="Comma 2 3 8" xfId="523"/>
    <cellStyle name="Comma 2 3 8 2" xfId="1429"/>
    <cellStyle name="Comma 2 3 8 2 2" xfId="2897"/>
    <cellStyle name="Comma 2 3 8 2 2 2" xfId="5819"/>
    <cellStyle name="Comma 2 3 8 2 3" xfId="4354"/>
    <cellStyle name="Comma 2 3 8 3" xfId="2303"/>
    <cellStyle name="Comma 2 3 8 3 2" xfId="5225"/>
    <cellStyle name="Comma 2 3 8 4" xfId="3752"/>
    <cellStyle name="Comma 2 3 9" xfId="1251"/>
    <cellStyle name="Comma 2 3 9 2" xfId="2722"/>
    <cellStyle name="Comma 2 3 9 2 2" xfId="5644"/>
    <cellStyle name="Comma 2 3 9 3" xfId="4176"/>
    <cellStyle name="Comma 2 4" xfId="859"/>
    <cellStyle name="Comma 2 4 2" xfId="860"/>
    <cellStyle name="Comma 2 4 2 2" xfId="861"/>
    <cellStyle name="Comma 2 4 3" xfId="862"/>
    <cellStyle name="Comma 2 4 4" xfId="1896"/>
    <cellStyle name="Comma 2 4 4 2" xfId="3341"/>
    <cellStyle name="Comma 2 4 4 2 2" xfId="6263"/>
    <cellStyle name="Comma 2 4 4 3" xfId="4819"/>
    <cellStyle name="Comma 2 5" xfId="1889"/>
    <cellStyle name="Comma 2 5 2" xfId="3335"/>
    <cellStyle name="Comma 2 5 2 2" xfId="6257"/>
    <cellStyle name="Comma 2 5 3" xfId="4812"/>
    <cellStyle name="Comma 20" xfId="863"/>
    <cellStyle name="Comma 21" xfId="864"/>
    <cellStyle name="Comma 22" xfId="865"/>
    <cellStyle name="Comma 23" xfId="866"/>
    <cellStyle name="Comma 24" xfId="867"/>
    <cellStyle name="Comma 24 2" xfId="868"/>
    <cellStyle name="Comma 24 2 2" xfId="869"/>
    <cellStyle name="Comma 24 2 2 2" xfId="870"/>
    <cellStyle name="Comma 24 2 3" xfId="871"/>
    <cellStyle name="Comma 24 3" xfId="872"/>
    <cellStyle name="Comma 24 3 2" xfId="873"/>
    <cellStyle name="Comma 24 4" xfId="874"/>
    <cellStyle name="Comma 25" xfId="875"/>
    <cellStyle name="Comma 26" xfId="876"/>
    <cellStyle name="Comma 27" xfId="877"/>
    <cellStyle name="Comma 28" xfId="878"/>
    <cellStyle name="Comma 29" xfId="879"/>
    <cellStyle name="Comma 3" xfId="35"/>
    <cellStyle name="Comma 3 2" xfId="36"/>
    <cellStyle name="Comma 3 2 2" xfId="881"/>
    <cellStyle name="Comma 3 2 3" xfId="882"/>
    <cellStyle name="Comma 3 2 4" xfId="880"/>
    <cellStyle name="Comma 3 2 5" xfId="524"/>
    <cellStyle name="Comma 3 3" xfId="37"/>
    <cellStyle name="Comma 3 4" xfId="38"/>
    <cellStyle name="Comma 3 4 2" xfId="884"/>
    <cellStyle name="Comma 3 4 3" xfId="885"/>
    <cellStyle name="Comma 3 4 3 2" xfId="1683"/>
    <cellStyle name="Comma 3 4 3 2 2" xfId="3146"/>
    <cellStyle name="Comma 3 4 3 2 2 2" xfId="6068"/>
    <cellStyle name="Comma 3 4 3 2 3" xfId="4608"/>
    <cellStyle name="Comma 3 4 3 3" xfId="1983"/>
    <cellStyle name="Comma 3 4 3 3 2" xfId="3427"/>
    <cellStyle name="Comma 3 4 3 3 2 2" xfId="6349"/>
    <cellStyle name="Comma 3 4 3 3 3" xfId="4905"/>
    <cellStyle name="Comma 3 4 3 4" xfId="2552"/>
    <cellStyle name="Comma 3 4 3 4 2" xfId="5474"/>
    <cellStyle name="Comma 3 4 3 5" xfId="4001"/>
    <cellStyle name="Comma 3 4 3 6" xfId="6568"/>
    <cellStyle name="Comma 3 4 4" xfId="883"/>
    <cellStyle name="Comma 3 4 5" xfId="525"/>
    <cellStyle name="Comma 3 4 5 2" xfId="1430"/>
    <cellStyle name="Comma 3 4 5 2 2" xfId="2898"/>
    <cellStyle name="Comma 3 4 5 2 2 2" xfId="5820"/>
    <cellStyle name="Comma 3 4 5 2 3" xfId="4355"/>
    <cellStyle name="Comma 3 4 5 3" xfId="2304"/>
    <cellStyle name="Comma 3 4 5 3 2" xfId="5226"/>
    <cellStyle name="Comma 3 4 5 4" xfId="3753"/>
    <cellStyle name="Comma 3 4 6" xfId="1252"/>
    <cellStyle name="Comma 3 4 6 2" xfId="2723"/>
    <cellStyle name="Comma 3 4 6 2 2" xfId="5645"/>
    <cellStyle name="Comma 3 4 6 3" xfId="4177"/>
    <cellStyle name="Comma 3 4 7" xfId="2129"/>
    <cellStyle name="Comma 3 4 7 2" xfId="5051"/>
    <cellStyle name="Comma 3 4 8" xfId="3573"/>
    <cellStyle name="Comma 30" xfId="886"/>
    <cellStyle name="Comma 31" xfId="887"/>
    <cellStyle name="Comma 32" xfId="888"/>
    <cellStyle name="Comma 33" xfId="889"/>
    <cellStyle name="Comma 34" xfId="890"/>
    <cellStyle name="Comma 35" xfId="891"/>
    <cellStyle name="Comma 36" xfId="892"/>
    <cellStyle name="Comma 37" xfId="893"/>
    <cellStyle name="Comma 38" xfId="894"/>
    <cellStyle name="Comma 39" xfId="895"/>
    <cellStyle name="Comma 4" xfId="39"/>
    <cellStyle name="Comma 4 2" xfId="40"/>
    <cellStyle name="Comma 4 3" xfId="41"/>
    <cellStyle name="Comma 4 3 2" xfId="897"/>
    <cellStyle name="Comma 4 3 3" xfId="898"/>
    <cellStyle name="Comma 4 3 3 2" xfId="1684"/>
    <cellStyle name="Comma 4 3 3 2 2" xfId="3147"/>
    <cellStyle name="Comma 4 3 3 2 2 2" xfId="6069"/>
    <cellStyle name="Comma 4 3 3 2 3" xfId="4609"/>
    <cellStyle name="Comma 4 3 3 3" xfId="1984"/>
    <cellStyle name="Comma 4 3 3 3 2" xfId="3428"/>
    <cellStyle name="Comma 4 3 3 3 2 2" xfId="6350"/>
    <cellStyle name="Comma 4 3 3 3 3" xfId="4906"/>
    <cellStyle name="Comma 4 3 3 4" xfId="2553"/>
    <cellStyle name="Comma 4 3 3 4 2" xfId="5475"/>
    <cellStyle name="Comma 4 3 3 5" xfId="4002"/>
    <cellStyle name="Comma 4 3 3 6" xfId="6569"/>
    <cellStyle name="Comma 4 3 4" xfId="896"/>
    <cellStyle name="Comma 4 3 5" xfId="526"/>
    <cellStyle name="Comma 4 3 5 2" xfId="1431"/>
    <cellStyle name="Comma 4 3 5 2 2" xfId="2899"/>
    <cellStyle name="Comma 4 3 5 2 2 2" xfId="5821"/>
    <cellStyle name="Comma 4 3 5 2 3" xfId="4356"/>
    <cellStyle name="Comma 4 3 5 3" xfId="2305"/>
    <cellStyle name="Comma 4 3 5 3 2" xfId="5227"/>
    <cellStyle name="Comma 4 3 5 4" xfId="3754"/>
    <cellStyle name="Comma 4 3 6" xfId="1253"/>
    <cellStyle name="Comma 4 3 6 2" xfId="2724"/>
    <cellStyle name="Comma 4 3 6 2 2" xfId="5646"/>
    <cellStyle name="Comma 4 3 6 3" xfId="4178"/>
    <cellStyle name="Comma 4 3 7" xfId="2130"/>
    <cellStyle name="Comma 4 3 7 2" xfId="5052"/>
    <cellStyle name="Comma 4 3 8" xfId="3574"/>
    <cellStyle name="Comma 4 4" xfId="1903"/>
    <cellStyle name="Comma 4 4 2" xfId="3348"/>
    <cellStyle name="Comma 4 4 2 2" xfId="6270"/>
    <cellStyle name="Comma 4 4 3" xfId="4826"/>
    <cellStyle name="Comma 40" xfId="899"/>
    <cellStyle name="Comma 40 2" xfId="900"/>
    <cellStyle name="Comma 41" xfId="901"/>
    <cellStyle name="Comma 41 2" xfId="902"/>
    <cellStyle name="Comma 42" xfId="903"/>
    <cellStyle name="Comma 42 2" xfId="904"/>
    <cellStyle name="Comma 43" xfId="905"/>
    <cellStyle name="Comma 43 2" xfId="906"/>
    <cellStyle name="Comma 44" xfId="907"/>
    <cellStyle name="Comma 44 2" xfId="908"/>
    <cellStyle name="Comma 45" xfId="909"/>
    <cellStyle name="Comma 45 2" xfId="910"/>
    <cellStyle name="Comma 46" xfId="911"/>
    <cellStyle name="Comma 46 2" xfId="912"/>
    <cellStyle name="Comma 47" xfId="913"/>
    <cellStyle name="Comma 47 2" xfId="914"/>
    <cellStyle name="Comma 48" xfId="915"/>
    <cellStyle name="Comma 48 2" xfId="916"/>
    <cellStyle name="Comma 49" xfId="917"/>
    <cellStyle name="Comma 49 2" xfId="918"/>
    <cellStyle name="Comma 5" xfId="42"/>
    <cellStyle name="Comma 5 2" xfId="43"/>
    <cellStyle name="Comma 5 3" xfId="44"/>
    <cellStyle name="Comma 5 3 2" xfId="920"/>
    <cellStyle name="Comma 5 3 3" xfId="921"/>
    <cellStyle name="Comma 5 3 3 2" xfId="1685"/>
    <cellStyle name="Comma 5 3 3 2 2" xfId="3148"/>
    <cellStyle name="Comma 5 3 3 2 2 2" xfId="6070"/>
    <cellStyle name="Comma 5 3 3 2 3" xfId="4610"/>
    <cellStyle name="Comma 5 3 3 3" xfId="1985"/>
    <cellStyle name="Comma 5 3 3 3 2" xfId="3429"/>
    <cellStyle name="Comma 5 3 3 3 2 2" xfId="6351"/>
    <cellStyle name="Comma 5 3 3 3 3" xfId="4907"/>
    <cellStyle name="Comma 5 3 3 4" xfId="2554"/>
    <cellStyle name="Comma 5 3 3 4 2" xfId="5476"/>
    <cellStyle name="Comma 5 3 3 5" xfId="4003"/>
    <cellStyle name="Comma 5 3 3 6" xfId="6570"/>
    <cellStyle name="Comma 5 3 4" xfId="919"/>
    <cellStyle name="Comma 5 3 5" xfId="527"/>
    <cellStyle name="Comma 5 3 5 2" xfId="1432"/>
    <cellStyle name="Comma 5 3 5 2 2" xfId="2900"/>
    <cellStyle name="Comma 5 3 5 2 2 2" xfId="5822"/>
    <cellStyle name="Comma 5 3 5 2 3" xfId="4357"/>
    <cellStyle name="Comma 5 3 5 3" xfId="2306"/>
    <cellStyle name="Comma 5 3 5 3 2" xfId="5228"/>
    <cellStyle name="Comma 5 3 5 4" xfId="3755"/>
    <cellStyle name="Comma 5 3 6" xfId="1254"/>
    <cellStyle name="Comma 5 3 6 2" xfId="2725"/>
    <cellStyle name="Comma 5 3 6 2 2" xfId="5647"/>
    <cellStyle name="Comma 5 3 6 3" xfId="4179"/>
    <cellStyle name="Comma 5 3 7" xfId="2131"/>
    <cellStyle name="Comma 5 3 7 2" xfId="5053"/>
    <cellStyle name="Comma 5 3 8" xfId="3575"/>
    <cellStyle name="Comma 50" xfId="922"/>
    <cellStyle name="Comma 50 2" xfId="923"/>
    <cellStyle name="Comma 51" xfId="924"/>
    <cellStyle name="Comma 51 2" xfId="925"/>
    <cellStyle name="Comma 51 3" xfId="926"/>
    <cellStyle name="Comma 52" xfId="927"/>
    <cellStyle name="Comma 52 2" xfId="928"/>
    <cellStyle name="Comma 53" xfId="929"/>
    <cellStyle name="Comma 53 2" xfId="930"/>
    <cellStyle name="Comma 54" xfId="931"/>
    <cellStyle name="Comma 54 2" xfId="932"/>
    <cellStyle name="Comma 55" xfId="933"/>
    <cellStyle name="Comma 55 2" xfId="934"/>
    <cellStyle name="Comma 56" xfId="935"/>
    <cellStyle name="Comma 56 2" xfId="936"/>
    <cellStyle name="Comma 57" xfId="937"/>
    <cellStyle name="Comma 57 2" xfId="938"/>
    <cellStyle name="Comma 58" xfId="939"/>
    <cellStyle name="Comma 58 2" xfId="940"/>
    <cellStyle name="Comma 59" xfId="941"/>
    <cellStyle name="Comma 59 2" xfId="942"/>
    <cellStyle name="Comma 6" xfId="45"/>
    <cellStyle name="Comma 6 2" xfId="46"/>
    <cellStyle name="Comma 6 3" xfId="47"/>
    <cellStyle name="Comma 6 3 2" xfId="944"/>
    <cellStyle name="Comma 6 3 3" xfId="945"/>
    <cellStyle name="Comma 6 3 3 2" xfId="1686"/>
    <cellStyle name="Comma 6 3 3 2 2" xfId="3149"/>
    <cellStyle name="Comma 6 3 3 2 2 2" xfId="6071"/>
    <cellStyle name="Comma 6 3 3 2 3" xfId="4611"/>
    <cellStyle name="Comma 6 3 3 3" xfId="1986"/>
    <cellStyle name="Comma 6 3 3 3 2" xfId="3430"/>
    <cellStyle name="Comma 6 3 3 3 2 2" xfId="6352"/>
    <cellStyle name="Comma 6 3 3 3 3" xfId="4908"/>
    <cellStyle name="Comma 6 3 3 4" xfId="2555"/>
    <cellStyle name="Comma 6 3 3 4 2" xfId="5477"/>
    <cellStyle name="Comma 6 3 3 5" xfId="4004"/>
    <cellStyle name="Comma 6 3 3 6" xfId="6571"/>
    <cellStyle name="Comma 6 3 4" xfId="943"/>
    <cellStyle name="Comma 6 3 5" xfId="528"/>
    <cellStyle name="Comma 6 3 5 2" xfId="1433"/>
    <cellStyle name="Comma 6 3 5 2 2" xfId="2901"/>
    <cellStyle name="Comma 6 3 5 2 2 2" xfId="5823"/>
    <cellStyle name="Comma 6 3 5 2 3" xfId="4358"/>
    <cellStyle name="Comma 6 3 5 3" xfId="2307"/>
    <cellStyle name="Comma 6 3 5 3 2" xfId="5229"/>
    <cellStyle name="Comma 6 3 5 4" xfId="3756"/>
    <cellStyle name="Comma 6 3 6" xfId="1255"/>
    <cellStyle name="Comma 6 3 6 2" xfId="2726"/>
    <cellStyle name="Comma 6 3 6 2 2" xfId="5648"/>
    <cellStyle name="Comma 6 3 6 3" xfId="4180"/>
    <cellStyle name="Comma 6 3 7" xfId="2132"/>
    <cellStyle name="Comma 6 3 7 2" xfId="5054"/>
    <cellStyle name="Comma 6 3 8" xfId="3576"/>
    <cellStyle name="Comma 60" xfId="946"/>
    <cellStyle name="Comma 60 2" xfId="947"/>
    <cellStyle name="Comma 61" xfId="948"/>
    <cellStyle name="Comma 61 2" xfId="949"/>
    <cellStyle name="Comma 62" xfId="950"/>
    <cellStyle name="Comma 62 2" xfId="951"/>
    <cellStyle name="Comma 63" xfId="952"/>
    <cellStyle name="Comma 63 2" xfId="953"/>
    <cellStyle name="Comma 64" xfId="954"/>
    <cellStyle name="Comma 64 2" xfId="955"/>
    <cellStyle name="Comma 65" xfId="956"/>
    <cellStyle name="Comma 65 2" xfId="957"/>
    <cellStyle name="Comma 66" xfId="958"/>
    <cellStyle name="Comma 66 2" xfId="1687"/>
    <cellStyle name="Comma 66 2 2" xfId="3150"/>
    <cellStyle name="Comma 66 2 2 2" xfId="6072"/>
    <cellStyle name="Comma 66 2 3" xfId="4612"/>
    <cellStyle name="Comma 66 3" xfId="1987"/>
    <cellStyle name="Comma 66 3 2" xfId="3431"/>
    <cellStyle name="Comma 66 3 2 2" xfId="6353"/>
    <cellStyle name="Comma 66 3 3" xfId="4909"/>
    <cellStyle name="Comma 66 4" xfId="2556"/>
    <cellStyle name="Comma 66 4 2" xfId="5478"/>
    <cellStyle name="Comma 66 5" xfId="4005"/>
    <cellStyle name="Comma 66 6" xfId="6572"/>
    <cellStyle name="Comma 67" xfId="959"/>
    <cellStyle name="Comma 67 2" xfId="1688"/>
    <cellStyle name="Comma 67 2 2" xfId="3151"/>
    <cellStyle name="Comma 67 2 2 2" xfId="6073"/>
    <cellStyle name="Comma 67 2 3" xfId="4613"/>
    <cellStyle name="Comma 67 3" xfId="1988"/>
    <cellStyle name="Comma 67 3 2" xfId="3432"/>
    <cellStyle name="Comma 67 3 2 2" xfId="6354"/>
    <cellStyle name="Comma 67 3 3" xfId="4910"/>
    <cellStyle name="Comma 67 4" xfId="2557"/>
    <cellStyle name="Comma 67 4 2" xfId="5479"/>
    <cellStyle name="Comma 67 5" xfId="4006"/>
    <cellStyle name="Comma 67 6" xfId="6573"/>
    <cellStyle name="Comma 68" xfId="960"/>
    <cellStyle name="Comma 68 2" xfId="1689"/>
    <cellStyle name="Comma 68 2 2" xfId="3152"/>
    <cellStyle name="Comma 68 2 2 2" xfId="6074"/>
    <cellStyle name="Comma 68 2 3" xfId="4614"/>
    <cellStyle name="Comma 68 3" xfId="1989"/>
    <cellStyle name="Comma 68 3 2" xfId="3433"/>
    <cellStyle name="Comma 68 3 2 2" xfId="6355"/>
    <cellStyle name="Comma 68 3 3" xfId="4911"/>
    <cellStyle name="Comma 68 4" xfId="2558"/>
    <cellStyle name="Comma 68 4 2" xfId="5480"/>
    <cellStyle name="Comma 68 5" xfId="4007"/>
    <cellStyle name="Comma 68 6" xfId="6574"/>
    <cellStyle name="Comma 69" xfId="961"/>
    <cellStyle name="Comma 69 2" xfId="1690"/>
    <cellStyle name="Comma 69 2 2" xfId="3153"/>
    <cellStyle name="Comma 69 2 2 2" xfId="6075"/>
    <cellStyle name="Comma 69 2 3" xfId="4615"/>
    <cellStyle name="Comma 69 3" xfId="1990"/>
    <cellStyle name="Comma 69 3 2" xfId="3434"/>
    <cellStyle name="Comma 69 3 2 2" xfId="6356"/>
    <cellStyle name="Comma 69 3 3" xfId="4912"/>
    <cellStyle name="Comma 69 4" xfId="2559"/>
    <cellStyle name="Comma 69 4 2" xfId="5481"/>
    <cellStyle name="Comma 69 5" xfId="4008"/>
    <cellStyle name="Comma 69 6" xfId="6575"/>
    <cellStyle name="Comma 7" xfId="48"/>
    <cellStyle name="Comma 7 2" xfId="49"/>
    <cellStyle name="Comma 7 3" xfId="50"/>
    <cellStyle name="Comma 7 3 2" xfId="963"/>
    <cellStyle name="Comma 7 3 3" xfId="964"/>
    <cellStyle name="Comma 7 3 3 2" xfId="1691"/>
    <cellStyle name="Comma 7 3 3 2 2" xfId="3154"/>
    <cellStyle name="Comma 7 3 3 2 2 2" xfId="6076"/>
    <cellStyle name="Comma 7 3 3 2 3" xfId="4616"/>
    <cellStyle name="Comma 7 3 3 3" xfId="1991"/>
    <cellStyle name="Comma 7 3 3 3 2" xfId="3435"/>
    <cellStyle name="Comma 7 3 3 3 2 2" xfId="6357"/>
    <cellStyle name="Comma 7 3 3 3 3" xfId="4913"/>
    <cellStyle name="Comma 7 3 3 4" xfId="2560"/>
    <cellStyle name="Comma 7 3 3 4 2" xfId="5482"/>
    <cellStyle name="Comma 7 3 3 5" xfId="4009"/>
    <cellStyle name="Comma 7 3 3 6" xfId="6576"/>
    <cellStyle name="Comma 7 3 4" xfId="962"/>
    <cellStyle name="Comma 7 3 5" xfId="529"/>
    <cellStyle name="Comma 7 3 5 2" xfId="1434"/>
    <cellStyle name="Comma 7 3 5 2 2" xfId="2902"/>
    <cellStyle name="Comma 7 3 5 2 2 2" xfId="5824"/>
    <cellStyle name="Comma 7 3 5 2 3" xfId="4359"/>
    <cellStyle name="Comma 7 3 5 3" xfId="2308"/>
    <cellStyle name="Comma 7 3 5 3 2" xfId="5230"/>
    <cellStyle name="Comma 7 3 5 4" xfId="3757"/>
    <cellStyle name="Comma 7 3 6" xfId="1256"/>
    <cellStyle name="Comma 7 3 6 2" xfId="2727"/>
    <cellStyle name="Comma 7 3 6 2 2" xfId="5649"/>
    <cellStyle name="Comma 7 3 6 3" xfId="4181"/>
    <cellStyle name="Comma 7 3 7" xfId="2133"/>
    <cellStyle name="Comma 7 3 7 2" xfId="5055"/>
    <cellStyle name="Comma 7 3 8" xfId="3577"/>
    <cellStyle name="Comma 70" xfId="1225"/>
    <cellStyle name="Comma 70 2" xfId="1843"/>
    <cellStyle name="Comma 70 2 2" xfId="3291"/>
    <cellStyle name="Comma 70 2 2 2" xfId="6213"/>
    <cellStyle name="Comma 70 2 3" xfId="4768"/>
    <cellStyle name="Comma 70 3" xfId="2697"/>
    <cellStyle name="Comma 70 3 2" xfId="5619"/>
    <cellStyle name="Comma 70 4" xfId="4150"/>
    <cellStyle name="Comma 71" xfId="1228"/>
    <cellStyle name="Comma 71 2" xfId="1846"/>
    <cellStyle name="Comma 71 2 2" xfId="3294"/>
    <cellStyle name="Comma 71 2 2 2" xfId="6216"/>
    <cellStyle name="Comma 71 2 3" xfId="4771"/>
    <cellStyle name="Comma 71 3" xfId="2700"/>
    <cellStyle name="Comma 71 3 2" xfId="5622"/>
    <cellStyle name="Comma 71 4" xfId="4153"/>
    <cellStyle name="Comma 72" xfId="1232"/>
    <cellStyle name="Comma 72 2" xfId="1850"/>
    <cellStyle name="Comma 72 2 2" xfId="3298"/>
    <cellStyle name="Comma 72 2 2 2" xfId="6220"/>
    <cellStyle name="Comma 72 2 3" xfId="4775"/>
    <cellStyle name="Comma 72 3" xfId="2704"/>
    <cellStyle name="Comma 72 3 2" xfId="5626"/>
    <cellStyle name="Comma 72 4" xfId="4157"/>
    <cellStyle name="Comma 73" xfId="1874"/>
    <cellStyle name="Comma 73 2" xfId="3322"/>
    <cellStyle name="Comma 73 2 2" xfId="6244"/>
    <cellStyle name="Comma 73 3" xfId="4799"/>
    <cellStyle name="Comma 74" xfId="1888"/>
    <cellStyle name="Comma 75" xfId="1905"/>
    <cellStyle name="Comma 75 2" xfId="3350"/>
    <cellStyle name="Comma 75 2 2" xfId="6272"/>
    <cellStyle name="Comma 75 3" xfId="4828"/>
    <cellStyle name="Comma 8" xfId="51"/>
    <cellStyle name="Comma 8 2" xfId="52"/>
    <cellStyle name="Comma 8 2 2" xfId="965"/>
    <cellStyle name="Comma 9" xfId="53"/>
    <cellStyle name="Comma 9 2" xfId="967"/>
    <cellStyle name="Comma 9 2 2" xfId="968"/>
    <cellStyle name="Comma 9 3" xfId="969"/>
    <cellStyle name="Comma 9 4" xfId="966"/>
    <cellStyle name="Comma 9 5" xfId="530"/>
    <cellStyle name="Copied" xfId="54"/>
    <cellStyle name="COSS" xfId="55"/>
    <cellStyle name="Currency 2" xfId="56"/>
    <cellStyle name="Currency 2 2" xfId="57"/>
    <cellStyle name="Currency 2 3" xfId="58"/>
    <cellStyle name="Currency 2 3 2" xfId="971"/>
    <cellStyle name="Currency 2 3 3" xfId="972"/>
    <cellStyle name="Currency 2 3 3 2" xfId="1692"/>
    <cellStyle name="Currency 2 3 3 2 2" xfId="3155"/>
    <cellStyle name="Currency 2 3 3 2 2 2" xfId="6077"/>
    <cellStyle name="Currency 2 3 3 2 3" xfId="4617"/>
    <cellStyle name="Currency 2 3 3 3" xfId="1992"/>
    <cellStyle name="Currency 2 3 3 3 2" xfId="3436"/>
    <cellStyle name="Currency 2 3 3 3 2 2" xfId="6358"/>
    <cellStyle name="Currency 2 3 3 3 3" xfId="4914"/>
    <cellStyle name="Currency 2 3 3 4" xfId="2561"/>
    <cellStyle name="Currency 2 3 3 4 2" xfId="5483"/>
    <cellStyle name="Currency 2 3 3 5" xfId="4010"/>
    <cellStyle name="Currency 2 3 3 6" xfId="6577"/>
    <cellStyle name="Currency 2 3 4" xfId="970"/>
    <cellStyle name="Currency 2 3 5" xfId="531"/>
    <cellStyle name="Currency 2 3 5 2" xfId="1435"/>
    <cellStyle name="Currency 2 3 5 2 2" xfId="2903"/>
    <cellStyle name="Currency 2 3 5 2 2 2" xfId="5825"/>
    <cellStyle name="Currency 2 3 5 2 3" xfId="4360"/>
    <cellStyle name="Currency 2 3 5 3" xfId="2309"/>
    <cellStyle name="Currency 2 3 5 3 2" xfId="5231"/>
    <cellStyle name="Currency 2 3 5 4" xfId="3758"/>
    <cellStyle name="Currency 2 3 6" xfId="1257"/>
    <cellStyle name="Currency 2 3 6 2" xfId="2728"/>
    <cellStyle name="Currency 2 3 6 2 2" xfId="5650"/>
    <cellStyle name="Currency 2 3 6 3" xfId="4182"/>
    <cellStyle name="Currency 2 3 7" xfId="2134"/>
    <cellStyle name="Currency 2 3 7 2" xfId="5056"/>
    <cellStyle name="Currency 2 3 8" xfId="3578"/>
    <cellStyle name="Currency 3" xfId="59"/>
    <cellStyle name="Currency 3 2" xfId="60"/>
    <cellStyle name="Currency 3 2 2" xfId="974"/>
    <cellStyle name="Currency 3 2 3" xfId="975"/>
    <cellStyle name="Currency 3 2 3 2" xfId="1693"/>
    <cellStyle name="Currency 3 2 3 2 2" xfId="3156"/>
    <cellStyle name="Currency 3 2 3 2 2 2" xfId="6078"/>
    <cellStyle name="Currency 3 2 3 2 3" xfId="4618"/>
    <cellStyle name="Currency 3 2 3 3" xfId="1993"/>
    <cellStyle name="Currency 3 2 3 3 2" xfId="3437"/>
    <cellStyle name="Currency 3 2 3 3 2 2" xfId="6359"/>
    <cellStyle name="Currency 3 2 3 3 3" xfId="4915"/>
    <cellStyle name="Currency 3 2 3 4" xfId="2562"/>
    <cellStyle name="Currency 3 2 3 4 2" xfId="5484"/>
    <cellStyle name="Currency 3 2 3 5" xfId="4011"/>
    <cellStyle name="Currency 3 2 3 6" xfId="6578"/>
    <cellStyle name="Currency 3 2 4" xfId="973"/>
    <cellStyle name="Currency 3 2 5" xfId="532"/>
    <cellStyle name="Currency 3 2 5 2" xfId="1436"/>
    <cellStyle name="Currency 3 2 5 2 2" xfId="2904"/>
    <cellStyle name="Currency 3 2 5 2 2 2" xfId="5826"/>
    <cellStyle name="Currency 3 2 5 2 3" xfId="4361"/>
    <cellStyle name="Currency 3 2 5 3" xfId="2310"/>
    <cellStyle name="Currency 3 2 5 3 2" xfId="5232"/>
    <cellStyle name="Currency 3 2 5 4" xfId="3759"/>
    <cellStyle name="Currency 3 2 6" xfId="1258"/>
    <cellStyle name="Currency 3 2 6 2" xfId="2729"/>
    <cellStyle name="Currency 3 2 6 2 2" xfId="5651"/>
    <cellStyle name="Currency 3 2 6 3" xfId="4183"/>
    <cellStyle name="Currency 3 2 7" xfId="2135"/>
    <cellStyle name="Currency 3 2 7 2" xfId="5057"/>
    <cellStyle name="Currency 3 2 8" xfId="3579"/>
    <cellStyle name="Currency 3 3" xfId="976"/>
    <cellStyle name="Currency 3 4" xfId="977"/>
    <cellStyle name="Currency 4" xfId="61"/>
    <cellStyle name="Currency 4 2" xfId="979"/>
    <cellStyle name="Currency 4 3" xfId="980"/>
    <cellStyle name="Currency 4 4" xfId="981"/>
    <cellStyle name="Currency 4 4 2" xfId="1694"/>
    <cellStyle name="Currency 4 4 2 2" xfId="3157"/>
    <cellStyle name="Currency 4 4 2 2 2" xfId="6079"/>
    <cellStyle name="Currency 4 4 2 3" xfId="4619"/>
    <cellStyle name="Currency 4 4 3" xfId="1994"/>
    <cellStyle name="Currency 4 4 3 2" xfId="3438"/>
    <cellStyle name="Currency 4 4 3 2 2" xfId="6360"/>
    <cellStyle name="Currency 4 4 3 3" xfId="4916"/>
    <cellStyle name="Currency 4 4 4" xfId="2563"/>
    <cellStyle name="Currency 4 4 4 2" xfId="5485"/>
    <cellStyle name="Currency 4 4 5" xfId="4012"/>
    <cellStyle name="Currency 4 4 6" xfId="6579"/>
    <cellStyle name="Currency 4 5" xfId="978"/>
    <cellStyle name="Currency 4 6" xfId="533"/>
    <cellStyle name="Currency 4 6 2" xfId="1437"/>
    <cellStyle name="Currency 4 6 2 2" xfId="2905"/>
    <cellStyle name="Currency 4 6 2 2 2" xfId="5827"/>
    <cellStyle name="Currency 4 6 2 3" xfId="4362"/>
    <cellStyle name="Currency 4 6 3" xfId="2311"/>
    <cellStyle name="Currency 4 6 3 2" xfId="5233"/>
    <cellStyle name="Currency 4 6 4" xfId="3760"/>
    <cellStyle name="Currency 4 7" xfId="1259"/>
    <cellStyle name="Currency 4 7 2" xfId="2730"/>
    <cellStyle name="Currency 4 7 2 2" xfId="5652"/>
    <cellStyle name="Currency 4 7 3" xfId="4184"/>
    <cellStyle name="Currency 4 8" xfId="2136"/>
    <cellStyle name="Currency 4 8 2" xfId="5058"/>
    <cellStyle name="Currency 4 9" xfId="3580"/>
    <cellStyle name="Currency 5" xfId="62"/>
    <cellStyle name="Currency 5 2" xfId="983"/>
    <cellStyle name="Currency 5 3" xfId="984"/>
    <cellStyle name="Currency 5 4" xfId="985"/>
    <cellStyle name="Currency 5 4 2" xfId="1695"/>
    <cellStyle name="Currency 5 4 2 2" xfId="3158"/>
    <cellStyle name="Currency 5 4 2 2 2" xfId="6080"/>
    <cellStyle name="Currency 5 4 2 3" xfId="4620"/>
    <cellStyle name="Currency 5 4 3" xfId="1995"/>
    <cellStyle name="Currency 5 4 3 2" xfId="3439"/>
    <cellStyle name="Currency 5 4 3 2 2" xfId="6361"/>
    <cellStyle name="Currency 5 4 3 3" xfId="4917"/>
    <cellStyle name="Currency 5 4 4" xfId="2564"/>
    <cellStyle name="Currency 5 4 4 2" xfId="5486"/>
    <cellStyle name="Currency 5 4 5" xfId="4013"/>
    <cellStyle name="Currency 5 4 6" xfId="6580"/>
    <cellStyle name="Currency 5 5" xfId="982"/>
    <cellStyle name="Currency 5 6" xfId="534"/>
    <cellStyle name="Currency 5 6 2" xfId="1438"/>
    <cellStyle name="Currency 5 6 2 2" xfId="2906"/>
    <cellStyle name="Currency 5 6 2 2 2" xfId="5828"/>
    <cellStyle name="Currency 5 6 2 3" xfId="4363"/>
    <cellStyle name="Currency 5 6 3" xfId="2312"/>
    <cellStyle name="Currency 5 6 3 2" xfId="5234"/>
    <cellStyle name="Currency 5 6 4" xfId="3761"/>
    <cellStyle name="Currency 5 7" xfId="1260"/>
    <cellStyle name="Currency 5 7 2" xfId="2731"/>
    <cellStyle name="Currency 5 7 2 2" xfId="5653"/>
    <cellStyle name="Currency 5 7 3" xfId="4185"/>
    <cellStyle name="Currency 5 8" xfId="2137"/>
    <cellStyle name="Currency 5 8 2" xfId="5059"/>
    <cellStyle name="Currency 5 9" xfId="3581"/>
    <cellStyle name="Currency 6" xfId="63"/>
    <cellStyle name="Currency 6 2" xfId="987"/>
    <cellStyle name="Currency 6 3" xfId="988"/>
    <cellStyle name="Currency 6 3 2" xfId="1696"/>
    <cellStyle name="Currency 6 3 2 2" xfId="3159"/>
    <cellStyle name="Currency 6 3 2 2 2" xfId="6081"/>
    <cellStyle name="Currency 6 3 2 3" xfId="4621"/>
    <cellStyle name="Currency 6 3 3" xfId="1996"/>
    <cellStyle name="Currency 6 3 3 2" xfId="3440"/>
    <cellStyle name="Currency 6 3 3 2 2" xfId="6362"/>
    <cellStyle name="Currency 6 3 3 3" xfId="4918"/>
    <cellStyle name="Currency 6 3 4" xfId="2565"/>
    <cellStyle name="Currency 6 3 4 2" xfId="5487"/>
    <cellStyle name="Currency 6 3 5" xfId="4014"/>
    <cellStyle name="Currency 6 3 6" xfId="6581"/>
    <cellStyle name="Currency 6 4" xfId="986"/>
    <cellStyle name="Currency 6 5" xfId="535"/>
    <cellStyle name="Currency 6 5 2" xfId="1439"/>
    <cellStyle name="Currency 6 5 2 2" xfId="2907"/>
    <cellStyle name="Currency 6 5 2 2 2" xfId="5829"/>
    <cellStyle name="Currency 6 5 2 3" xfId="4364"/>
    <cellStyle name="Currency 6 5 3" xfId="2313"/>
    <cellStyle name="Currency 6 5 3 2" xfId="5235"/>
    <cellStyle name="Currency 6 5 4" xfId="3762"/>
    <cellStyle name="Currency 6 6" xfId="1261"/>
    <cellStyle name="Currency 6 6 2" xfId="2732"/>
    <cellStyle name="Currency 6 6 2 2" xfId="5654"/>
    <cellStyle name="Currency 6 6 3" xfId="4186"/>
    <cellStyle name="Currency 6 7" xfId="2138"/>
    <cellStyle name="Currency 6 7 2" xfId="5060"/>
    <cellStyle name="Currency 6 8" xfId="3582"/>
    <cellStyle name="Currency 7" xfId="64"/>
    <cellStyle name="Currency 7 2" xfId="65"/>
    <cellStyle name="Currency 7 2 2" xfId="990"/>
    <cellStyle name="Currency 7 2 3" xfId="991"/>
    <cellStyle name="Currency 7 2 3 2" xfId="1697"/>
    <cellStyle name="Currency 7 2 3 2 2" xfId="3160"/>
    <cellStyle name="Currency 7 2 3 2 2 2" xfId="6082"/>
    <cellStyle name="Currency 7 2 3 2 3" xfId="4622"/>
    <cellStyle name="Currency 7 2 3 3" xfId="1997"/>
    <cellStyle name="Currency 7 2 3 3 2" xfId="3441"/>
    <cellStyle name="Currency 7 2 3 3 2 2" xfId="6363"/>
    <cellStyle name="Currency 7 2 3 3 3" xfId="4919"/>
    <cellStyle name="Currency 7 2 3 4" xfId="2566"/>
    <cellStyle name="Currency 7 2 3 4 2" xfId="5488"/>
    <cellStyle name="Currency 7 2 3 5" xfId="4015"/>
    <cellStyle name="Currency 7 2 3 6" xfId="6582"/>
    <cellStyle name="Currency 7 2 4" xfId="989"/>
    <cellStyle name="Currency 7 2 5" xfId="536"/>
    <cellStyle name="Currency 7 2 5 2" xfId="1440"/>
    <cellStyle name="Currency 7 2 5 2 2" xfId="2908"/>
    <cellStyle name="Currency 7 2 5 2 2 2" xfId="5830"/>
    <cellStyle name="Currency 7 2 5 2 3" xfId="4365"/>
    <cellStyle name="Currency 7 2 5 3" xfId="2314"/>
    <cellStyle name="Currency 7 2 5 3 2" xfId="5236"/>
    <cellStyle name="Currency 7 2 5 4" xfId="3763"/>
    <cellStyle name="Currency 7 2 6" xfId="1262"/>
    <cellStyle name="Currency 7 2 6 2" xfId="2733"/>
    <cellStyle name="Currency 7 2 6 2 2" xfId="5655"/>
    <cellStyle name="Currency 7 2 6 3" xfId="4187"/>
    <cellStyle name="Currency 7 2 7" xfId="2139"/>
    <cellStyle name="Currency 7 2 7 2" xfId="5061"/>
    <cellStyle name="Currency 7 2 8" xfId="3583"/>
    <cellStyle name="Currency 8" xfId="483"/>
    <cellStyle name="Currency 8 2" xfId="993"/>
    <cellStyle name="Currency 8 3" xfId="992"/>
    <cellStyle name="Currency 8 4" xfId="662"/>
    <cellStyle name="Currency 8 4 2" xfId="1566"/>
    <cellStyle name="Currency 8 4 2 2" xfId="3034"/>
    <cellStyle name="Currency 8 4 2 2 2" xfId="5956"/>
    <cellStyle name="Currency 8 4 2 3" xfId="4491"/>
    <cellStyle name="Currency 8 4 3" xfId="2440"/>
    <cellStyle name="Currency 8 4 3 2" xfId="5362"/>
    <cellStyle name="Currency 8 4 4" xfId="3889"/>
    <cellStyle name="Currency 8 5" xfId="1391"/>
    <cellStyle name="Currency 8 5 2" xfId="2859"/>
    <cellStyle name="Currency 8 5 2 2" xfId="5781"/>
    <cellStyle name="Currency 8 5 3" xfId="4316"/>
    <cellStyle name="Currency 8 6" xfId="2265"/>
    <cellStyle name="Currency 8 6 2" xfId="5187"/>
    <cellStyle name="Currency 8 7" xfId="3714"/>
    <cellStyle name="Currency 9" xfId="1233"/>
    <cellStyle name="Currency 9 2" xfId="1851"/>
    <cellStyle name="Currency 9 2 2" xfId="3299"/>
    <cellStyle name="Currency 9 2 2 2" xfId="6221"/>
    <cellStyle name="Currency 9 2 3" xfId="4776"/>
    <cellStyle name="Currency 9 3" xfId="2705"/>
    <cellStyle name="Currency 9 3 2" xfId="5627"/>
    <cellStyle name="Currency 9 4" xfId="4158"/>
    <cellStyle name="Date" xfId="66"/>
    <cellStyle name="Entered" xfId="67"/>
    <cellStyle name="Explanatory Text" xfId="362" builtinId="53" customBuiltin="1"/>
    <cellStyle name="Explanatory Text 2" xfId="68"/>
    <cellStyle name="Good" xfId="353" builtinId="26" customBuiltin="1"/>
    <cellStyle name="Good 2" xfId="69"/>
    <cellStyle name="Good 2 2" xfId="994"/>
    <cellStyle name="Good 3" xfId="995"/>
    <cellStyle name="Grey" xfId="70"/>
    <cellStyle name="Header1" xfId="71"/>
    <cellStyle name="Header2" xfId="72"/>
    <cellStyle name="Header2 2" xfId="996"/>
    <cellStyle name="Header2 2 2" xfId="1698"/>
    <cellStyle name="Header2 2 2 2" xfId="4623"/>
    <cellStyle name="Header2 3" xfId="1263"/>
    <cellStyle name="Header2 3 2" xfId="4188"/>
    <cellStyle name="Heading 1" xfId="349" builtinId="16" customBuiltin="1"/>
    <cellStyle name="Heading 1 2" xfId="73"/>
    <cellStyle name="Heading 1 2 2" xfId="997"/>
    <cellStyle name="Heading 1 3" xfId="998"/>
    <cellStyle name="Heading 2" xfId="350" builtinId="17" customBuiltin="1"/>
    <cellStyle name="Heading 2 2" xfId="74"/>
    <cellStyle name="Heading 2 2 2" xfId="999"/>
    <cellStyle name="Heading 2 3" xfId="1000"/>
    <cellStyle name="Heading 3" xfId="351" builtinId="18" customBuiltin="1"/>
    <cellStyle name="Heading 3 2" xfId="75"/>
    <cellStyle name="Heading 3 2 2" xfId="1001"/>
    <cellStyle name="Heading 3 3" xfId="1002"/>
    <cellStyle name="Heading 4" xfId="352" builtinId="19" customBuiltin="1"/>
    <cellStyle name="Heading 4 2" xfId="76"/>
    <cellStyle name="Heading 4 2 2" xfId="1003"/>
    <cellStyle name="Heading 4 3" xfId="1004"/>
    <cellStyle name="Input" xfId="356" builtinId="20" customBuiltin="1"/>
    <cellStyle name="Input [yellow]" xfId="77"/>
    <cellStyle name="Input [yellow] 2" xfId="1005"/>
    <cellStyle name="Input [yellow] 2 2" xfId="1699"/>
    <cellStyle name="Input [yellow] 2 2 2" xfId="4624"/>
    <cellStyle name="Input [yellow] 3" xfId="1264"/>
    <cellStyle name="Input [yellow] 3 2" xfId="4189"/>
    <cellStyle name="Input 2" xfId="78"/>
    <cellStyle name="Input 2 2" xfId="1006"/>
    <cellStyle name="Input 2 2 2" xfId="1007"/>
    <cellStyle name="Input 2 2 2 2" xfId="1701"/>
    <cellStyle name="Input 2 2 2 2 2" xfId="4626"/>
    <cellStyle name="Input 2 2 3" xfId="1700"/>
    <cellStyle name="Input 2 2 3 2" xfId="4625"/>
    <cellStyle name="Input 2 3" xfId="1008"/>
    <cellStyle name="Input 2 3 2" xfId="1702"/>
    <cellStyle name="Input 2 3 2 2" xfId="4627"/>
    <cellStyle name="Input 2 4" xfId="1265"/>
    <cellStyle name="Input 2 4 2" xfId="4190"/>
    <cellStyle name="Input 3" xfId="1009"/>
    <cellStyle name="Input 3 2" xfId="1010"/>
    <cellStyle name="Input 3 2 2" xfId="1704"/>
    <cellStyle name="Input 3 2 2 2" xfId="4629"/>
    <cellStyle name="Input 3 3" xfId="1703"/>
    <cellStyle name="Input 3 3 2" xfId="4628"/>
    <cellStyle name="Input 4" xfId="1011"/>
    <cellStyle name="Input 4 2" xfId="1012"/>
    <cellStyle name="Input 4 2 2" xfId="1706"/>
    <cellStyle name="Input 4 2 2 2" xfId="4631"/>
    <cellStyle name="Input 4 3" xfId="1705"/>
    <cellStyle name="Input 4 3 2" xfId="4630"/>
    <cellStyle name="Input 5" xfId="1013"/>
    <cellStyle name="Input 5 2" xfId="1014"/>
    <cellStyle name="Input 5 2 2" xfId="1708"/>
    <cellStyle name="Input 5 2 2 2" xfId="4633"/>
    <cellStyle name="Input 5 3" xfId="1707"/>
    <cellStyle name="Input 5 3 2" xfId="4632"/>
    <cellStyle name="Input 6" xfId="1015"/>
    <cellStyle name="Input 6 2" xfId="1016"/>
    <cellStyle name="Input 6 2 2" xfId="1710"/>
    <cellStyle name="Input 6 2 2 2" xfId="4635"/>
    <cellStyle name="Input 6 3" xfId="1709"/>
    <cellStyle name="Input 6 3 2" xfId="4634"/>
    <cellStyle name="Input 7" xfId="1017"/>
    <cellStyle name="Input 7 2" xfId="1018"/>
    <cellStyle name="Input 7 2 2" xfId="1712"/>
    <cellStyle name="Input 7 2 2 2" xfId="4637"/>
    <cellStyle name="Input 7 3" xfId="1711"/>
    <cellStyle name="Input 7 3 2" xfId="4636"/>
    <cellStyle name="Input 8" xfId="1890"/>
    <cellStyle name="Input 8 2" xfId="4813"/>
    <cellStyle name="Linked Cell" xfId="359" builtinId="24" customBuiltin="1"/>
    <cellStyle name="Linked Cell 2" xfId="79"/>
    <cellStyle name="Linked Cell 2 2" xfId="1019"/>
    <cellStyle name="Linked Cell 3" xfId="1020"/>
    <cellStyle name="Neutral" xfId="355" builtinId="28" customBuiltin="1"/>
    <cellStyle name="Neutral 2" xfId="80"/>
    <cellStyle name="Neutral 2 2" xfId="1021"/>
    <cellStyle name="Neutral 3" xfId="1022"/>
    <cellStyle name="Normal" xfId="0" builtinId="0"/>
    <cellStyle name="Normal - Style1" xfId="81"/>
    <cellStyle name="Normal - Style1 2" xfId="82"/>
    <cellStyle name="Normal 10" xfId="83"/>
    <cellStyle name="Normal 10 2" xfId="480"/>
    <cellStyle name="Normal 10 3" xfId="1023"/>
    <cellStyle name="Normal 100" xfId="84"/>
    <cellStyle name="Normal 101" xfId="85"/>
    <cellStyle name="Normal 102" xfId="86"/>
    <cellStyle name="Normal 103" xfId="87"/>
    <cellStyle name="Normal 104" xfId="88"/>
    <cellStyle name="Normal 105" xfId="89"/>
    <cellStyle name="Normal 106" xfId="90"/>
    <cellStyle name="Normal 107" xfId="91"/>
    <cellStyle name="Normal 108" xfId="92"/>
    <cellStyle name="Normal 109" xfId="93"/>
    <cellStyle name="Normal 11" xfId="94"/>
    <cellStyle name="Normal 11 2" xfId="95"/>
    <cellStyle name="Normal 110" xfId="96"/>
    <cellStyle name="Normal 111" xfId="97"/>
    <cellStyle name="Normal 112" xfId="98"/>
    <cellStyle name="Normal 113" xfId="99"/>
    <cellStyle name="Normal 114" xfId="100"/>
    <cellStyle name="Normal 115" xfId="101"/>
    <cellStyle name="Normal 116" xfId="102"/>
    <cellStyle name="Normal 117" xfId="103"/>
    <cellStyle name="Normal 118" xfId="104"/>
    <cellStyle name="Normal 119" xfId="105"/>
    <cellStyle name="Normal 12" xfId="106"/>
    <cellStyle name="Normal 12 2" xfId="1024"/>
    <cellStyle name="Normal 12 2 2" xfId="1025"/>
    <cellStyle name="Normal 12 2 2 2" xfId="1714"/>
    <cellStyle name="Normal 12 2 2 2 2" xfId="3162"/>
    <cellStyle name="Normal 12 2 2 2 2 2" xfId="6084"/>
    <cellStyle name="Normal 12 2 2 2 3" xfId="4639"/>
    <cellStyle name="Normal 12 2 2 3" xfId="1999"/>
    <cellStyle name="Normal 12 2 2 3 2" xfId="3443"/>
    <cellStyle name="Normal 12 2 2 3 2 2" xfId="6365"/>
    <cellStyle name="Normal 12 2 2 3 3" xfId="4921"/>
    <cellStyle name="Normal 12 2 2 4" xfId="2568"/>
    <cellStyle name="Normal 12 2 2 4 2" xfId="5490"/>
    <cellStyle name="Normal 12 2 2 5" xfId="4017"/>
    <cellStyle name="Normal 12 2 2 6" xfId="6584"/>
    <cellStyle name="Normal 12 2 3" xfId="1713"/>
    <cellStyle name="Normal 12 2 3 2" xfId="3161"/>
    <cellStyle name="Normal 12 2 3 2 2" xfId="6083"/>
    <cellStyle name="Normal 12 2 3 3" xfId="4638"/>
    <cellStyle name="Normal 12 2 4" xfId="1998"/>
    <cellStyle name="Normal 12 2 4 2" xfId="3442"/>
    <cellStyle name="Normal 12 2 4 2 2" xfId="6364"/>
    <cellStyle name="Normal 12 2 4 3" xfId="4920"/>
    <cellStyle name="Normal 12 2 5" xfId="2567"/>
    <cellStyle name="Normal 12 2 5 2" xfId="5489"/>
    <cellStyle name="Normal 12 2 6" xfId="4016"/>
    <cellStyle name="Normal 12 2 7" xfId="6583"/>
    <cellStyle name="Normal 12 3" xfId="1026"/>
    <cellStyle name="Normal 12 3 2" xfId="1715"/>
    <cellStyle name="Normal 12 3 2 2" xfId="3163"/>
    <cellStyle name="Normal 12 3 2 2 2" xfId="6085"/>
    <cellStyle name="Normal 12 3 2 3" xfId="4640"/>
    <cellStyle name="Normal 12 3 3" xfId="2000"/>
    <cellStyle name="Normal 12 3 3 2" xfId="3444"/>
    <cellStyle name="Normal 12 3 3 2 2" xfId="6366"/>
    <cellStyle name="Normal 12 3 3 3" xfId="4922"/>
    <cellStyle name="Normal 12 3 4" xfId="2569"/>
    <cellStyle name="Normal 12 3 4 2" xfId="5491"/>
    <cellStyle name="Normal 12 3 5" xfId="4018"/>
    <cellStyle name="Normal 12 3 6" xfId="6585"/>
    <cellStyle name="Normal 12 4" xfId="1027"/>
    <cellStyle name="Normal 12 4 2" xfId="1716"/>
    <cellStyle name="Normal 12 4 2 2" xfId="3164"/>
    <cellStyle name="Normal 12 4 2 2 2" xfId="6086"/>
    <cellStyle name="Normal 12 4 2 3" xfId="4641"/>
    <cellStyle name="Normal 12 4 3" xfId="2001"/>
    <cellStyle name="Normal 12 4 3 2" xfId="3445"/>
    <cellStyle name="Normal 12 4 3 2 2" xfId="6367"/>
    <cellStyle name="Normal 12 4 3 3" xfId="4923"/>
    <cellStyle name="Normal 12 4 4" xfId="2570"/>
    <cellStyle name="Normal 12 4 4 2" xfId="5492"/>
    <cellStyle name="Normal 12 4 5" xfId="4019"/>
    <cellStyle name="Normal 12 4 6" xfId="6586"/>
    <cellStyle name="Normal 120" xfId="107"/>
    <cellStyle name="Normal 121" xfId="108"/>
    <cellStyle name="Normal 122" xfId="109"/>
    <cellStyle name="Normal 123" xfId="110"/>
    <cellStyle name="Normal 124" xfId="111"/>
    <cellStyle name="Normal 125" xfId="112"/>
    <cellStyle name="Normal 126" xfId="113"/>
    <cellStyle name="Normal 127" xfId="114"/>
    <cellStyle name="Normal 128" xfId="115"/>
    <cellStyle name="Normal 129" xfId="116"/>
    <cellStyle name="Normal 13" xfId="117"/>
    <cellStyle name="Normal 13 2" xfId="118"/>
    <cellStyle name="Normal 130" xfId="119"/>
    <cellStyle name="Normal 131" xfId="120"/>
    <cellStyle name="Normal 132" xfId="121"/>
    <cellStyle name="Normal 133" xfId="122"/>
    <cellStyle name="Normal 134" xfId="123"/>
    <cellStyle name="Normal 135" xfId="124"/>
    <cellStyle name="Normal 136" xfId="125"/>
    <cellStyle name="Normal 137" xfId="126"/>
    <cellStyle name="Normal 138" xfId="127"/>
    <cellStyle name="Normal 139" xfId="128"/>
    <cellStyle name="Normal 14" xfId="129"/>
    <cellStyle name="Normal 14 2" xfId="1028"/>
    <cellStyle name="Normal 14 2 2" xfId="1029"/>
    <cellStyle name="Normal 14 2 2 2" xfId="1718"/>
    <cellStyle name="Normal 14 2 2 2 2" xfId="3166"/>
    <cellStyle name="Normal 14 2 2 2 2 2" xfId="6088"/>
    <cellStyle name="Normal 14 2 2 2 3" xfId="4643"/>
    <cellStyle name="Normal 14 2 2 3" xfId="2003"/>
    <cellStyle name="Normal 14 2 2 3 2" xfId="3447"/>
    <cellStyle name="Normal 14 2 2 3 2 2" xfId="6369"/>
    <cellStyle name="Normal 14 2 2 3 3" xfId="4925"/>
    <cellStyle name="Normal 14 2 2 4" xfId="2572"/>
    <cellStyle name="Normal 14 2 2 4 2" xfId="5494"/>
    <cellStyle name="Normal 14 2 2 5" xfId="4021"/>
    <cellStyle name="Normal 14 2 2 6" xfId="6588"/>
    <cellStyle name="Normal 14 2 3" xfId="1717"/>
    <cellStyle name="Normal 14 2 3 2" xfId="3165"/>
    <cellStyle name="Normal 14 2 3 2 2" xfId="6087"/>
    <cellStyle name="Normal 14 2 3 3" xfId="4642"/>
    <cellStyle name="Normal 14 2 4" xfId="2002"/>
    <cellStyle name="Normal 14 2 4 2" xfId="3446"/>
    <cellStyle name="Normal 14 2 4 2 2" xfId="6368"/>
    <cellStyle name="Normal 14 2 4 3" xfId="4924"/>
    <cellStyle name="Normal 14 2 5" xfId="2571"/>
    <cellStyle name="Normal 14 2 5 2" xfId="5493"/>
    <cellStyle name="Normal 14 2 6" xfId="4020"/>
    <cellStyle name="Normal 14 2 7" xfId="6587"/>
    <cellStyle name="Normal 14 3" xfId="1030"/>
    <cellStyle name="Normal 14 3 2" xfId="1719"/>
    <cellStyle name="Normal 14 3 2 2" xfId="3167"/>
    <cellStyle name="Normal 14 3 2 2 2" xfId="6089"/>
    <cellStyle name="Normal 14 3 2 3" xfId="4644"/>
    <cellStyle name="Normal 14 3 3" xfId="2004"/>
    <cellStyle name="Normal 14 3 3 2" xfId="3448"/>
    <cellStyle name="Normal 14 3 3 2 2" xfId="6370"/>
    <cellStyle name="Normal 14 3 3 3" xfId="4926"/>
    <cellStyle name="Normal 14 3 4" xfId="2573"/>
    <cellStyle name="Normal 14 3 4 2" xfId="5495"/>
    <cellStyle name="Normal 14 3 5" xfId="4022"/>
    <cellStyle name="Normal 14 3 6" xfId="6589"/>
    <cellStyle name="Normal 14 4" xfId="1031"/>
    <cellStyle name="Normal 14 4 2" xfId="1720"/>
    <cellStyle name="Normal 14 4 2 2" xfId="3168"/>
    <cellStyle name="Normal 14 4 2 2 2" xfId="6090"/>
    <cellStyle name="Normal 14 4 2 3" xfId="4645"/>
    <cellStyle name="Normal 14 4 3" xfId="2005"/>
    <cellStyle name="Normal 14 4 3 2" xfId="3449"/>
    <cellStyle name="Normal 14 4 3 2 2" xfId="6371"/>
    <cellStyle name="Normal 14 4 3 3" xfId="4927"/>
    <cellStyle name="Normal 14 4 4" xfId="2574"/>
    <cellStyle name="Normal 14 4 4 2" xfId="5496"/>
    <cellStyle name="Normal 14 4 5" xfId="4023"/>
    <cellStyle name="Normal 14 4 6" xfId="6590"/>
    <cellStyle name="Normal 140" xfId="130"/>
    <cellStyle name="Normal 141" xfId="131"/>
    <cellStyle name="Normal 142" xfId="132"/>
    <cellStyle name="Normal 143" xfId="133"/>
    <cellStyle name="Normal 144" xfId="134"/>
    <cellStyle name="Normal 145" xfId="135"/>
    <cellStyle name="Normal 146" xfId="136"/>
    <cellStyle name="Normal 147" xfId="137"/>
    <cellStyle name="Normal 148" xfId="138"/>
    <cellStyle name="Normal 149" xfId="139"/>
    <cellStyle name="Normal 15" xfId="140"/>
    <cellStyle name="Normal 15 2" xfId="1032"/>
    <cellStyle name="Normal 15 2 2" xfId="1033"/>
    <cellStyle name="Normal 15 2 2 2" xfId="1722"/>
    <cellStyle name="Normal 15 2 2 2 2" xfId="3170"/>
    <cellStyle name="Normal 15 2 2 2 2 2" xfId="6092"/>
    <cellStyle name="Normal 15 2 2 2 3" xfId="4647"/>
    <cellStyle name="Normal 15 2 2 3" xfId="2007"/>
    <cellStyle name="Normal 15 2 2 3 2" xfId="3451"/>
    <cellStyle name="Normal 15 2 2 3 2 2" xfId="6373"/>
    <cellStyle name="Normal 15 2 2 3 3" xfId="4929"/>
    <cellStyle name="Normal 15 2 2 4" xfId="2576"/>
    <cellStyle name="Normal 15 2 2 4 2" xfId="5498"/>
    <cellStyle name="Normal 15 2 2 5" xfId="4025"/>
    <cellStyle name="Normal 15 2 2 6" xfId="6592"/>
    <cellStyle name="Normal 15 2 3" xfId="1721"/>
    <cellStyle name="Normal 15 2 3 2" xfId="3169"/>
    <cellStyle name="Normal 15 2 3 2 2" xfId="6091"/>
    <cellStyle name="Normal 15 2 3 3" xfId="4646"/>
    <cellStyle name="Normal 15 2 4" xfId="2006"/>
    <cellStyle name="Normal 15 2 4 2" xfId="3450"/>
    <cellStyle name="Normal 15 2 4 2 2" xfId="6372"/>
    <cellStyle name="Normal 15 2 4 3" xfId="4928"/>
    <cellStyle name="Normal 15 2 5" xfId="2575"/>
    <cellStyle name="Normal 15 2 5 2" xfId="5497"/>
    <cellStyle name="Normal 15 2 6" xfId="4024"/>
    <cellStyle name="Normal 15 2 7" xfId="6591"/>
    <cellStyle name="Normal 15 3" xfId="1034"/>
    <cellStyle name="Normal 15 3 2" xfId="1723"/>
    <cellStyle name="Normal 15 3 2 2" xfId="3171"/>
    <cellStyle name="Normal 15 3 2 2 2" xfId="6093"/>
    <cellStyle name="Normal 15 3 2 3" xfId="4648"/>
    <cellStyle name="Normal 15 3 3" xfId="2008"/>
    <cellStyle name="Normal 15 3 3 2" xfId="3452"/>
    <cellStyle name="Normal 15 3 3 2 2" xfId="6374"/>
    <cellStyle name="Normal 15 3 3 3" xfId="4930"/>
    <cellStyle name="Normal 15 3 4" xfId="2577"/>
    <cellStyle name="Normal 15 3 4 2" xfId="5499"/>
    <cellStyle name="Normal 15 3 5" xfId="4026"/>
    <cellStyle name="Normal 15 3 6" xfId="6593"/>
    <cellStyle name="Normal 15 4" xfId="1035"/>
    <cellStyle name="Normal 15 4 2" xfId="1724"/>
    <cellStyle name="Normal 15 4 2 2" xfId="3172"/>
    <cellStyle name="Normal 15 4 2 2 2" xfId="6094"/>
    <cellStyle name="Normal 15 4 2 3" xfId="4649"/>
    <cellStyle name="Normal 15 4 3" xfId="2009"/>
    <cellStyle name="Normal 15 4 3 2" xfId="3453"/>
    <cellStyle name="Normal 15 4 3 2 2" xfId="6375"/>
    <cellStyle name="Normal 15 4 3 3" xfId="4931"/>
    <cellStyle name="Normal 15 4 4" xfId="2578"/>
    <cellStyle name="Normal 15 4 4 2" xfId="5500"/>
    <cellStyle name="Normal 15 4 5" xfId="4027"/>
    <cellStyle name="Normal 15 4 6" xfId="6594"/>
    <cellStyle name="Normal 150" xfId="141"/>
    <cellStyle name="Normal 151" xfId="142"/>
    <cellStyle name="Normal 152" xfId="143"/>
    <cellStyle name="Normal 153" xfId="144"/>
    <cellStyle name="Normal 154" xfId="145"/>
    <cellStyle name="Normal 155" xfId="146"/>
    <cellStyle name="Normal 156" xfId="147"/>
    <cellStyle name="Normal 157" xfId="148"/>
    <cellStyle name="Normal 158" xfId="149"/>
    <cellStyle name="Normal 159" xfId="150"/>
    <cellStyle name="Normal 16" xfId="151"/>
    <cellStyle name="Normal 16 2" xfId="1036"/>
    <cellStyle name="Normal 160" xfId="152"/>
    <cellStyle name="Normal 161" xfId="153"/>
    <cellStyle name="Normal 162" xfId="154"/>
    <cellStyle name="Normal 163" xfId="155"/>
    <cellStyle name="Normal 164" xfId="156"/>
    <cellStyle name="Normal 165" xfId="157"/>
    <cellStyle name="Normal 166" xfId="158"/>
    <cellStyle name="Normal 167" xfId="159"/>
    <cellStyle name="Normal 168" xfId="160"/>
    <cellStyle name="Normal 169" xfId="161"/>
    <cellStyle name="Normal 17" xfId="162"/>
    <cellStyle name="Normal 17 2" xfId="1037"/>
    <cellStyle name="Normal 170" xfId="163"/>
    <cellStyle name="Normal 170 2" xfId="164"/>
    <cellStyle name="Normal 170 3" xfId="1038"/>
    <cellStyle name="Normal 170 3 2" xfId="1725"/>
    <cellStyle name="Normal 170 3 2 2" xfId="3173"/>
    <cellStyle name="Normal 170 3 2 2 2" xfId="6095"/>
    <cellStyle name="Normal 170 3 2 3" xfId="4650"/>
    <cellStyle name="Normal 170 3 3" xfId="2579"/>
    <cellStyle name="Normal 170 3 3 2" xfId="5501"/>
    <cellStyle name="Normal 170 3 4" xfId="4028"/>
    <cellStyle name="Normal 170 4" xfId="537"/>
    <cellStyle name="Normal 170 4 2" xfId="1441"/>
    <cellStyle name="Normal 170 4 2 2" xfId="2909"/>
    <cellStyle name="Normal 170 4 2 2 2" xfId="5831"/>
    <cellStyle name="Normal 170 4 2 3" xfId="4366"/>
    <cellStyle name="Normal 170 4 3" xfId="2315"/>
    <cellStyle name="Normal 170 4 3 2" xfId="5237"/>
    <cellStyle name="Normal 170 4 4" xfId="3764"/>
    <cellStyle name="Normal 170 5" xfId="1266"/>
    <cellStyle name="Normal 170 5 2" xfId="2734"/>
    <cellStyle name="Normal 170 5 2 2" xfId="5656"/>
    <cellStyle name="Normal 170 5 3" xfId="4191"/>
    <cellStyle name="Normal 170 6" xfId="2010"/>
    <cellStyle name="Normal 170 6 2" xfId="3454"/>
    <cellStyle name="Normal 170 6 2 2" xfId="6376"/>
    <cellStyle name="Normal 170 6 3" xfId="4932"/>
    <cellStyle name="Normal 170 7" xfId="2140"/>
    <cellStyle name="Normal 170 7 2" xfId="5062"/>
    <cellStyle name="Normal 170 8" xfId="3584"/>
    <cellStyle name="Normal 170 9" xfId="6595"/>
    <cellStyle name="Normal 171" xfId="165"/>
    <cellStyle name="Normal 171 2" xfId="1039"/>
    <cellStyle name="Normal 171 2 2" xfId="1726"/>
    <cellStyle name="Normal 171 2 2 2" xfId="3174"/>
    <cellStyle name="Normal 171 2 2 2 2" xfId="6096"/>
    <cellStyle name="Normal 171 2 2 3" xfId="4651"/>
    <cellStyle name="Normal 171 2 3" xfId="2580"/>
    <cellStyle name="Normal 171 2 3 2" xfId="5502"/>
    <cellStyle name="Normal 171 2 4" xfId="4029"/>
    <cellStyle name="Normal 171 3" xfId="538"/>
    <cellStyle name="Normal 171 3 2" xfId="1442"/>
    <cellStyle name="Normal 171 3 2 2" xfId="2910"/>
    <cellStyle name="Normal 171 3 2 2 2" xfId="5832"/>
    <cellStyle name="Normal 171 3 2 3" xfId="4367"/>
    <cellStyle name="Normal 171 3 3" xfId="2316"/>
    <cellStyle name="Normal 171 3 3 2" xfId="5238"/>
    <cellStyle name="Normal 171 3 4" xfId="3765"/>
    <cellStyle name="Normal 171 4" xfId="1267"/>
    <cellStyle name="Normal 171 4 2" xfId="2735"/>
    <cellStyle name="Normal 171 4 2 2" xfId="5657"/>
    <cellStyle name="Normal 171 4 3" xfId="4192"/>
    <cellStyle name="Normal 171 5" xfId="2011"/>
    <cellStyle name="Normal 171 5 2" xfId="3455"/>
    <cellStyle name="Normal 171 5 2 2" xfId="6377"/>
    <cellStyle name="Normal 171 5 3" xfId="4933"/>
    <cellStyle name="Normal 171 6" xfId="2141"/>
    <cellStyle name="Normal 171 6 2" xfId="5063"/>
    <cellStyle name="Normal 171 7" xfId="3585"/>
    <cellStyle name="Normal 171 8" xfId="6596"/>
    <cellStyle name="Normal 172" xfId="166"/>
    <cellStyle name="Normal 172 2" xfId="1040"/>
    <cellStyle name="Normal 172 2 2" xfId="1727"/>
    <cellStyle name="Normal 172 2 2 2" xfId="3175"/>
    <cellStyle name="Normal 172 2 2 2 2" xfId="6097"/>
    <cellStyle name="Normal 172 2 2 3" xfId="4652"/>
    <cellStyle name="Normal 172 2 3" xfId="2581"/>
    <cellStyle name="Normal 172 2 3 2" xfId="5503"/>
    <cellStyle name="Normal 172 2 4" xfId="4030"/>
    <cellStyle name="Normal 172 3" xfId="539"/>
    <cellStyle name="Normal 172 3 2" xfId="1443"/>
    <cellStyle name="Normal 172 3 2 2" xfId="2911"/>
    <cellStyle name="Normal 172 3 2 2 2" xfId="5833"/>
    <cellStyle name="Normal 172 3 2 3" xfId="4368"/>
    <cellStyle name="Normal 172 3 3" xfId="2317"/>
    <cellStyle name="Normal 172 3 3 2" xfId="5239"/>
    <cellStyle name="Normal 172 3 4" xfId="3766"/>
    <cellStyle name="Normal 172 4" xfId="1268"/>
    <cellStyle name="Normal 172 4 2" xfId="2736"/>
    <cellStyle name="Normal 172 4 2 2" xfId="5658"/>
    <cellStyle name="Normal 172 4 3" xfId="4193"/>
    <cellStyle name="Normal 172 5" xfId="2012"/>
    <cellStyle name="Normal 172 5 2" xfId="3456"/>
    <cellStyle name="Normal 172 5 2 2" xfId="6378"/>
    <cellStyle name="Normal 172 5 3" xfId="4934"/>
    <cellStyle name="Normal 172 6" xfId="2142"/>
    <cellStyle name="Normal 172 6 2" xfId="5064"/>
    <cellStyle name="Normal 172 7" xfId="3586"/>
    <cellStyle name="Normal 172 8" xfId="6597"/>
    <cellStyle name="Normal 173" xfId="167"/>
    <cellStyle name="Normal 174" xfId="168"/>
    <cellStyle name="Normal 175" xfId="169"/>
    <cellStyle name="Normal 176" xfId="170"/>
    <cellStyle name="Normal 176 2" xfId="1041"/>
    <cellStyle name="Normal 176 2 2" xfId="1728"/>
    <cellStyle name="Normal 176 2 2 2" xfId="3176"/>
    <cellStyle name="Normal 176 2 2 2 2" xfId="6098"/>
    <cellStyle name="Normal 176 2 2 3" xfId="4653"/>
    <cellStyle name="Normal 176 2 3" xfId="2582"/>
    <cellStyle name="Normal 176 2 3 2" xfId="5504"/>
    <cellStyle name="Normal 176 2 4" xfId="4031"/>
    <cellStyle name="Normal 176 3" xfId="540"/>
    <cellStyle name="Normal 176 3 2" xfId="1444"/>
    <cellStyle name="Normal 176 3 2 2" xfId="2912"/>
    <cellStyle name="Normal 176 3 2 2 2" xfId="5834"/>
    <cellStyle name="Normal 176 3 2 3" xfId="4369"/>
    <cellStyle name="Normal 176 3 3" xfId="2318"/>
    <cellStyle name="Normal 176 3 3 2" xfId="5240"/>
    <cellStyle name="Normal 176 3 4" xfId="3767"/>
    <cellStyle name="Normal 176 4" xfId="1269"/>
    <cellStyle name="Normal 176 4 2" xfId="2737"/>
    <cellStyle name="Normal 176 4 2 2" xfId="5659"/>
    <cellStyle name="Normal 176 4 3" xfId="4194"/>
    <cellStyle name="Normal 176 5" xfId="2013"/>
    <cellStyle name="Normal 176 5 2" xfId="3457"/>
    <cellStyle name="Normal 176 5 2 2" xfId="6379"/>
    <cellStyle name="Normal 176 5 3" xfId="4935"/>
    <cellStyle name="Normal 176 6" xfId="2143"/>
    <cellStyle name="Normal 176 6 2" xfId="5065"/>
    <cellStyle name="Normal 176 7" xfId="3587"/>
    <cellStyle name="Normal 176 8" xfId="6598"/>
    <cellStyle name="Normal 177" xfId="171"/>
    <cellStyle name="Normal 178" xfId="172"/>
    <cellStyle name="Normal 178 2" xfId="1042"/>
    <cellStyle name="Normal 178 2 2" xfId="1729"/>
    <cellStyle name="Normal 178 2 2 2" xfId="3177"/>
    <cellStyle name="Normal 178 2 2 2 2" xfId="6099"/>
    <cellStyle name="Normal 178 2 2 3" xfId="4654"/>
    <cellStyle name="Normal 178 2 3" xfId="2583"/>
    <cellStyle name="Normal 178 2 3 2" xfId="5505"/>
    <cellStyle name="Normal 178 2 4" xfId="4032"/>
    <cellStyle name="Normal 178 3" xfId="541"/>
    <cellStyle name="Normal 178 3 2" xfId="1445"/>
    <cellStyle name="Normal 178 3 2 2" xfId="2913"/>
    <cellStyle name="Normal 178 3 2 2 2" xfId="5835"/>
    <cellStyle name="Normal 178 3 2 3" xfId="4370"/>
    <cellStyle name="Normal 178 3 3" xfId="2319"/>
    <cellStyle name="Normal 178 3 3 2" xfId="5241"/>
    <cellStyle name="Normal 178 3 4" xfId="3768"/>
    <cellStyle name="Normal 178 4" xfId="1270"/>
    <cellStyle name="Normal 178 4 2" xfId="2738"/>
    <cellStyle name="Normal 178 4 2 2" xfId="5660"/>
    <cellStyle name="Normal 178 4 3" xfId="4195"/>
    <cellStyle name="Normal 178 5" xfId="2014"/>
    <cellStyle name="Normal 178 5 2" xfId="3458"/>
    <cellStyle name="Normal 178 5 2 2" xfId="6380"/>
    <cellStyle name="Normal 178 5 3" xfId="4936"/>
    <cellStyle name="Normal 178 6" xfId="2144"/>
    <cellStyle name="Normal 178 6 2" xfId="5066"/>
    <cellStyle name="Normal 178 7" xfId="3588"/>
    <cellStyle name="Normal 178 8" xfId="6599"/>
    <cellStyle name="Normal 179" xfId="388"/>
    <cellStyle name="Normal 179 2" xfId="1043"/>
    <cellStyle name="Normal 179 2 2" xfId="1730"/>
    <cellStyle name="Normal 179 2 2 2" xfId="3178"/>
    <cellStyle name="Normal 179 2 2 2 2" xfId="6100"/>
    <cellStyle name="Normal 179 2 2 3" xfId="4655"/>
    <cellStyle name="Normal 179 2 3" xfId="2584"/>
    <cellStyle name="Normal 179 2 3 2" xfId="5506"/>
    <cellStyle name="Normal 179 2 4" xfId="4033"/>
    <cellStyle name="Normal 179 3" xfId="570"/>
    <cellStyle name="Normal 179 3 2" xfId="1474"/>
    <cellStyle name="Normal 179 3 2 2" xfId="2942"/>
    <cellStyle name="Normal 179 3 2 2 2" xfId="5864"/>
    <cellStyle name="Normal 179 3 2 3" xfId="4399"/>
    <cellStyle name="Normal 179 3 3" xfId="2348"/>
    <cellStyle name="Normal 179 3 3 2" xfId="5270"/>
    <cellStyle name="Normal 179 3 4" xfId="3797"/>
    <cellStyle name="Normal 179 4" xfId="1299"/>
    <cellStyle name="Normal 179 4 2" xfId="2767"/>
    <cellStyle name="Normal 179 4 2 2" xfId="5689"/>
    <cellStyle name="Normal 179 4 3" xfId="4224"/>
    <cellStyle name="Normal 179 5" xfId="2015"/>
    <cellStyle name="Normal 179 5 2" xfId="3459"/>
    <cellStyle name="Normal 179 5 2 2" xfId="6381"/>
    <cellStyle name="Normal 179 5 3" xfId="4937"/>
    <cellStyle name="Normal 179 6" xfId="2173"/>
    <cellStyle name="Normal 179 6 2" xfId="5095"/>
    <cellStyle name="Normal 179 7" xfId="3622"/>
    <cellStyle name="Normal 179 8" xfId="6600"/>
    <cellStyle name="Normal 18" xfId="173"/>
    <cellStyle name="Normal 18 2" xfId="1044"/>
    <cellStyle name="Normal 180" xfId="389"/>
    <cellStyle name="Normal 180 2" xfId="1045"/>
    <cellStyle name="Normal 180 2 2" xfId="1731"/>
    <cellStyle name="Normal 180 2 2 2" xfId="3179"/>
    <cellStyle name="Normal 180 2 2 2 2" xfId="6101"/>
    <cellStyle name="Normal 180 2 2 3" xfId="4656"/>
    <cellStyle name="Normal 180 2 3" xfId="2585"/>
    <cellStyle name="Normal 180 2 3 2" xfId="5507"/>
    <cellStyle name="Normal 180 2 4" xfId="4034"/>
    <cellStyle name="Normal 180 3" xfId="571"/>
    <cellStyle name="Normal 180 3 2" xfId="1475"/>
    <cellStyle name="Normal 180 3 2 2" xfId="2943"/>
    <cellStyle name="Normal 180 3 2 2 2" xfId="5865"/>
    <cellStyle name="Normal 180 3 2 3" xfId="4400"/>
    <cellStyle name="Normal 180 3 3" xfId="2349"/>
    <cellStyle name="Normal 180 3 3 2" xfId="5271"/>
    <cellStyle name="Normal 180 3 4" xfId="3798"/>
    <cellStyle name="Normal 180 4" xfId="1300"/>
    <cellStyle name="Normal 180 4 2" xfId="2768"/>
    <cellStyle name="Normal 180 4 2 2" xfId="5690"/>
    <cellStyle name="Normal 180 4 3" xfId="4225"/>
    <cellStyle name="Normal 180 5" xfId="2016"/>
    <cellStyle name="Normal 180 5 2" xfId="3460"/>
    <cellStyle name="Normal 180 5 2 2" xfId="6382"/>
    <cellStyle name="Normal 180 5 3" xfId="4938"/>
    <cellStyle name="Normal 180 6" xfId="2174"/>
    <cellStyle name="Normal 180 6 2" xfId="5096"/>
    <cellStyle name="Normal 180 7" xfId="3623"/>
    <cellStyle name="Normal 180 8" xfId="6601"/>
    <cellStyle name="Normal 181" xfId="391"/>
    <cellStyle name="Normal 181 2" xfId="1046"/>
    <cellStyle name="Normal 181 2 2" xfId="1732"/>
    <cellStyle name="Normal 181 2 2 2" xfId="3180"/>
    <cellStyle name="Normal 181 2 2 2 2" xfId="6102"/>
    <cellStyle name="Normal 181 2 2 3" xfId="4657"/>
    <cellStyle name="Normal 181 2 3" xfId="2586"/>
    <cellStyle name="Normal 181 2 3 2" xfId="5508"/>
    <cellStyle name="Normal 181 2 4" xfId="4035"/>
    <cellStyle name="Normal 181 3" xfId="573"/>
    <cellStyle name="Normal 181 3 2" xfId="1477"/>
    <cellStyle name="Normal 181 3 2 2" xfId="2945"/>
    <cellStyle name="Normal 181 3 2 2 2" xfId="5867"/>
    <cellStyle name="Normal 181 3 2 3" xfId="4402"/>
    <cellStyle name="Normal 181 3 3" xfId="2351"/>
    <cellStyle name="Normal 181 3 3 2" xfId="5273"/>
    <cellStyle name="Normal 181 3 4" xfId="3800"/>
    <cellStyle name="Normal 181 4" xfId="1302"/>
    <cellStyle name="Normal 181 4 2" xfId="2770"/>
    <cellStyle name="Normal 181 4 2 2" xfId="5692"/>
    <cellStyle name="Normal 181 4 3" xfId="4227"/>
    <cellStyle name="Normal 181 5" xfId="2017"/>
    <cellStyle name="Normal 181 5 2" xfId="3461"/>
    <cellStyle name="Normal 181 5 2 2" xfId="6383"/>
    <cellStyle name="Normal 181 5 3" xfId="4939"/>
    <cellStyle name="Normal 181 6" xfId="2176"/>
    <cellStyle name="Normal 181 6 2" xfId="5098"/>
    <cellStyle name="Normal 181 7" xfId="3625"/>
    <cellStyle name="Normal 181 8" xfId="6602"/>
    <cellStyle name="Normal 182" xfId="392"/>
    <cellStyle name="Normal 182 2" xfId="1047"/>
    <cellStyle name="Normal 182 2 2" xfId="1733"/>
    <cellStyle name="Normal 182 2 2 2" xfId="3181"/>
    <cellStyle name="Normal 182 2 2 2 2" xfId="6103"/>
    <cellStyle name="Normal 182 2 2 3" xfId="4658"/>
    <cellStyle name="Normal 182 2 3" xfId="2587"/>
    <cellStyle name="Normal 182 2 3 2" xfId="5509"/>
    <cellStyle name="Normal 182 2 4" xfId="4036"/>
    <cellStyle name="Normal 182 3" xfId="574"/>
    <cellStyle name="Normal 182 3 2" xfId="1478"/>
    <cellStyle name="Normal 182 3 2 2" xfId="2946"/>
    <cellStyle name="Normal 182 3 2 2 2" xfId="5868"/>
    <cellStyle name="Normal 182 3 2 3" xfId="4403"/>
    <cellStyle name="Normal 182 3 3" xfId="2352"/>
    <cellStyle name="Normal 182 3 3 2" xfId="5274"/>
    <cellStyle name="Normal 182 3 4" xfId="3801"/>
    <cellStyle name="Normal 182 4" xfId="1303"/>
    <cellStyle name="Normal 182 4 2" xfId="2771"/>
    <cellStyle name="Normal 182 4 2 2" xfId="5693"/>
    <cellStyle name="Normal 182 4 3" xfId="4228"/>
    <cellStyle name="Normal 182 5" xfId="2018"/>
    <cellStyle name="Normal 182 5 2" xfId="3462"/>
    <cellStyle name="Normal 182 5 2 2" xfId="6384"/>
    <cellStyle name="Normal 182 5 3" xfId="4940"/>
    <cellStyle name="Normal 182 6" xfId="2177"/>
    <cellStyle name="Normal 182 6 2" xfId="5099"/>
    <cellStyle name="Normal 182 7" xfId="3626"/>
    <cellStyle name="Normal 182 8" xfId="6603"/>
    <cellStyle name="Normal 183" xfId="393"/>
    <cellStyle name="Normal 183 2" xfId="1048"/>
    <cellStyle name="Normal 183 2 2" xfId="1734"/>
    <cellStyle name="Normal 183 2 2 2" xfId="3182"/>
    <cellStyle name="Normal 183 2 2 2 2" xfId="6104"/>
    <cellStyle name="Normal 183 2 2 3" xfId="4659"/>
    <cellStyle name="Normal 183 2 3" xfId="2588"/>
    <cellStyle name="Normal 183 2 3 2" xfId="5510"/>
    <cellStyle name="Normal 183 2 4" xfId="4037"/>
    <cellStyle name="Normal 183 3" xfId="575"/>
    <cellStyle name="Normal 183 3 2" xfId="1479"/>
    <cellStyle name="Normal 183 3 2 2" xfId="2947"/>
    <cellStyle name="Normal 183 3 2 2 2" xfId="5869"/>
    <cellStyle name="Normal 183 3 2 3" xfId="4404"/>
    <cellStyle name="Normal 183 3 3" xfId="2353"/>
    <cellStyle name="Normal 183 3 3 2" xfId="5275"/>
    <cellStyle name="Normal 183 3 4" xfId="3802"/>
    <cellStyle name="Normal 183 4" xfId="1304"/>
    <cellStyle name="Normal 183 4 2" xfId="2772"/>
    <cellStyle name="Normal 183 4 2 2" xfId="5694"/>
    <cellStyle name="Normal 183 4 3" xfId="4229"/>
    <cellStyle name="Normal 183 5" xfId="2019"/>
    <cellStyle name="Normal 183 5 2" xfId="3463"/>
    <cellStyle name="Normal 183 5 2 2" xfId="6385"/>
    <cellStyle name="Normal 183 5 3" xfId="4941"/>
    <cellStyle name="Normal 183 6" xfId="2178"/>
    <cellStyle name="Normal 183 6 2" xfId="5100"/>
    <cellStyle name="Normal 183 7" xfId="3627"/>
    <cellStyle name="Normal 183 8" xfId="6604"/>
    <cellStyle name="Normal 184" xfId="408"/>
    <cellStyle name="Normal 184 2" xfId="1049"/>
    <cellStyle name="Normal 184 2 2" xfId="1735"/>
    <cellStyle name="Normal 184 2 2 2" xfId="3183"/>
    <cellStyle name="Normal 184 2 2 2 2" xfId="6105"/>
    <cellStyle name="Normal 184 2 2 3" xfId="4660"/>
    <cellStyle name="Normal 184 2 3" xfId="2589"/>
    <cellStyle name="Normal 184 2 3 2" xfId="5511"/>
    <cellStyle name="Normal 184 2 4" xfId="4038"/>
    <cellStyle name="Normal 184 3" xfId="590"/>
    <cellStyle name="Normal 184 3 2" xfId="1494"/>
    <cellStyle name="Normal 184 3 2 2" xfId="2962"/>
    <cellStyle name="Normal 184 3 2 2 2" xfId="5884"/>
    <cellStyle name="Normal 184 3 2 3" xfId="4419"/>
    <cellStyle name="Normal 184 3 3" xfId="2368"/>
    <cellStyle name="Normal 184 3 3 2" xfId="5290"/>
    <cellStyle name="Normal 184 3 4" xfId="3817"/>
    <cellStyle name="Normal 184 4" xfId="1319"/>
    <cellStyle name="Normal 184 4 2" xfId="2787"/>
    <cellStyle name="Normal 184 4 2 2" xfId="5709"/>
    <cellStyle name="Normal 184 4 3" xfId="4244"/>
    <cellStyle name="Normal 184 5" xfId="2020"/>
    <cellStyle name="Normal 184 5 2" xfId="3464"/>
    <cellStyle name="Normal 184 5 2 2" xfId="6386"/>
    <cellStyle name="Normal 184 5 3" xfId="4942"/>
    <cellStyle name="Normal 184 6" xfId="2193"/>
    <cellStyle name="Normal 184 6 2" xfId="5115"/>
    <cellStyle name="Normal 184 7" xfId="3642"/>
    <cellStyle name="Normal 184 8" xfId="6605"/>
    <cellStyle name="Normal 185" xfId="409"/>
    <cellStyle name="Normal 185 2" xfId="1050"/>
    <cellStyle name="Normal 185 2 2" xfId="1736"/>
    <cellStyle name="Normal 185 2 2 2" xfId="3184"/>
    <cellStyle name="Normal 185 2 2 2 2" xfId="6106"/>
    <cellStyle name="Normal 185 2 2 3" xfId="4661"/>
    <cellStyle name="Normal 185 2 3" xfId="2590"/>
    <cellStyle name="Normal 185 2 3 2" xfId="5512"/>
    <cellStyle name="Normal 185 2 4" xfId="4039"/>
    <cellStyle name="Normal 185 3" xfId="591"/>
    <cellStyle name="Normal 185 3 2" xfId="1495"/>
    <cellStyle name="Normal 185 3 2 2" xfId="2963"/>
    <cellStyle name="Normal 185 3 2 2 2" xfId="5885"/>
    <cellStyle name="Normal 185 3 2 3" xfId="4420"/>
    <cellStyle name="Normal 185 3 3" xfId="2369"/>
    <cellStyle name="Normal 185 3 3 2" xfId="5291"/>
    <cellStyle name="Normal 185 3 4" xfId="3818"/>
    <cellStyle name="Normal 185 4" xfId="1320"/>
    <cellStyle name="Normal 185 4 2" xfId="2788"/>
    <cellStyle name="Normal 185 4 2 2" xfId="5710"/>
    <cellStyle name="Normal 185 4 3" xfId="4245"/>
    <cellStyle name="Normal 185 5" xfId="2021"/>
    <cellStyle name="Normal 185 5 2" xfId="3465"/>
    <cellStyle name="Normal 185 5 2 2" xfId="6387"/>
    <cellStyle name="Normal 185 5 3" xfId="4943"/>
    <cellStyle name="Normal 185 6" xfId="2194"/>
    <cellStyle name="Normal 185 6 2" xfId="5116"/>
    <cellStyle name="Normal 185 7" xfId="3643"/>
    <cellStyle name="Normal 185 8" xfId="6606"/>
    <cellStyle name="Normal 186" xfId="407"/>
    <cellStyle name="Normal 186 2" xfId="1051"/>
    <cellStyle name="Normal 186 2 2" xfId="1737"/>
    <cellStyle name="Normal 186 2 2 2" xfId="3185"/>
    <cellStyle name="Normal 186 2 2 2 2" xfId="6107"/>
    <cellStyle name="Normal 186 2 2 3" xfId="4662"/>
    <cellStyle name="Normal 186 2 3" xfId="2591"/>
    <cellStyle name="Normal 186 2 3 2" xfId="5513"/>
    <cellStyle name="Normal 186 2 4" xfId="4040"/>
    <cellStyle name="Normal 186 3" xfId="589"/>
    <cellStyle name="Normal 186 3 2" xfId="1493"/>
    <cellStyle name="Normal 186 3 2 2" xfId="2961"/>
    <cellStyle name="Normal 186 3 2 2 2" xfId="5883"/>
    <cellStyle name="Normal 186 3 2 3" xfId="4418"/>
    <cellStyle name="Normal 186 3 3" xfId="2367"/>
    <cellStyle name="Normal 186 3 3 2" xfId="5289"/>
    <cellStyle name="Normal 186 3 4" xfId="3816"/>
    <cellStyle name="Normal 186 4" xfId="1318"/>
    <cellStyle name="Normal 186 4 2" xfId="2786"/>
    <cellStyle name="Normal 186 4 2 2" xfId="5708"/>
    <cellStyle name="Normal 186 4 3" xfId="4243"/>
    <cellStyle name="Normal 186 5" xfId="2022"/>
    <cellStyle name="Normal 186 5 2" xfId="3466"/>
    <cellStyle name="Normal 186 5 2 2" xfId="6388"/>
    <cellStyle name="Normal 186 5 3" xfId="4944"/>
    <cellStyle name="Normal 186 6" xfId="2192"/>
    <cellStyle name="Normal 186 6 2" xfId="5114"/>
    <cellStyle name="Normal 186 7" xfId="3641"/>
    <cellStyle name="Normal 186 8" xfId="6607"/>
    <cellStyle name="Normal 187" xfId="410"/>
    <cellStyle name="Normal 187 2" xfId="1052"/>
    <cellStyle name="Normal 187 2 2" xfId="1738"/>
    <cellStyle name="Normal 187 2 2 2" xfId="3186"/>
    <cellStyle name="Normal 187 2 2 2 2" xfId="6108"/>
    <cellStyle name="Normal 187 2 2 3" xfId="4663"/>
    <cellStyle name="Normal 187 2 3" xfId="2592"/>
    <cellStyle name="Normal 187 2 3 2" xfId="5514"/>
    <cellStyle name="Normal 187 2 4" xfId="4041"/>
    <cellStyle name="Normal 187 3" xfId="592"/>
    <cellStyle name="Normal 187 3 2" xfId="1496"/>
    <cellStyle name="Normal 187 3 2 2" xfId="2964"/>
    <cellStyle name="Normal 187 3 2 2 2" xfId="5886"/>
    <cellStyle name="Normal 187 3 2 3" xfId="4421"/>
    <cellStyle name="Normal 187 3 3" xfId="2370"/>
    <cellStyle name="Normal 187 3 3 2" xfId="5292"/>
    <cellStyle name="Normal 187 3 4" xfId="3819"/>
    <cellStyle name="Normal 187 4" xfId="1321"/>
    <cellStyle name="Normal 187 4 2" xfId="2789"/>
    <cellStyle name="Normal 187 4 2 2" xfId="5711"/>
    <cellStyle name="Normal 187 4 3" xfId="4246"/>
    <cellStyle name="Normal 187 5" xfId="2023"/>
    <cellStyle name="Normal 187 5 2" xfId="3467"/>
    <cellStyle name="Normal 187 5 2 2" xfId="6389"/>
    <cellStyle name="Normal 187 5 3" xfId="4945"/>
    <cellStyle name="Normal 187 6" xfId="2195"/>
    <cellStyle name="Normal 187 6 2" xfId="5117"/>
    <cellStyle name="Normal 187 7" xfId="3644"/>
    <cellStyle name="Normal 187 8" xfId="6608"/>
    <cellStyle name="Normal 188" xfId="411"/>
    <cellStyle name="Normal 188 2" xfId="1053"/>
    <cellStyle name="Normal 188 2 2" xfId="1739"/>
    <cellStyle name="Normal 188 2 2 2" xfId="3187"/>
    <cellStyle name="Normal 188 2 2 2 2" xfId="6109"/>
    <cellStyle name="Normal 188 2 2 3" xfId="4664"/>
    <cellStyle name="Normal 188 2 3" xfId="2593"/>
    <cellStyle name="Normal 188 2 3 2" xfId="5515"/>
    <cellStyle name="Normal 188 2 4" xfId="4042"/>
    <cellStyle name="Normal 188 3" xfId="593"/>
    <cellStyle name="Normal 188 3 2" xfId="1497"/>
    <cellStyle name="Normal 188 3 2 2" xfId="2965"/>
    <cellStyle name="Normal 188 3 2 2 2" xfId="5887"/>
    <cellStyle name="Normal 188 3 2 3" xfId="4422"/>
    <cellStyle name="Normal 188 3 3" xfId="2371"/>
    <cellStyle name="Normal 188 3 3 2" xfId="5293"/>
    <cellStyle name="Normal 188 3 4" xfId="3820"/>
    <cellStyle name="Normal 188 4" xfId="1322"/>
    <cellStyle name="Normal 188 4 2" xfId="2790"/>
    <cellStyle name="Normal 188 4 2 2" xfId="5712"/>
    <cellStyle name="Normal 188 4 3" xfId="4247"/>
    <cellStyle name="Normal 188 5" xfId="2024"/>
    <cellStyle name="Normal 188 5 2" xfId="3468"/>
    <cellStyle name="Normal 188 5 2 2" xfId="6390"/>
    <cellStyle name="Normal 188 5 3" xfId="4946"/>
    <cellStyle name="Normal 188 6" xfId="2196"/>
    <cellStyle name="Normal 188 6 2" xfId="5118"/>
    <cellStyle name="Normal 188 7" xfId="3645"/>
    <cellStyle name="Normal 188 8" xfId="6609"/>
    <cellStyle name="Normal 189" xfId="412"/>
    <cellStyle name="Normal 189 2" xfId="1054"/>
    <cellStyle name="Normal 189 2 2" xfId="1740"/>
    <cellStyle name="Normal 189 2 2 2" xfId="3188"/>
    <cellStyle name="Normal 189 2 2 2 2" xfId="6110"/>
    <cellStyle name="Normal 189 2 2 3" xfId="4665"/>
    <cellStyle name="Normal 189 2 3" xfId="2594"/>
    <cellStyle name="Normal 189 2 3 2" xfId="5516"/>
    <cellStyle name="Normal 189 2 4" xfId="4043"/>
    <cellStyle name="Normal 189 3" xfId="594"/>
    <cellStyle name="Normal 189 3 2" xfId="1498"/>
    <cellStyle name="Normal 189 3 2 2" xfId="2966"/>
    <cellStyle name="Normal 189 3 2 2 2" xfId="5888"/>
    <cellStyle name="Normal 189 3 2 3" xfId="4423"/>
    <cellStyle name="Normal 189 3 3" xfId="2372"/>
    <cellStyle name="Normal 189 3 3 2" xfId="5294"/>
    <cellStyle name="Normal 189 3 4" xfId="3821"/>
    <cellStyle name="Normal 189 4" xfId="1323"/>
    <cellStyle name="Normal 189 4 2" xfId="2791"/>
    <cellStyle name="Normal 189 4 2 2" xfId="5713"/>
    <cellStyle name="Normal 189 4 3" xfId="4248"/>
    <cellStyle name="Normal 189 5" xfId="2025"/>
    <cellStyle name="Normal 189 5 2" xfId="3469"/>
    <cellStyle name="Normal 189 5 2 2" xfId="6391"/>
    <cellStyle name="Normal 189 5 3" xfId="4947"/>
    <cellStyle name="Normal 189 6" xfId="2197"/>
    <cellStyle name="Normal 189 6 2" xfId="5119"/>
    <cellStyle name="Normal 189 7" xfId="3646"/>
    <cellStyle name="Normal 189 8" xfId="6610"/>
    <cellStyle name="Normal 19" xfId="174"/>
    <cellStyle name="Normal 19 2" xfId="1055"/>
    <cellStyle name="Normal 19 2 2" xfId="1056"/>
    <cellStyle name="Normal 19 2 2 2" xfId="1742"/>
    <cellStyle name="Normal 19 2 2 2 2" xfId="3190"/>
    <cellStyle name="Normal 19 2 2 2 2 2" xfId="6112"/>
    <cellStyle name="Normal 19 2 2 2 3" xfId="4667"/>
    <cellStyle name="Normal 19 2 2 3" xfId="2027"/>
    <cellStyle name="Normal 19 2 2 3 2" xfId="3471"/>
    <cellStyle name="Normal 19 2 2 3 2 2" xfId="6393"/>
    <cellStyle name="Normal 19 2 2 3 3" xfId="4949"/>
    <cellStyle name="Normal 19 2 2 4" xfId="2596"/>
    <cellStyle name="Normal 19 2 2 4 2" xfId="5518"/>
    <cellStyle name="Normal 19 2 2 5" xfId="4045"/>
    <cellStyle name="Normal 19 2 2 6" xfId="6612"/>
    <cellStyle name="Normal 19 2 3" xfId="1741"/>
    <cellStyle name="Normal 19 2 3 2" xfId="3189"/>
    <cellStyle name="Normal 19 2 3 2 2" xfId="6111"/>
    <cellStyle name="Normal 19 2 3 3" xfId="4666"/>
    <cellStyle name="Normal 19 2 4" xfId="2026"/>
    <cellStyle name="Normal 19 2 4 2" xfId="3470"/>
    <cellStyle name="Normal 19 2 4 2 2" xfId="6392"/>
    <cellStyle name="Normal 19 2 4 3" xfId="4948"/>
    <cellStyle name="Normal 19 2 5" xfId="2595"/>
    <cellStyle name="Normal 19 2 5 2" xfId="5517"/>
    <cellStyle name="Normal 19 2 6" xfId="4044"/>
    <cellStyle name="Normal 19 2 7" xfId="6611"/>
    <cellStyle name="Normal 19 3" xfId="1057"/>
    <cellStyle name="Normal 19 3 2" xfId="1743"/>
    <cellStyle name="Normal 19 3 2 2" xfId="3191"/>
    <cellStyle name="Normal 19 3 2 2 2" xfId="6113"/>
    <cellStyle name="Normal 19 3 2 3" xfId="4668"/>
    <cellStyle name="Normal 19 3 3" xfId="2028"/>
    <cellStyle name="Normal 19 3 3 2" xfId="3472"/>
    <cellStyle name="Normal 19 3 3 2 2" xfId="6394"/>
    <cellStyle name="Normal 19 3 3 3" xfId="4950"/>
    <cellStyle name="Normal 19 3 4" xfId="2597"/>
    <cellStyle name="Normal 19 3 4 2" xfId="5519"/>
    <cellStyle name="Normal 19 3 5" xfId="4046"/>
    <cellStyle name="Normal 19 3 6" xfId="6613"/>
    <cellStyle name="Normal 19 4" xfId="1058"/>
    <cellStyle name="Normal 19 4 2" xfId="1744"/>
    <cellStyle name="Normal 19 4 2 2" xfId="3192"/>
    <cellStyle name="Normal 19 4 2 2 2" xfId="6114"/>
    <cellStyle name="Normal 19 4 2 3" xfId="4669"/>
    <cellStyle name="Normal 19 4 3" xfId="2029"/>
    <cellStyle name="Normal 19 4 3 2" xfId="3473"/>
    <cellStyle name="Normal 19 4 3 2 2" xfId="6395"/>
    <cellStyle name="Normal 19 4 3 3" xfId="4951"/>
    <cellStyle name="Normal 19 4 4" xfId="2598"/>
    <cellStyle name="Normal 19 4 4 2" xfId="5520"/>
    <cellStyle name="Normal 19 4 5" xfId="4047"/>
    <cellStyle name="Normal 19 4 6" xfId="6614"/>
    <cellStyle name="Normal 190" xfId="413"/>
    <cellStyle name="Normal 190 2" xfId="1059"/>
    <cellStyle name="Normal 190 2 2" xfId="1745"/>
    <cellStyle name="Normal 190 2 2 2" xfId="3193"/>
    <cellStyle name="Normal 190 2 2 2 2" xfId="6115"/>
    <cellStyle name="Normal 190 2 2 3" xfId="4670"/>
    <cellStyle name="Normal 190 2 3" xfId="2599"/>
    <cellStyle name="Normal 190 2 3 2" xfId="5521"/>
    <cellStyle name="Normal 190 2 4" xfId="4048"/>
    <cellStyle name="Normal 190 3" xfId="595"/>
    <cellStyle name="Normal 190 3 2" xfId="1499"/>
    <cellStyle name="Normal 190 3 2 2" xfId="2967"/>
    <cellStyle name="Normal 190 3 2 2 2" xfId="5889"/>
    <cellStyle name="Normal 190 3 2 3" xfId="4424"/>
    <cellStyle name="Normal 190 3 3" xfId="2373"/>
    <cellStyle name="Normal 190 3 3 2" xfId="5295"/>
    <cellStyle name="Normal 190 3 4" xfId="3822"/>
    <cellStyle name="Normal 190 4" xfId="1324"/>
    <cellStyle name="Normal 190 4 2" xfId="2792"/>
    <cellStyle name="Normal 190 4 2 2" xfId="5714"/>
    <cellStyle name="Normal 190 4 3" xfId="4249"/>
    <cellStyle name="Normal 190 5" xfId="2030"/>
    <cellStyle name="Normal 190 5 2" xfId="3474"/>
    <cellStyle name="Normal 190 5 2 2" xfId="6396"/>
    <cellStyle name="Normal 190 5 3" xfId="4952"/>
    <cellStyle name="Normal 190 6" xfId="2198"/>
    <cellStyle name="Normal 190 6 2" xfId="5120"/>
    <cellStyle name="Normal 190 7" xfId="3647"/>
    <cellStyle name="Normal 190 8" xfId="6615"/>
    <cellStyle name="Normal 191" xfId="414"/>
    <cellStyle name="Normal 191 2" xfId="1060"/>
    <cellStyle name="Normal 191 2 2" xfId="1746"/>
    <cellStyle name="Normal 191 2 2 2" xfId="3194"/>
    <cellStyle name="Normal 191 2 2 2 2" xfId="6116"/>
    <cellStyle name="Normal 191 2 2 3" xfId="4671"/>
    <cellStyle name="Normal 191 2 3" xfId="2600"/>
    <cellStyle name="Normal 191 2 3 2" xfId="5522"/>
    <cellStyle name="Normal 191 2 4" xfId="4049"/>
    <cellStyle name="Normal 191 3" xfId="596"/>
    <cellStyle name="Normal 191 3 2" xfId="1500"/>
    <cellStyle name="Normal 191 3 2 2" xfId="2968"/>
    <cellStyle name="Normal 191 3 2 2 2" xfId="5890"/>
    <cellStyle name="Normal 191 3 2 3" xfId="4425"/>
    <cellStyle name="Normal 191 3 3" xfId="2374"/>
    <cellStyle name="Normal 191 3 3 2" xfId="5296"/>
    <cellStyle name="Normal 191 3 4" xfId="3823"/>
    <cellStyle name="Normal 191 4" xfId="1325"/>
    <cellStyle name="Normal 191 4 2" xfId="2793"/>
    <cellStyle name="Normal 191 4 2 2" xfId="5715"/>
    <cellStyle name="Normal 191 4 3" xfId="4250"/>
    <cellStyle name="Normal 191 5" xfId="2031"/>
    <cellStyle name="Normal 191 5 2" xfId="3475"/>
    <cellStyle name="Normal 191 5 2 2" xfId="6397"/>
    <cellStyle name="Normal 191 5 3" xfId="4953"/>
    <cellStyle name="Normal 191 6" xfId="2199"/>
    <cellStyle name="Normal 191 6 2" xfId="5121"/>
    <cellStyle name="Normal 191 7" xfId="3648"/>
    <cellStyle name="Normal 191 8" xfId="6616"/>
    <cellStyle name="Normal 192" xfId="428"/>
    <cellStyle name="Normal 192 2" xfId="1061"/>
    <cellStyle name="Normal 192 2 2" xfId="1747"/>
    <cellStyle name="Normal 192 2 2 2" xfId="3195"/>
    <cellStyle name="Normal 192 2 2 2 2" xfId="6117"/>
    <cellStyle name="Normal 192 2 2 3" xfId="4672"/>
    <cellStyle name="Normal 192 2 3" xfId="2601"/>
    <cellStyle name="Normal 192 2 3 2" xfId="5523"/>
    <cellStyle name="Normal 192 2 4" xfId="4050"/>
    <cellStyle name="Normal 192 3" xfId="610"/>
    <cellStyle name="Normal 192 3 2" xfId="1514"/>
    <cellStyle name="Normal 192 3 2 2" xfId="2982"/>
    <cellStyle name="Normal 192 3 2 2 2" xfId="5904"/>
    <cellStyle name="Normal 192 3 2 3" xfId="4439"/>
    <cellStyle name="Normal 192 3 3" xfId="2388"/>
    <cellStyle name="Normal 192 3 3 2" xfId="5310"/>
    <cellStyle name="Normal 192 3 4" xfId="3837"/>
    <cellStyle name="Normal 192 4" xfId="1339"/>
    <cellStyle name="Normal 192 4 2" xfId="2807"/>
    <cellStyle name="Normal 192 4 2 2" xfId="5729"/>
    <cellStyle name="Normal 192 4 3" xfId="4264"/>
    <cellStyle name="Normal 192 5" xfId="2032"/>
    <cellStyle name="Normal 192 5 2" xfId="3476"/>
    <cellStyle name="Normal 192 5 2 2" xfId="6398"/>
    <cellStyle name="Normal 192 5 3" xfId="4954"/>
    <cellStyle name="Normal 192 6" xfId="2213"/>
    <cellStyle name="Normal 192 6 2" xfId="5135"/>
    <cellStyle name="Normal 192 7" xfId="3662"/>
    <cellStyle name="Normal 192 8" xfId="6617"/>
    <cellStyle name="Normal 193" xfId="429"/>
    <cellStyle name="Normal 193 2" xfId="1062"/>
    <cellStyle name="Normal 193 2 2" xfId="1748"/>
    <cellStyle name="Normal 193 2 2 2" xfId="3196"/>
    <cellStyle name="Normal 193 2 2 2 2" xfId="6118"/>
    <cellStyle name="Normal 193 2 2 3" xfId="4673"/>
    <cellStyle name="Normal 193 2 3" xfId="2602"/>
    <cellStyle name="Normal 193 2 3 2" xfId="5524"/>
    <cellStyle name="Normal 193 2 4" xfId="4051"/>
    <cellStyle name="Normal 193 3" xfId="611"/>
    <cellStyle name="Normal 193 3 2" xfId="1515"/>
    <cellStyle name="Normal 193 3 2 2" xfId="2983"/>
    <cellStyle name="Normal 193 3 2 2 2" xfId="5905"/>
    <cellStyle name="Normal 193 3 2 3" xfId="4440"/>
    <cellStyle name="Normal 193 3 3" xfId="2389"/>
    <cellStyle name="Normal 193 3 3 2" xfId="5311"/>
    <cellStyle name="Normal 193 3 4" xfId="3838"/>
    <cellStyle name="Normal 193 4" xfId="1340"/>
    <cellStyle name="Normal 193 4 2" xfId="2808"/>
    <cellStyle name="Normal 193 4 2 2" xfId="5730"/>
    <cellStyle name="Normal 193 4 3" xfId="4265"/>
    <cellStyle name="Normal 193 5" xfId="2033"/>
    <cellStyle name="Normal 193 5 2" xfId="3477"/>
    <cellStyle name="Normal 193 5 2 2" xfId="6399"/>
    <cellStyle name="Normal 193 5 3" xfId="4955"/>
    <cellStyle name="Normal 193 6" xfId="2214"/>
    <cellStyle name="Normal 193 6 2" xfId="5136"/>
    <cellStyle name="Normal 193 7" xfId="3663"/>
    <cellStyle name="Normal 193 8" xfId="6618"/>
    <cellStyle name="Normal 194" xfId="443"/>
    <cellStyle name="Normal 194 2" xfId="1063"/>
    <cellStyle name="Normal 194 2 2" xfId="1749"/>
    <cellStyle name="Normal 194 2 2 2" xfId="3197"/>
    <cellStyle name="Normal 194 2 2 2 2" xfId="6119"/>
    <cellStyle name="Normal 194 2 2 3" xfId="4674"/>
    <cellStyle name="Normal 194 2 3" xfId="2603"/>
    <cellStyle name="Normal 194 2 3 2" xfId="5525"/>
    <cellStyle name="Normal 194 2 4" xfId="4052"/>
    <cellStyle name="Normal 194 3" xfId="625"/>
    <cellStyle name="Normal 194 3 2" xfId="1529"/>
    <cellStyle name="Normal 194 3 2 2" xfId="2997"/>
    <cellStyle name="Normal 194 3 2 2 2" xfId="5919"/>
    <cellStyle name="Normal 194 3 2 3" xfId="4454"/>
    <cellStyle name="Normal 194 3 3" xfId="2403"/>
    <cellStyle name="Normal 194 3 3 2" xfId="5325"/>
    <cellStyle name="Normal 194 3 4" xfId="3852"/>
    <cellStyle name="Normal 194 4" xfId="1354"/>
    <cellStyle name="Normal 194 4 2" xfId="2822"/>
    <cellStyle name="Normal 194 4 2 2" xfId="5744"/>
    <cellStyle name="Normal 194 4 3" xfId="4279"/>
    <cellStyle name="Normal 194 5" xfId="2034"/>
    <cellStyle name="Normal 194 5 2" xfId="3478"/>
    <cellStyle name="Normal 194 5 2 2" xfId="6400"/>
    <cellStyle name="Normal 194 5 3" xfId="4956"/>
    <cellStyle name="Normal 194 6" xfId="2228"/>
    <cellStyle name="Normal 194 6 2" xfId="5150"/>
    <cellStyle name="Normal 194 7" xfId="3677"/>
    <cellStyle name="Normal 194 8" xfId="6619"/>
    <cellStyle name="Normal 195" xfId="457"/>
    <cellStyle name="Normal 195 2" xfId="1064"/>
    <cellStyle name="Normal 195 2 2" xfId="1750"/>
    <cellStyle name="Normal 195 2 2 2" xfId="3198"/>
    <cellStyle name="Normal 195 2 2 2 2" xfId="6120"/>
    <cellStyle name="Normal 195 2 2 3" xfId="4675"/>
    <cellStyle name="Normal 195 2 3" xfId="2604"/>
    <cellStyle name="Normal 195 2 3 2" xfId="5526"/>
    <cellStyle name="Normal 195 2 4" xfId="4053"/>
    <cellStyle name="Normal 195 3" xfId="639"/>
    <cellStyle name="Normal 195 3 2" xfId="1543"/>
    <cellStyle name="Normal 195 3 2 2" xfId="3011"/>
    <cellStyle name="Normal 195 3 2 2 2" xfId="5933"/>
    <cellStyle name="Normal 195 3 2 3" xfId="4468"/>
    <cellStyle name="Normal 195 3 3" xfId="2417"/>
    <cellStyle name="Normal 195 3 3 2" xfId="5339"/>
    <cellStyle name="Normal 195 3 4" xfId="3866"/>
    <cellStyle name="Normal 195 4" xfId="1368"/>
    <cellStyle name="Normal 195 4 2" xfId="2836"/>
    <cellStyle name="Normal 195 4 2 2" xfId="5758"/>
    <cellStyle name="Normal 195 4 3" xfId="4293"/>
    <cellStyle name="Normal 195 5" xfId="2035"/>
    <cellStyle name="Normal 195 5 2" xfId="3479"/>
    <cellStyle name="Normal 195 5 2 2" xfId="6401"/>
    <cellStyle name="Normal 195 5 3" xfId="4957"/>
    <cellStyle name="Normal 195 6" xfId="2242"/>
    <cellStyle name="Normal 195 6 2" xfId="5164"/>
    <cellStyle name="Normal 195 7" xfId="3691"/>
    <cellStyle name="Normal 195 8" xfId="6620"/>
    <cellStyle name="Normal 196" xfId="460"/>
    <cellStyle name="Normal 196 2" xfId="1065"/>
    <cellStyle name="Normal 196 2 2" xfId="1751"/>
    <cellStyle name="Normal 196 2 2 2" xfId="3199"/>
    <cellStyle name="Normal 196 2 2 2 2" xfId="6121"/>
    <cellStyle name="Normal 196 2 2 3" xfId="4676"/>
    <cellStyle name="Normal 196 2 3" xfId="2605"/>
    <cellStyle name="Normal 196 2 3 2" xfId="5527"/>
    <cellStyle name="Normal 196 2 4" xfId="4054"/>
    <cellStyle name="Normal 196 3" xfId="642"/>
    <cellStyle name="Normal 196 3 2" xfId="1546"/>
    <cellStyle name="Normal 196 3 2 2" xfId="3014"/>
    <cellStyle name="Normal 196 3 2 2 2" xfId="5936"/>
    <cellStyle name="Normal 196 3 2 3" xfId="4471"/>
    <cellStyle name="Normal 196 3 3" xfId="2420"/>
    <cellStyle name="Normal 196 3 3 2" xfId="5342"/>
    <cellStyle name="Normal 196 3 4" xfId="3869"/>
    <cellStyle name="Normal 196 4" xfId="1371"/>
    <cellStyle name="Normal 196 4 2" xfId="2839"/>
    <cellStyle name="Normal 196 4 2 2" xfId="5761"/>
    <cellStyle name="Normal 196 4 3" xfId="4296"/>
    <cellStyle name="Normal 196 5" xfId="2036"/>
    <cellStyle name="Normal 196 5 2" xfId="3480"/>
    <cellStyle name="Normal 196 5 2 2" xfId="6402"/>
    <cellStyle name="Normal 196 5 3" xfId="4958"/>
    <cellStyle name="Normal 196 6" xfId="2245"/>
    <cellStyle name="Normal 196 6 2" xfId="5167"/>
    <cellStyle name="Normal 196 7" xfId="3694"/>
    <cellStyle name="Normal 196 8" xfId="6621"/>
    <cellStyle name="Normal 197" xfId="470"/>
    <cellStyle name="Normal 197 2" xfId="1066"/>
    <cellStyle name="Normal 197 2 2" xfId="1752"/>
    <cellStyle name="Normal 197 2 2 2" xfId="3200"/>
    <cellStyle name="Normal 197 2 2 2 2" xfId="6122"/>
    <cellStyle name="Normal 197 2 2 3" xfId="4677"/>
    <cellStyle name="Normal 197 2 3" xfId="2606"/>
    <cellStyle name="Normal 197 2 3 2" xfId="5528"/>
    <cellStyle name="Normal 197 2 4" xfId="4055"/>
    <cellStyle name="Normal 197 3" xfId="652"/>
    <cellStyle name="Normal 197 3 2" xfId="1556"/>
    <cellStyle name="Normal 197 3 2 2" xfId="3024"/>
    <cellStyle name="Normal 197 3 2 2 2" xfId="5946"/>
    <cellStyle name="Normal 197 3 2 3" xfId="4481"/>
    <cellStyle name="Normal 197 3 3" xfId="2430"/>
    <cellStyle name="Normal 197 3 3 2" xfId="5352"/>
    <cellStyle name="Normal 197 3 4" xfId="3879"/>
    <cellStyle name="Normal 197 4" xfId="1381"/>
    <cellStyle name="Normal 197 4 2" xfId="2849"/>
    <cellStyle name="Normal 197 4 2 2" xfId="5771"/>
    <cellStyle name="Normal 197 4 3" xfId="4306"/>
    <cellStyle name="Normal 197 5" xfId="2037"/>
    <cellStyle name="Normal 197 5 2" xfId="3481"/>
    <cellStyle name="Normal 197 5 2 2" xfId="6403"/>
    <cellStyle name="Normal 197 5 3" xfId="4959"/>
    <cellStyle name="Normal 197 6" xfId="2255"/>
    <cellStyle name="Normal 197 6 2" xfId="5177"/>
    <cellStyle name="Normal 197 7" xfId="3704"/>
    <cellStyle name="Normal 197 8" xfId="6622"/>
    <cellStyle name="Normal 198" xfId="477"/>
    <cellStyle name="Normal 198 2" xfId="1067"/>
    <cellStyle name="Normal 198 2 2" xfId="1753"/>
    <cellStyle name="Normal 198 2 2 2" xfId="3201"/>
    <cellStyle name="Normal 198 2 2 2 2" xfId="6123"/>
    <cellStyle name="Normal 198 2 2 3" xfId="4678"/>
    <cellStyle name="Normal 198 2 3" xfId="2607"/>
    <cellStyle name="Normal 198 2 3 2" xfId="5529"/>
    <cellStyle name="Normal 198 2 4" xfId="4056"/>
    <cellStyle name="Normal 198 3" xfId="659"/>
    <cellStyle name="Normal 198 3 2" xfId="1563"/>
    <cellStyle name="Normal 198 3 2 2" xfId="3031"/>
    <cellStyle name="Normal 198 3 2 2 2" xfId="5953"/>
    <cellStyle name="Normal 198 3 2 3" xfId="4488"/>
    <cellStyle name="Normal 198 3 3" xfId="2437"/>
    <cellStyle name="Normal 198 3 3 2" xfId="5359"/>
    <cellStyle name="Normal 198 3 4" xfId="3886"/>
    <cellStyle name="Normal 198 4" xfId="1388"/>
    <cellStyle name="Normal 198 4 2" xfId="2856"/>
    <cellStyle name="Normal 198 4 2 2" xfId="5778"/>
    <cellStyle name="Normal 198 4 3" xfId="4313"/>
    <cellStyle name="Normal 198 5" xfId="2038"/>
    <cellStyle name="Normal 198 5 2" xfId="3482"/>
    <cellStyle name="Normal 198 5 2 2" xfId="6404"/>
    <cellStyle name="Normal 198 5 3" xfId="4960"/>
    <cellStyle name="Normal 198 6" xfId="2262"/>
    <cellStyle name="Normal 198 6 2" xfId="5184"/>
    <cellStyle name="Normal 198 7" xfId="3711"/>
    <cellStyle name="Normal 198 8" xfId="6623"/>
    <cellStyle name="Normal 199" xfId="484"/>
    <cellStyle name="Normal 199 2" xfId="1068"/>
    <cellStyle name="Normal 199 2 2" xfId="1754"/>
    <cellStyle name="Normal 199 2 2 2" xfId="3202"/>
    <cellStyle name="Normal 199 2 2 2 2" xfId="6124"/>
    <cellStyle name="Normal 199 2 2 3" xfId="4679"/>
    <cellStyle name="Normal 199 2 3" xfId="2608"/>
    <cellStyle name="Normal 199 2 3 2" xfId="5530"/>
    <cellStyle name="Normal 199 2 4" xfId="4057"/>
    <cellStyle name="Normal 199 3" xfId="663"/>
    <cellStyle name="Normal 199 3 2" xfId="1567"/>
    <cellStyle name="Normal 199 3 2 2" xfId="3035"/>
    <cellStyle name="Normal 199 3 2 2 2" xfId="5957"/>
    <cellStyle name="Normal 199 3 2 3" xfId="4492"/>
    <cellStyle name="Normal 199 3 3" xfId="2441"/>
    <cellStyle name="Normal 199 3 3 2" xfId="5363"/>
    <cellStyle name="Normal 199 3 4" xfId="3890"/>
    <cellStyle name="Normal 199 4" xfId="1392"/>
    <cellStyle name="Normal 199 4 2" xfId="2860"/>
    <cellStyle name="Normal 199 4 2 2" xfId="5782"/>
    <cellStyle name="Normal 199 4 3" xfId="4317"/>
    <cellStyle name="Normal 199 5" xfId="2039"/>
    <cellStyle name="Normal 199 5 2" xfId="3483"/>
    <cellStyle name="Normal 199 5 2 2" xfId="6405"/>
    <cellStyle name="Normal 199 5 3" xfId="4961"/>
    <cellStyle name="Normal 199 6" xfId="2266"/>
    <cellStyle name="Normal 199 6 2" xfId="5188"/>
    <cellStyle name="Normal 199 7" xfId="3715"/>
    <cellStyle name="Normal 199 8" xfId="6624"/>
    <cellStyle name="Normal 2" xfId="175"/>
    <cellStyle name="Normal 2 2" xfId="176"/>
    <cellStyle name="Normal 2 2 2" xfId="1069"/>
    <cellStyle name="Normal 2 2 2 2" xfId="1070"/>
    <cellStyle name="Normal 2 2 2 2 2" xfId="1756"/>
    <cellStyle name="Normal 2 2 2 2 2 2" xfId="3204"/>
    <cellStyle name="Normal 2 2 2 2 2 2 2" xfId="6126"/>
    <cellStyle name="Normal 2 2 2 2 2 3" xfId="4681"/>
    <cellStyle name="Normal 2 2 2 2 3" xfId="2041"/>
    <cellStyle name="Normal 2 2 2 2 3 2" xfId="3485"/>
    <cellStyle name="Normal 2 2 2 2 3 2 2" xfId="6407"/>
    <cellStyle name="Normal 2 2 2 2 3 3" xfId="4963"/>
    <cellStyle name="Normal 2 2 2 2 4" xfId="2610"/>
    <cellStyle name="Normal 2 2 2 2 4 2" xfId="5532"/>
    <cellStyle name="Normal 2 2 2 2 5" xfId="4059"/>
    <cellStyle name="Normal 2 2 2 2 6" xfId="6626"/>
    <cellStyle name="Normal 2 2 2 3" xfId="1755"/>
    <cellStyle name="Normal 2 2 2 3 2" xfId="3203"/>
    <cellStyle name="Normal 2 2 2 3 2 2" xfId="6125"/>
    <cellStyle name="Normal 2 2 2 3 3" xfId="4680"/>
    <cellStyle name="Normal 2 2 2 4" xfId="1899"/>
    <cellStyle name="Normal 2 2 2 4 2" xfId="3344"/>
    <cellStyle name="Normal 2 2 2 4 2 2" xfId="6266"/>
    <cellStyle name="Normal 2 2 2 4 3" xfId="4822"/>
    <cellStyle name="Normal 2 2 2 5" xfId="2040"/>
    <cellStyle name="Normal 2 2 2 5 2" xfId="3484"/>
    <cellStyle name="Normal 2 2 2 5 2 2" xfId="6406"/>
    <cellStyle name="Normal 2 2 2 5 3" xfId="4962"/>
    <cellStyle name="Normal 2 2 2 6" xfId="2609"/>
    <cellStyle name="Normal 2 2 2 6 2" xfId="5531"/>
    <cellStyle name="Normal 2 2 2 7" xfId="4058"/>
    <cellStyle name="Normal 2 2 2 8" xfId="6625"/>
    <cellStyle name="Normal 2 2 3" xfId="1071"/>
    <cellStyle name="Normal 2 2 3 2" xfId="1757"/>
    <cellStyle name="Normal 2 2 3 2 2" xfId="3205"/>
    <cellStyle name="Normal 2 2 3 2 2 2" xfId="6127"/>
    <cellStyle name="Normal 2 2 3 2 3" xfId="4682"/>
    <cellStyle name="Normal 2 2 3 3" xfId="2042"/>
    <cellStyle name="Normal 2 2 3 3 2" xfId="3486"/>
    <cellStyle name="Normal 2 2 3 3 2 2" xfId="6408"/>
    <cellStyle name="Normal 2 2 3 3 3" xfId="4964"/>
    <cellStyle name="Normal 2 2 3 4" xfId="2611"/>
    <cellStyle name="Normal 2 2 3 4 2" xfId="5533"/>
    <cellStyle name="Normal 2 2 3 5" xfId="4060"/>
    <cellStyle name="Normal 2 2 3 6" xfId="6627"/>
    <cellStyle name="Normal 2 2 4" xfId="1072"/>
    <cellStyle name="Normal 2 2 4 2" xfId="1758"/>
    <cellStyle name="Normal 2 2 4 2 2" xfId="3206"/>
    <cellStyle name="Normal 2 2 4 2 2 2" xfId="6128"/>
    <cellStyle name="Normal 2 2 4 2 3" xfId="4683"/>
    <cellStyle name="Normal 2 2 4 3" xfId="2043"/>
    <cellStyle name="Normal 2 2 4 3 2" xfId="3487"/>
    <cellStyle name="Normal 2 2 4 3 2 2" xfId="6409"/>
    <cellStyle name="Normal 2 2 4 3 3" xfId="4965"/>
    <cellStyle name="Normal 2 2 4 4" xfId="2612"/>
    <cellStyle name="Normal 2 2 4 4 2" xfId="5534"/>
    <cellStyle name="Normal 2 2 4 5" xfId="4061"/>
    <cellStyle name="Normal 2 2 4 6" xfId="6628"/>
    <cellStyle name="Normal 2 2 5" xfId="1893"/>
    <cellStyle name="Normal 2 2 5 2" xfId="3338"/>
    <cellStyle name="Normal 2 2 5 2 2" xfId="6260"/>
    <cellStyle name="Normal 2 2 5 3" xfId="4816"/>
    <cellStyle name="Normal 2 3" xfId="177"/>
    <cellStyle name="Normal 2 3 2" xfId="1073"/>
    <cellStyle name="Normal 2 3 2 2" xfId="1074"/>
    <cellStyle name="Normal 2 3 2 2 2" xfId="1760"/>
    <cellStyle name="Normal 2 3 2 2 2 2" xfId="3208"/>
    <cellStyle name="Normal 2 3 2 2 2 2 2" xfId="6130"/>
    <cellStyle name="Normal 2 3 2 2 2 3" xfId="4685"/>
    <cellStyle name="Normal 2 3 2 2 3" xfId="2045"/>
    <cellStyle name="Normal 2 3 2 2 3 2" xfId="3489"/>
    <cellStyle name="Normal 2 3 2 2 3 2 2" xfId="6411"/>
    <cellStyle name="Normal 2 3 2 2 3 3" xfId="4967"/>
    <cellStyle name="Normal 2 3 2 2 4" xfId="2614"/>
    <cellStyle name="Normal 2 3 2 2 4 2" xfId="5536"/>
    <cellStyle name="Normal 2 3 2 2 5" xfId="4063"/>
    <cellStyle name="Normal 2 3 2 2 6" xfId="6630"/>
    <cellStyle name="Normal 2 3 2 3" xfId="1759"/>
    <cellStyle name="Normal 2 3 2 3 2" xfId="3207"/>
    <cellStyle name="Normal 2 3 2 3 2 2" xfId="6129"/>
    <cellStyle name="Normal 2 3 2 3 3" xfId="4684"/>
    <cellStyle name="Normal 2 3 2 4" xfId="1901"/>
    <cellStyle name="Normal 2 3 2 4 2" xfId="3346"/>
    <cellStyle name="Normal 2 3 2 4 2 2" xfId="6268"/>
    <cellStyle name="Normal 2 3 2 4 3" xfId="4824"/>
    <cellStyle name="Normal 2 3 2 5" xfId="2044"/>
    <cellStyle name="Normal 2 3 2 5 2" xfId="3488"/>
    <cellStyle name="Normal 2 3 2 5 2 2" xfId="6410"/>
    <cellStyle name="Normal 2 3 2 5 3" xfId="4966"/>
    <cellStyle name="Normal 2 3 2 6" xfId="2613"/>
    <cellStyle name="Normal 2 3 2 6 2" xfId="5535"/>
    <cellStyle name="Normal 2 3 2 7" xfId="4062"/>
    <cellStyle name="Normal 2 3 2 8" xfId="6629"/>
    <cellStyle name="Normal 2 3 3" xfId="1075"/>
    <cellStyle name="Normal 2 3 3 2" xfId="1761"/>
    <cellStyle name="Normal 2 3 3 2 2" xfId="3209"/>
    <cellStyle name="Normal 2 3 3 2 2 2" xfId="6131"/>
    <cellStyle name="Normal 2 3 3 2 3" xfId="4686"/>
    <cellStyle name="Normal 2 3 3 3" xfId="2046"/>
    <cellStyle name="Normal 2 3 3 3 2" xfId="3490"/>
    <cellStyle name="Normal 2 3 3 3 2 2" xfId="6412"/>
    <cellStyle name="Normal 2 3 3 3 3" xfId="4968"/>
    <cellStyle name="Normal 2 3 3 4" xfId="2615"/>
    <cellStyle name="Normal 2 3 3 4 2" xfId="5537"/>
    <cellStyle name="Normal 2 3 3 5" xfId="4064"/>
    <cellStyle name="Normal 2 3 3 6" xfId="6631"/>
    <cellStyle name="Normal 2 3 4" xfId="1076"/>
    <cellStyle name="Normal 2 3 4 2" xfId="1762"/>
    <cellStyle name="Normal 2 3 4 2 2" xfId="3210"/>
    <cellStyle name="Normal 2 3 4 2 2 2" xfId="6132"/>
    <cellStyle name="Normal 2 3 4 2 3" xfId="4687"/>
    <cellStyle name="Normal 2 3 4 3" xfId="2047"/>
    <cellStyle name="Normal 2 3 4 3 2" xfId="3491"/>
    <cellStyle name="Normal 2 3 4 3 2 2" xfId="6413"/>
    <cellStyle name="Normal 2 3 4 3 3" xfId="4969"/>
    <cellStyle name="Normal 2 3 4 4" xfId="2616"/>
    <cellStyle name="Normal 2 3 4 4 2" xfId="5538"/>
    <cellStyle name="Normal 2 3 4 5" xfId="4065"/>
    <cellStyle name="Normal 2 3 4 6" xfId="6632"/>
    <cellStyle name="Normal 2 3 5" xfId="1895"/>
    <cellStyle name="Normal 2 3 5 2" xfId="3340"/>
    <cellStyle name="Normal 2 3 5 2 2" xfId="6262"/>
    <cellStyle name="Normal 2 3 5 3" xfId="4818"/>
    <cellStyle name="Normal 2 4" xfId="178"/>
    <cellStyle name="Normal 2 4 10" xfId="6633"/>
    <cellStyle name="Normal 2 4 2" xfId="1078"/>
    <cellStyle name="Normal 2 4 2 2" xfId="1764"/>
    <cellStyle name="Normal 2 4 2 2 2" xfId="3212"/>
    <cellStyle name="Normal 2 4 2 2 2 2" xfId="6134"/>
    <cellStyle name="Normal 2 4 2 2 3" xfId="4689"/>
    <cellStyle name="Normal 2 4 2 3" xfId="2049"/>
    <cellStyle name="Normal 2 4 2 3 2" xfId="3493"/>
    <cellStyle name="Normal 2 4 2 3 2 2" xfId="6415"/>
    <cellStyle name="Normal 2 4 2 3 3" xfId="4971"/>
    <cellStyle name="Normal 2 4 2 4" xfId="2618"/>
    <cellStyle name="Normal 2 4 2 4 2" xfId="5540"/>
    <cellStyle name="Normal 2 4 2 5" xfId="4067"/>
    <cellStyle name="Normal 2 4 2 6" xfId="6634"/>
    <cellStyle name="Normal 2 4 3" xfId="1077"/>
    <cellStyle name="Normal 2 4 3 2" xfId="1763"/>
    <cellStyle name="Normal 2 4 3 2 2" xfId="3211"/>
    <cellStyle name="Normal 2 4 3 2 2 2" xfId="6133"/>
    <cellStyle name="Normal 2 4 3 2 3" xfId="4688"/>
    <cellStyle name="Normal 2 4 3 3" xfId="2617"/>
    <cellStyle name="Normal 2 4 3 3 2" xfId="5539"/>
    <cellStyle name="Normal 2 4 3 4" xfId="4066"/>
    <cellStyle name="Normal 2 4 4" xfId="542"/>
    <cellStyle name="Normal 2 4 4 2" xfId="1446"/>
    <cellStyle name="Normal 2 4 4 2 2" xfId="2914"/>
    <cellStyle name="Normal 2 4 4 2 2 2" xfId="5836"/>
    <cellStyle name="Normal 2 4 4 2 3" xfId="4371"/>
    <cellStyle name="Normal 2 4 4 3" xfId="2320"/>
    <cellStyle name="Normal 2 4 4 3 2" xfId="5242"/>
    <cellStyle name="Normal 2 4 4 4" xfId="3769"/>
    <cellStyle name="Normal 2 4 5" xfId="1271"/>
    <cellStyle name="Normal 2 4 5 2" xfId="2739"/>
    <cellStyle name="Normal 2 4 5 2 2" xfId="5661"/>
    <cellStyle name="Normal 2 4 5 3" xfId="4196"/>
    <cellStyle name="Normal 2 4 6" xfId="1897"/>
    <cellStyle name="Normal 2 4 6 2" xfId="3342"/>
    <cellStyle name="Normal 2 4 6 2 2" xfId="6264"/>
    <cellStyle name="Normal 2 4 6 3" xfId="4820"/>
    <cellStyle name="Normal 2 4 7" xfId="2048"/>
    <cellStyle name="Normal 2 4 7 2" xfId="3492"/>
    <cellStyle name="Normal 2 4 7 2 2" xfId="6414"/>
    <cellStyle name="Normal 2 4 7 3" xfId="4970"/>
    <cellStyle name="Normal 2 4 8" xfId="2145"/>
    <cellStyle name="Normal 2 4 8 2" xfId="5067"/>
    <cellStyle name="Normal 2 4 9" xfId="3589"/>
    <cellStyle name="Normal 2 5" xfId="485"/>
    <cellStyle name="Normal 2 6" xfId="1891"/>
    <cellStyle name="Normal 2 6 2" xfId="3336"/>
    <cellStyle name="Normal 2 6 2 2" xfId="6258"/>
    <cellStyle name="Normal 2 6 3" xfId="4814"/>
    <cellStyle name="Normal 20" xfId="179"/>
    <cellStyle name="Normal 20 2" xfId="1079"/>
    <cellStyle name="Normal 200" xfId="486"/>
    <cellStyle name="Normal 200 2" xfId="1080"/>
    <cellStyle name="Normal 200 2 2" xfId="1765"/>
    <cellStyle name="Normal 200 2 2 2" xfId="3213"/>
    <cellStyle name="Normal 200 2 2 2 2" xfId="6135"/>
    <cellStyle name="Normal 200 2 2 3" xfId="4690"/>
    <cellStyle name="Normal 200 2 3" xfId="2619"/>
    <cellStyle name="Normal 200 2 3 2" xfId="5541"/>
    <cellStyle name="Normal 200 2 4" xfId="4068"/>
    <cellStyle name="Normal 200 3" xfId="664"/>
    <cellStyle name="Normal 200 3 2" xfId="1568"/>
    <cellStyle name="Normal 200 3 2 2" xfId="3036"/>
    <cellStyle name="Normal 200 3 2 2 2" xfId="5958"/>
    <cellStyle name="Normal 200 3 2 3" xfId="4493"/>
    <cellStyle name="Normal 200 3 3" xfId="2442"/>
    <cellStyle name="Normal 200 3 3 2" xfId="5364"/>
    <cellStyle name="Normal 200 3 4" xfId="3891"/>
    <cellStyle name="Normal 200 4" xfId="1393"/>
    <cellStyle name="Normal 200 4 2" xfId="2861"/>
    <cellStyle name="Normal 200 4 2 2" xfId="5783"/>
    <cellStyle name="Normal 200 4 3" xfId="4318"/>
    <cellStyle name="Normal 200 5" xfId="2050"/>
    <cellStyle name="Normal 200 5 2" xfId="3494"/>
    <cellStyle name="Normal 200 5 2 2" xfId="6416"/>
    <cellStyle name="Normal 200 5 3" xfId="4972"/>
    <cellStyle name="Normal 200 6" xfId="2267"/>
    <cellStyle name="Normal 200 6 2" xfId="5189"/>
    <cellStyle name="Normal 200 7" xfId="3716"/>
    <cellStyle name="Normal 200 8" xfId="6635"/>
    <cellStyle name="Normal 201" xfId="489"/>
    <cellStyle name="Normal 201 2" xfId="1081"/>
    <cellStyle name="Normal 201 2 2" xfId="1766"/>
    <cellStyle name="Normal 201 2 2 2" xfId="3214"/>
    <cellStyle name="Normal 201 2 2 2 2" xfId="6136"/>
    <cellStyle name="Normal 201 2 2 3" xfId="4691"/>
    <cellStyle name="Normal 201 2 3" xfId="2620"/>
    <cellStyle name="Normal 201 2 3 2" xfId="5542"/>
    <cellStyle name="Normal 201 2 4" xfId="4069"/>
    <cellStyle name="Normal 201 3" xfId="667"/>
    <cellStyle name="Normal 201 3 2" xfId="1571"/>
    <cellStyle name="Normal 201 3 2 2" xfId="3039"/>
    <cellStyle name="Normal 201 3 2 2 2" xfId="5961"/>
    <cellStyle name="Normal 201 3 2 3" xfId="4496"/>
    <cellStyle name="Normal 201 3 3" xfId="2445"/>
    <cellStyle name="Normal 201 3 3 2" xfId="5367"/>
    <cellStyle name="Normal 201 3 4" xfId="3894"/>
    <cellStyle name="Normal 201 4" xfId="1396"/>
    <cellStyle name="Normal 201 4 2" xfId="2864"/>
    <cellStyle name="Normal 201 4 2 2" xfId="5786"/>
    <cellStyle name="Normal 201 4 3" xfId="4321"/>
    <cellStyle name="Normal 201 5" xfId="2051"/>
    <cellStyle name="Normal 201 5 2" xfId="3495"/>
    <cellStyle name="Normal 201 5 2 2" xfId="6417"/>
    <cellStyle name="Normal 201 5 3" xfId="4973"/>
    <cellStyle name="Normal 201 6" xfId="2270"/>
    <cellStyle name="Normal 201 6 2" xfId="5192"/>
    <cellStyle name="Normal 201 7" xfId="3719"/>
    <cellStyle name="Normal 201 8" xfId="6636"/>
    <cellStyle name="Normal 202" xfId="501"/>
    <cellStyle name="Normal 202 2" xfId="1082"/>
    <cellStyle name="Normal 202 2 2" xfId="1767"/>
    <cellStyle name="Normal 202 2 2 2" xfId="3215"/>
    <cellStyle name="Normal 202 2 2 2 2" xfId="6137"/>
    <cellStyle name="Normal 202 2 2 3" xfId="4692"/>
    <cellStyle name="Normal 202 2 3" xfId="2621"/>
    <cellStyle name="Normal 202 2 3 2" xfId="5543"/>
    <cellStyle name="Normal 202 2 4" xfId="4070"/>
    <cellStyle name="Normal 202 3" xfId="679"/>
    <cellStyle name="Normal 202 3 2" xfId="1583"/>
    <cellStyle name="Normal 202 3 2 2" xfId="3051"/>
    <cellStyle name="Normal 202 3 2 2 2" xfId="5973"/>
    <cellStyle name="Normal 202 3 2 3" xfId="4508"/>
    <cellStyle name="Normal 202 3 3" xfId="2457"/>
    <cellStyle name="Normal 202 3 3 2" xfId="5379"/>
    <cellStyle name="Normal 202 3 4" xfId="3906"/>
    <cellStyle name="Normal 202 4" xfId="1408"/>
    <cellStyle name="Normal 202 4 2" xfId="2876"/>
    <cellStyle name="Normal 202 4 2 2" xfId="5798"/>
    <cellStyle name="Normal 202 4 3" xfId="4333"/>
    <cellStyle name="Normal 202 5" xfId="2052"/>
    <cellStyle name="Normal 202 5 2" xfId="3496"/>
    <cellStyle name="Normal 202 5 2 2" xfId="6418"/>
    <cellStyle name="Normal 202 5 3" xfId="4974"/>
    <cellStyle name="Normal 202 6" xfId="2282"/>
    <cellStyle name="Normal 202 6 2" xfId="5204"/>
    <cellStyle name="Normal 202 7" xfId="3731"/>
    <cellStyle name="Normal 202 8" xfId="6637"/>
    <cellStyle name="Normal 203" xfId="494"/>
    <cellStyle name="Normal 203 2" xfId="1083"/>
    <cellStyle name="Normal 203 2 2" xfId="1768"/>
    <cellStyle name="Normal 203 2 2 2" xfId="3216"/>
    <cellStyle name="Normal 203 2 2 2 2" xfId="6138"/>
    <cellStyle name="Normal 203 2 2 3" xfId="4693"/>
    <cellStyle name="Normal 203 2 3" xfId="2622"/>
    <cellStyle name="Normal 203 2 3 2" xfId="5544"/>
    <cellStyle name="Normal 203 2 4" xfId="4071"/>
    <cellStyle name="Normal 203 3" xfId="672"/>
    <cellStyle name="Normal 203 3 2" xfId="1576"/>
    <cellStyle name="Normal 203 3 2 2" xfId="3044"/>
    <cellStyle name="Normal 203 3 2 2 2" xfId="5966"/>
    <cellStyle name="Normal 203 3 2 3" xfId="4501"/>
    <cellStyle name="Normal 203 3 3" xfId="2450"/>
    <cellStyle name="Normal 203 3 3 2" xfId="5372"/>
    <cellStyle name="Normal 203 3 4" xfId="3899"/>
    <cellStyle name="Normal 203 4" xfId="1401"/>
    <cellStyle name="Normal 203 4 2" xfId="2869"/>
    <cellStyle name="Normal 203 4 2 2" xfId="5791"/>
    <cellStyle name="Normal 203 4 3" xfId="4326"/>
    <cellStyle name="Normal 203 5" xfId="2053"/>
    <cellStyle name="Normal 203 5 2" xfId="3497"/>
    <cellStyle name="Normal 203 5 2 2" xfId="6419"/>
    <cellStyle name="Normal 203 5 3" xfId="4975"/>
    <cellStyle name="Normal 203 6" xfId="2275"/>
    <cellStyle name="Normal 203 6 2" xfId="5197"/>
    <cellStyle name="Normal 203 7" xfId="3724"/>
    <cellStyle name="Normal 203 8" xfId="6638"/>
    <cellStyle name="Normal 204" xfId="497"/>
    <cellStyle name="Normal 204 2" xfId="1084"/>
    <cellStyle name="Normal 204 2 2" xfId="1769"/>
    <cellStyle name="Normal 204 2 2 2" xfId="3217"/>
    <cellStyle name="Normal 204 2 2 2 2" xfId="6139"/>
    <cellStyle name="Normal 204 2 2 3" xfId="4694"/>
    <cellStyle name="Normal 204 2 3" xfId="2623"/>
    <cellStyle name="Normal 204 2 3 2" xfId="5545"/>
    <cellStyle name="Normal 204 2 4" xfId="4072"/>
    <cellStyle name="Normal 204 3" xfId="675"/>
    <cellStyle name="Normal 204 3 2" xfId="1579"/>
    <cellStyle name="Normal 204 3 2 2" xfId="3047"/>
    <cellStyle name="Normal 204 3 2 2 2" xfId="5969"/>
    <cellStyle name="Normal 204 3 2 3" xfId="4504"/>
    <cellStyle name="Normal 204 3 3" xfId="2453"/>
    <cellStyle name="Normal 204 3 3 2" xfId="5375"/>
    <cellStyle name="Normal 204 3 4" xfId="3902"/>
    <cellStyle name="Normal 204 4" xfId="1404"/>
    <cellStyle name="Normal 204 4 2" xfId="2872"/>
    <cellStyle name="Normal 204 4 2 2" xfId="5794"/>
    <cellStyle name="Normal 204 4 3" xfId="4329"/>
    <cellStyle name="Normal 204 5" xfId="2054"/>
    <cellStyle name="Normal 204 5 2" xfId="3498"/>
    <cellStyle name="Normal 204 5 2 2" xfId="6420"/>
    <cellStyle name="Normal 204 5 3" xfId="4976"/>
    <cellStyle name="Normal 204 6" xfId="2278"/>
    <cellStyle name="Normal 204 6 2" xfId="5200"/>
    <cellStyle name="Normal 204 7" xfId="3727"/>
    <cellStyle name="Normal 204 8" xfId="6639"/>
    <cellStyle name="Normal 205" xfId="511"/>
    <cellStyle name="Normal 205 2" xfId="1085"/>
    <cellStyle name="Normal 205 2 2" xfId="1770"/>
    <cellStyle name="Normal 205 2 2 2" xfId="3218"/>
    <cellStyle name="Normal 205 2 2 2 2" xfId="6140"/>
    <cellStyle name="Normal 205 2 2 3" xfId="4695"/>
    <cellStyle name="Normal 205 2 3" xfId="2624"/>
    <cellStyle name="Normal 205 2 3 2" xfId="5546"/>
    <cellStyle name="Normal 205 2 4" xfId="4073"/>
    <cellStyle name="Normal 205 3" xfId="689"/>
    <cellStyle name="Normal 205 3 2" xfId="1593"/>
    <cellStyle name="Normal 205 3 2 2" xfId="3061"/>
    <cellStyle name="Normal 205 3 2 2 2" xfId="5983"/>
    <cellStyle name="Normal 205 3 2 3" xfId="4518"/>
    <cellStyle name="Normal 205 3 3" xfId="2467"/>
    <cellStyle name="Normal 205 3 3 2" xfId="5389"/>
    <cellStyle name="Normal 205 3 4" xfId="3916"/>
    <cellStyle name="Normal 205 4" xfId="1418"/>
    <cellStyle name="Normal 205 4 2" xfId="2886"/>
    <cellStyle name="Normal 205 4 2 2" xfId="5808"/>
    <cellStyle name="Normal 205 4 3" xfId="4343"/>
    <cellStyle name="Normal 205 5" xfId="2055"/>
    <cellStyle name="Normal 205 5 2" xfId="3499"/>
    <cellStyle name="Normal 205 5 2 2" xfId="6421"/>
    <cellStyle name="Normal 205 5 3" xfId="4977"/>
    <cellStyle name="Normal 205 6" xfId="2292"/>
    <cellStyle name="Normal 205 6 2" xfId="5214"/>
    <cellStyle name="Normal 205 7" xfId="3741"/>
    <cellStyle name="Normal 205 8" xfId="6640"/>
    <cellStyle name="Normal 206" xfId="492"/>
    <cellStyle name="Normal 206 2" xfId="1087"/>
    <cellStyle name="Normal 206 3" xfId="1086"/>
    <cellStyle name="Normal 206 3 2" xfId="1771"/>
    <cellStyle name="Normal 206 3 2 2" xfId="3219"/>
    <cellStyle name="Normal 206 3 2 2 2" xfId="6141"/>
    <cellStyle name="Normal 206 3 2 3" xfId="4696"/>
    <cellStyle name="Normal 206 3 3" xfId="2625"/>
    <cellStyle name="Normal 206 3 3 2" xfId="5547"/>
    <cellStyle name="Normal 206 3 4" xfId="4074"/>
    <cellStyle name="Normal 206 4" xfId="670"/>
    <cellStyle name="Normal 206 4 2" xfId="1574"/>
    <cellStyle name="Normal 206 4 2 2" xfId="3042"/>
    <cellStyle name="Normal 206 4 2 2 2" xfId="5964"/>
    <cellStyle name="Normal 206 4 2 3" xfId="4499"/>
    <cellStyle name="Normal 206 4 3" xfId="2448"/>
    <cellStyle name="Normal 206 4 3 2" xfId="5370"/>
    <cellStyle name="Normal 206 4 4" xfId="3897"/>
    <cellStyle name="Normal 206 5" xfId="1399"/>
    <cellStyle name="Normal 206 5 2" xfId="2867"/>
    <cellStyle name="Normal 206 5 2 2" xfId="5789"/>
    <cellStyle name="Normal 206 5 3" xfId="4324"/>
    <cellStyle name="Normal 206 6" xfId="2056"/>
    <cellStyle name="Normal 206 6 2" xfId="3500"/>
    <cellStyle name="Normal 206 6 2 2" xfId="6422"/>
    <cellStyle name="Normal 206 6 3" xfId="4978"/>
    <cellStyle name="Normal 206 7" xfId="2273"/>
    <cellStyle name="Normal 206 7 2" xfId="5195"/>
    <cellStyle name="Normal 206 8" xfId="3722"/>
    <cellStyle name="Normal 206 9" xfId="6641"/>
    <cellStyle name="Normal 207" xfId="490"/>
    <cellStyle name="Normal 207 2" xfId="1088"/>
    <cellStyle name="Normal 207 2 2" xfId="1772"/>
    <cellStyle name="Normal 207 2 2 2" xfId="3220"/>
    <cellStyle name="Normal 207 2 2 2 2" xfId="6142"/>
    <cellStyle name="Normal 207 2 2 3" xfId="4697"/>
    <cellStyle name="Normal 207 2 3" xfId="2626"/>
    <cellStyle name="Normal 207 2 3 2" xfId="5548"/>
    <cellStyle name="Normal 207 2 4" xfId="4075"/>
    <cellStyle name="Normal 207 3" xfId="668"/>
    <cellStyle name="Normal 207 3 2" xfId="1572"/>
    <cellStyle name="Normal 207 3 2 2" xfId="3040"/>
    <cellStyle name="Normal 207 3 2 2 2" xfId="5962"/>
    <cellStyle name="Normal 207 3 2 3" xfId="4497"/>
    <cellStyle name="Normal 207 3 3" xfId="2446"/>
    <cellStyle name="Normal 207 3 3 2" xfId="5368"/>
    <cellStyle name="Normal 207 3 4" xfId="3895"/>
    <cellStyle name="Normal 207 4" xfId="1397"/>
    <cellStyle name="Normal 207 4 2" xfId="2865"/>
    <cellStyle name="Normal 207 4 2 2" xfId="5787"/>
    <cellStyle name="Normal 207 4 3" xfId="4322"/>
    <cellStyle name="Normal 207 5" xfId="2057"/>
    <cellStyle name="Normal 207 5 2" xfId="3501"/>
    <cellStyle name="Normal 207 5 2 2" xfId="6423"/>
    <cellStyle name="Normal 207 5 3" xfId="4979"/>
    <cellStyle name="Normal 207 6" xfId="2271"/>
    <cellStyle name="Normal 207 6 2" xfId="5193"/>
    <cellStyle name="Normal 207 7" xfId="3720"/>
    <cellStyle name="Normal 207 8" xfId="6642"/>
    <cellStyle name="Normal 208" xfId="498"/>
    <cellStyle name="Normal 208 2" xfId="1089"/>
    <cellStyle name="Normal 208 2 2" xfId="1773"/>
    <cellStyle name="Normal 208 2 2 2" xfId="3221"/>
    <cellStyle name="Normal 208 2 2 2 2" xfId="6143"/>
    <cellStyle name="Normal 208 2 2 3" xfId="4698"/>
    <cellStyle name="Normal 208 2 3" xfId="2627"/>
    <cellStyle name="Normal 208 2 3 2" xfId="5549"/>
    <cellStyle name="Normal 208 2 4" xfId="4076"/>
    <cellStyle name="Normal 208 3" xfId="676"/>
    <cellStyle name="Normal 208 3 2" xfId="1580"/>
    <cellStyle name="Normal 208 3 2 2" xfId="3048"/>
    <cellStyle name="Normal 208 3 2 2 2" xfId="5970"/>
    <cellStyle name="Normal 208 3 2 3" xfId="4505"/>
    <cellStyle name="Normal 208 3 3" xfId="2454"/>
    <cellStyle name="Normal 208 3 3 2" xfId="5376"/>
    <cellStyle name="Normal 208 3 4" xfId="3903"/>
    <cellStyle name="Normal 208 4" xfId="1405"/>
    <cellStyle name="Normal 208 4 2" xfId="2873"/>
    <cellStyle name="Normal 208 4 2 2" xfId="5795"/>
    <cellStyle name="Normal 208 4 3" xfId="4330"/>
    <cellStyle name="Normal 208 5" xfId="2058"/>
    <cellStyle name="Normal 208 5 2" xfId="3502"/>
    <cellStyle name="Normal 208 5 2 2" xfId="6424"/>
    <cellStyle name="Normal 208 5 3" xfId="4980"/>
    <cellStyle name="Normal 208 6" xfId="2279"/>
    <cellStyle name="Normal 208 6 2" xfId="5201"/>
    <cellStyle name="Normal 208 7" xfId="3728"/>
    <cellStyle name="Normal 208 8" xfId="6643"/>
    <cellStyle name="Normal 209" xfId="514"/>
    <cellStyle name="Normal 209 2" xfId="1090"/>
    <cellStyle name="Normal 209 2 2" xfId="1774"/>
    <cellStyle name="Normal 209 2 2 2" xfId="3222"/>
    <cellStyle name="Normal 209 2 2 2 2" xfId="6144"/>
    <cellStyle name="Normal 209 2 2 3" xfId="4699"/>
    <cellStyle name="Normal 209 2 3" xfId="2628"/>
    <cellStyle name="Normal 209 2 3 2" xfId="5550"/>
    <cellStyle name="Normal 209 2 4" xfId="4077"/>
    <cellStyle name="Normal 209 3" xfId="692"/>
    <cellStyle name="Normal 209 3 2" xfId="1596"/>
    <cellStyle name="Normal 209 3 2 2" xfId="3064"/>
    <cellStyle name="Normal 209 3 2 2 2" xfId="5986"/>
    <cellStyle name="Normal 209 3 2 3" xfId="4521"/>
    <cellStyle name="Normal 209 3 3" xfId="2470"/>
    <cellStyle name="Normal 209 3 3 2" xfId="5392"/>
    <cellStyle name="Normal 209 3 4" xfId="3919"/>
    <cellStyle name="Normal 209 4" xfId="1421"/>
    <cellStyle name="Normal 209 4 2" xfId="2889"/>
    <cellStyle name="Normal 209 4 2 2" xfId="5811"/>
    <cellStyle name="Normal 209 4 3" xfId="4346"/>
    <cellStyle name="Normal 209 5" xfId="2059"/>
    <cellStyle name="Normal 209 5 2" xfId="3503"/>
    <cellStyle name="Normal 209 5 2 2" xfId="6425"/>
    <cellStyle name="Normal 209 5 3" xfId="4981"/>
    <cellStyle name="Normal 209 6" xfId="2295"/>
    <cellStyle name="Normal 209 6 2" xfId="5217"/>
    <cellStyle name="Normal 209 7" xfId="3744"/>
    <cellStyle name="Normal 209 8" xfId="6644"/>
    <cellStyle name="Normal 21" xfId="180"/>
    <cellStyle name="Normal 21 2" xfId="1091"/>
    <cellStyle name="Normal 210" xfId="500"/>
    <cellStyle name="Normal 210 2" xfId="1092"/>
    <cellStyle name="Normal 210 2 2" xfId="1775"/>
    <cellStyle name="Normal 210 2 2 2" xfId="3223"/>
    <cellStyle name="Normal 210 2 2 2 2" xfId="6145"/>
    <cellStyle name="Normal 210 2 2 3" xfId="4700"/>
    <cellStyle name="Normal 210 2 3" xfId="2629"/>
    <cellStyle name="Normal 210 2 3 2" xfId="5551"/>
    <cellStyle name="Normal 210 2 4" xfId="4078"/>
    <cellStyle name="Normal 210 3" xfId="678"/>
    <cellStyle name="Normal 210 3 2" xfId="1582"/>
    <cellStyle name="Normal 210 3 2 2" xfId="3050"/>
    <cellStyle name="Normal 210 3 2 2 2" xfId="5972"/>
    <cellStyle name="Normal 210 3 2 3" xfId="4507"/>
    <cellStyle name="Normal 210 3 3" xfId="2456"/>
    <cellStyle name="Normal 210 3 3 2" xfId="5378"/>
    <cellStyle name="Normal 210 3 4" xfId="3905"/>
    <cellStyle name="Normal 210 4" xfId="1407"/>
    <cellStyle name="Normal 210 4 2" xfId="2875"/>
    <cellStyle name="Normal 210 4 2 2" xfId="5797"/>
    <cellStyle name="Normal 210 4 3" xfId="4332"/>
    <cellStyle name="Normal 210 5" xfId="2060"/>
    <cellStyle name="Normal 210 5 2" xfId="3504"/>
    <cellStyle name="Normal 210 5 2 2" xfId="6426"/>
    <cellStyle name="Normal 210 5 3" xfId="4982"/>
    <cellStyle name="Normal 210 6" xfId="2281"/>
    <cellStyle name="Normal 210 6 2" xfId="5203"/>
    <cellStyle name="Normal 210 7" xfId="3730"/>
    <cellStyle name="Normal 210 8" xfId="6645"/>
    <cellStyle name="Normal 211" xfId="491"/>
    <cellStyle name="Normal 211 2" xfId="1093"/>
    <cellStyle name="Normal 211 2 2" xfId="1776"/>
    <cellStyle name="Normal 211 2 2 2" xfId="3224"/>
    <cellStyle name="Normal 211 2 2 2 2" xfId="6146"/>
    <cellStyle name="Normal 211 2 2 3" xfId="4701"/>
    <cellStyle name="Normal 211 2 3" xfId="2630"/>
    <cellStyle name="Normal 211 2 3 2" xfId="5552"/>
    <cellStyle name="Normal 211 2 4" xfId="4079"/>
    <cellStyle name="Normal 211 3" xfId="669"/>
    <cellStyle name="Normal 211 3 2" xfId="1573"/>
    <cellStyle name="Normal 211 3 2 2" xfId="3041"/>
    <cellStyle name="Normal 211 3 2 2 2" xfId="5963"/>
    <cellStyle name="Normal 211 3 2 3" xfId="4498"/>
    <cellStyle name="Normal 211 3 3" xfId="2447"/>
    <cellStyle name="Normal 211 3 3 2" xfId="5369"/>
    <cellStyle name="Normal 211 3 4" xfId="3896"/>
    <cellStyle name="Normal 211 4" xfId="1398"/>
    <cellStyle name="Normal 211 4 2" xfId="2866"/>
    <cellStyle name="Normal 211 4 2 2" xfId="5788"/>
    <cellStyle name="Normal 211 4 3" xfId="4323"/>
    <cellStyle name="Normal 211 5" xfId="2061"/>
    <cellStyle name="Normal 211 5 2" xfId="3505"/>
    <cellStyle name="Normal 211 5 2 2" xfId="6427"/>
    <cellStyle name="Normal 211 5 3" xfId="4983"/>
    <cellStyle name="Normal 211 6" xfId="2272"/>
    <cellStyle name="Normal 211 6 2" xfId="5194"/>
    <cellStyle name="Normal 211 7" xfId="3721"/>
    <cellStyle name="Normal 211 8" xfId="6646"/>
    <cellStyle name="Normal 212" xfId="518"/>
    <cellStyle name="Normal 212 2" xfId="1094"/>
    <cellStyle name="Normal 212 2 2" xfId="1777"/>
    <cellStyle name="Normal 212 2 2 2" xfId="3225"/>
    <cellStyle name="Normal 212 2 2 2 2" xfId="6147"/>
    <cellStyle name="Normal 212 2 2 3" xfId="4702"/>
    <cellStyle name="Normal 212 2 3" xfId="2631"/>
    <cellStyle name="Normal 212 2 3 2" xfId="5553"/>
    <cellStyle name="Normal 212 2 4" xfId="4080"/>
    <cellStyle name="Normal 212 3" xfId="696"/>
    <cellStyle name="Normal 212 3 2" xfId="1600"/>
    <cellStyle name="Normal 212 3 2 2" xfId="3068"/>
    <cellStyle name="Normal 212 3 2 2 2" xfId="5990"/>
    <cellStyle name="Normal 212 3 2 3" xfId="4525"/>
    <cellStyle name="Normal 212 3 3" xfId="2474"/>
    <cellStyle name="Normal 212 3 3 2" xfId="5396"/>
    <cellStyle name="Normal 212 3 4" xfId="3923"/>
    <cellStyle name="Normal 212 4" xfId="1425"/>
    <cellStyle name="Normal 212 4 2" xfId="2893"/>
    <cellStyle name="Normal 212 4 2 2" xfId="5815"/>
    <cellStyle name="Normal 212 4 3" xfId="4350"/>
    <cellStyle name="Normal 212 5" xfId="2062"/>
    <cellStyle name="Normal 212 5 2" xfId="3506"/>
    <cellStyle name="Normal 212 5 2 2" xfId="6428"/>
    <cellStyle name="Normal 212 5 3" xfId="4984"/>
    <cellStyle name="Normal 212 6" xfId="2299"/>
    <cellStyle name="Normal 212 6 2" xfId="5221"/>
    <cellStyle name="Normal 212 7" xfId="3748"/>
    <cellStyle name="Normal 212 8" xfId="6647"/>
    <cellStyle name="Normal 213" xfId="519"/>
    <cellStyle name="Normal 213 2" xfId="1095"/>
    <cellStyle name="Normal 213 2 2" xfId="1778"/>
    <cellStyle name="Normal 213 2 2 2" xfId="3226"/>
    <cellStyle name="Normal 213 2 2 2 2" xfId="6148"/>
    <cellStyle name="Normal 213 2 2 3" xfId="4703"/>
    <cellStyle name="Normal 213 2 3" xfId="2632"/>
    <cellStyle name="Normal 213 2 3 2" xfId="5554"/>
    <cellStyle name="Normal 213 2 4" xfId="4081"/>
    <cellStyle name="Normal 213 3" xfId="697"/>
    <cellStyle name="Normal 213 3 2" xfId="1601"/>
    <cellStyle name="Normal 213 3 2 2" xfId="3069"/>
    <cellStyle name="Normal 213 3 2 2 2" xfId="5991"/>
    <cellStyle name="Normal 213 3 2 3" xfId="4526"/>
    <cellStyle name="Normal 213 3 3" xfId="2475"/>
    <cellStyle name="Normal 213 3 3 2" xfId="5397"/>
    <cellStyle name="Normal 213 3 4" xfId="3924"/>
    <cellStyle name="Normal 213 4" xfId="1426"/>
    <cellStyle name="Normal 213 4 2" xfId="2894"/>
    <cellStyle name="Normal 213 4 2 2" xfId="5816"/>
    <cellStyle name="Normal 213 4 3" xfId="4351"/>
    <cellStyle name="Normal 213 5" xfId="2063"/>
    <cellStyle name="Normal 213 5 2" xfId="3507"/>
    <cellStyle name="Normal 213 5 2 2" xfId="6429"/>
    <cellStyle name="Normal 213 5 3" xfId="4985"/>
    <cellStyle name="Normal 213 6" xfId="2300"/>
    <cellStyle name="Normal 213 6 2" xfId="5222"/>
    <cellStyle name="Normal 213 7" xfId="3749"/>
    <cellStyle name="Normal 213 8" xfId="6648"/>
    <cellStyle name="Normal 214" xfId="517"/>
    <cellStyle name="Normal 214 2" xfId="1096"/>
    <cellStyle name="Normal 214 2 2" xfId="1779"/>
    <cellStyle name="Normal 214 2 2 2" xfId="3227"/>
    <cellStyle name="Normal 214 2 2 2 2" xfId="6149"/>
    <cellStyle name="Normal 214 2 2 3" xfId="4704"/>
    <cellStyle name="Normal 214 2 3" xfId="2633"/>
    <cellStyle name="Normal 214 2 3 2" xfId="5555"/>
    <cellStyle name="Normal 214 2 4" xfId="4082"/>
    <cellStyle name="Normal 214 3" xfId="695"/>
    <cellStyle name="Normal 214 3 2" xfId="1599"/>
    <cellStyle name="Normal 214 3 2 2" xfId="3067"/>
    <cellStyle name="Normal 214 3 2 2 2" xfId="5989"/>
    <cellStyle name="Normal 214 3 2 3" xfId="4524"/>
    <cellStyle name="Normal 214 3 3" xfId="2473"/>
    <cellStyle name="Normal 214 3 3 2" xfId="5395"/>
    <cellStyle name="Normal 214 3 4" xfId="3922"/>
    <cellStyle name="Normal 214 4" xfId="1424"/>
    <cellStyle name="Normal 214 4 2" xfId="2892"/>
    <cellStyle name="Normal 214 4 2 2" xfId="5814"/>
    <cellStyle name="Normal 214 4 3" xfId="4349"/>
    <cellStyle name="Normal 214 5" xfId="2064"/>
    <cellStyle name="Normal 214 5 2" xfId="3508"/>
    <cellStyle name="Normal 214 5 2 2" xfId="6430"/>
    <cellStyle name="Normal 214 5 3" xfId="4986"/>
    <cellStyle name="Normal 214 6" xfId="2298"/>
    <cellStyle name="Normal 214 6 2" xfId="5220"/>
    <cellStyle name="Normal 214 7" xfId="3747"/>
    <cellStyle name="Normal 214 8" xfId="6649"/>
    <cellStyle name="Normal 215" xfId="520"/>
    <cellStyle name="Normal 215 2" xfId="1097"/>
    <cellStyle name="Normal 215 2 2" xfId="1780"/>
    <cellStyle name="Normal 215 2 2 2" xfId="3228"/>
    <cellStyle name="Normal 215 2 2 2 2" xfId="6150"/>
    <cellStyle name="Normal 215 2 2 3" xfId="4705"/>
    <cellStyle name="Normal 215 2 3" xfId="2634"/>
    <cellStyle name="Normal 215 2 3 2" xfId="5556"/>
    <cellStyle name="Normal 215 2 4" xfId="4083"/>
    <cellStyle name="Normal 215 3" xfId="698"/>
    <cellStyle name="Normal 215 3 2" xfId="1602"/>
    <cellStyle name="Normal 215 3 2 2" xfId="3070"/>
    <cellStyle name="Normal 215 3 2 2 2" xfId="5992"/>
    <cellStyle name="Normal 215 3 2 3" xfId="4527"/>
    <cellStyle name="Normal 215 3 3" xfId="2476"/>
    <cellStyle name="Normal 215 3 3 2" xfId="5398"/>
    <cellStyle name="Normal 215 3 4" xfId="3925"/>
    <cellStyle name="Normal 215 4" xfId="1427"/>
    <cellStyle name="Normal 215 4 2" xfId="2895"/>
    <cellStyle name="Normal 215 4 2 2" xfId="5817"/>
    <cellStyle name="Normal 215 4 3" xfId="4352"/>
    <cellStyle name="Normal 215 5" xfId="2065"/>
    <cellStyle name="Normal 215 5 2" xfId="3509"/>
    <cellStyle name="Normal 215 5 2 2" xfId="6431"/>
    <cellStyle name="Normal 215 5 3" xfId="4987"/>
    <cellStyle name="Normal 215 6" xfId="2301"/>
    <cellStyle name="Normal 215 6 2" xfId="5223"/>
    <cellStyle name="Normal 215 7" xfId="3750"/>
    <cellStyle name="Normal 215 8" xfId="6650"/>
    <cellStyle name="Normal 216" xfId="495"/>
    <cellStyle name="Normal 216 2" xfId="1098"/>
    <cellStyle name="Normal 216 2 2" xfId="1781"/>
    <cellStyle name="Normal 216 2 2 2" xfId="3229"/>
    <cellStyle name="Normal 216 2 2 2 2" xfId="6151"/>
    <cellStyle name="Normal 216 2 2 3" xfId="4706"/>
    <cellStyle name="Normal 216 2 3" xfId="2635"/>
    <cellStyle name="Normal 216 2 3 2" xfId="5557"/>
    <cellStyle name="Normal 216 2 4" xfId="4084"/>
    <cellStyle name="Normal 216 3" xfId="673"/>
    <cellStyle name="Normal 216 3 2" xfId="1577"/>
    <cellStyle name="Normal 216 3 2 2" xfId="3045"/>
    <cellStyle name="Normal 216 3 2 2 2" xfId="5967"/>
    <cellStyle name="Normal 216 3 2 3" xfId="4502"/>
    <cellStyle name="Normal 216 3 3" xfId="2451"/>
    <cellStyle name="Normal 216 3 3 2" xfId="5373"/>
    <cellStyle name="Normal 216 3 4" xfId="3900"/>
    <cellStyle name="Normal 216 4" xfId="1402"/>
    <cellStyle name="Normal 216 4 2" xfId="2870"/>
    <cellStyle name="Normal 216 4 2 2" xfId="5792"/>
    <cellStyle name="Normal 216 4 3" xfId="4327"/>
    <cellStyle name="Normal 216 5" xfId="2066"/>
    <cellStyle name="Normal 216 5 2" xfId="3510"/>
    <cellStyle name="Normal 216 5 2 2" xfId="6432"/>
    <cellStyle name="Normal 216 5 3" xfId="4988"/>
    <cellStyle name="Normal 216 6" xfId="2276"/>
    <cellStyle name="Normal 216 6 2" xfId="5198"/>
    <cellStyle name="Normal 216 7" xfId="3725"/>
    <cellStyle name="Normal 216 8" xfId="6651"/>
    <cellStyle name="Normal 217" xfId="496"/>
    <cellStyle name="Normal 217 2" xfId="1099"/>
    <cellStyle name="Normal 217 2 2" xfId="1782"/>
    <cellStyle name="Normal 217 2 2 2" xfId="3230"/>
    <cellStyle name="Normal 217 2 2 2 2" xfId="6152"/>
    <cellStyle name="Normal 217 2 2 3" xfId="4707"/>
    <cellStyle name="Normal 217 2 3" xfId="2636"/>
    <cellStyle name="Normal 217 2 3 2" xfId="5558"/>
    <cellStyle name="Normal 217 2 4" xfId="4085"/>
    <cellStyle name="Normal 217 3" xfId="674"/>
    <cellStyle name="Normal 217 3 2" xfId="1578"/>
    <cellStyle name="Normal 217 3 2 2" xfId="3046"/>
    <cellStyle name="Normal 217 3 2 2 2" xfId="5968"/>
    <cellStyle name="Normal 217 3 2 3" xfId="4503"/>
    <cellStyle name="Normal 217 3 3" xfId="2452"/>
    <cellStyle name="Normal 217 3 3 2" xfId="5374"/>
    <cellStyle name="Normal 217 3 4" xfId="3901"/>
    <cellStyle name="Normal 217 4" xfId="1403"/>
    <cellStyle name="Normal 217 4 2" xfId="2871"/>
    <cellStyle name="Normal 217 4 2 2" xfId="5793"/>
    <cellStyle name="Normal 217 4 3" xfId="4328"/>
    <cellStyle name="Normal 217 5" xfId="2067"/>
    <cellStyle name="Normal 217 5 2" xfId="3511"/>
    <cellStyle name="Normal 217 5 2 2" xfId="6433"/>
    <cellStyle name="Normal 217 5 3" xfId="4989"/>
    <cellStyle name="Normal 217 6" xfId="2277"/>
    <cellStyle name="Normal 217 6 2" xfId="5199"/>
    <cellStyle name="Normal 217 7" xfId="3726"/>
    <cellStyle name="Normal 217 8" xfId="6652"/>
    <cellStyle name="Normal 218" xfId="508"/>
    <cellStyle name="Normal 218 2" xfId="1100"/>
    <cellStyle name="Normal 218 2 2" xfId="1783"/>
    <cellStyle name="Normal 218 2 2 2" xfId="3231"/>
    <cellStyle name="Normal 218 2 2 2 2" xfId="6153"/>
    <cellStyle name="Normal 218 2 2 3" xfId="4708"/>
    <cellStyle name="Normal 218 2 3" xfId="2637"/>
    <cellStyle name="Normal 218 2 3 2" xfId="5559"/>
    <cellStyle name="Normal 218 2 4" xfId="4086"/>
    <cellStyle name="Normal 218 3" xfId="686"/>
    <cellStyle name="Normal 218 3 2" xfId="1590"/>
    <cellStyle name="Normal 218 3 2 2" xfId="3058"/>
    <cellStyle name="Normal 218 3 2 2 2" xfId="5980"/>
    <cellStyle name="Normal 218 3 2 3" xfId="4515"/>
    <cellStyle name="Normal 218 3 3" xfId="2464"/>
    <cellStyle name="Normal 218 3 3 2" xfId="5386"/>
    <cellStyle name="Normal 218 3 4" xfId="3913"/>
    <cellStyle name="Normal 218 4" xfId="1415"/>
    <cellStyle name="Normal 218 4 2" xfId="2883"/>
    <cellStyle name="Normal 218 4 2 2" xfId="5805"/>
    <cellStyle name="Normal 218 4 3" xfId="4340"/>
    <cellStyle name="Normal 218 5" xfId="2068"/>
    <cellStyle name="Normal 218 5 2" xfId="3512"/>
    <cellStyle name="Normal 218 5 2 2" xfId="6434"/>
    <cellStyle name="Normal 218 5 3" xfId="4990"/>
    <cellStyle name="Normal 218 6" xfId="2289"/>
    <cellStyle name="Normal 218 6 2" xfId="5211"/>
    <cellStyle name="Normal 218 7" xfId="3738"/>
    <cellStyle name="Normal 218 8" xfId="6653"/>
    <cellStyle name="Normal 219" xfId="493"/>
    <cellStyle name="Normal 219 2" xfId="1101"/>
    <cellStyle name="Normal 219 2 2" xfId="1784"/>
    <cellStyle name="Normal 219 2 2 2" xfId="3232"/>
    <cellStyle name="Normal 219 2 2 2 2" xfId="6154"/>
    <cellStyle name="Normal 219 2 2 3" xfId="4709"/>
    <cellStyle name="Normal 219 2 3" xfId="2638"/>
    <cellStyle name="Normal 219 2 3 2" xfId="5560"/>
    <cellStyle name="Normal 219 2 4" xfId="4087"/>
    <cellStyle name="Normal 219 3" xfId="671"/>
    <cellStyle name="Normal 219 3 2" xfId="1575"/>
    <cellStyle name="Normal 219 3 2 2" xfId="3043"/>
    <cellStyle name="Normal 219 3 2 2 2" xfId="5965"/>
    <cellStyle name="Normal 219 3 2 3" xfId="4500"/>
    <cellStyle name="Normal 219 3 3" xfId="2449"/>
    <cellStyle name="Normal 219 3 3 2" xfId="5371"/>
    <cellStyle name="Normal 219 3 4" xfId="3898"/>
    <cellStyle name="Normal 219 4" xfId="1400"/>
    <cellStyle name="Normal 219 4 2" xfId="2868"/>
    <cellStyle name="Normal 219 4 2 2" xfId="5790"/>
    <cellStyle name="Normal 219 4 3" xfId="4325"/>
    <cellStyle name="Normal 219 5" xfId="2069"/>
    <cellStyle name="Normal 219 5 2" xfId="3513"/>
    <cellStyle name="Normal 219 5 2 2" xfId="6435"/>
    <cellStyle name="Normal 219 5 3" xfId="4991"/>
    <cellStyle name="Normal 219 6" xfId="2274"/>
    <cellStyle name="Normal 219 6 2" xfId="5196"/>
    <cellStyle name="Normal 219 7" xfId="3723"/>
    <cellStyle name="Normal 219 8" xfId="6654"/>
    <cellStyle name="Normal 22" xfId="181"/>
    <cellStyle name="Normal 22 2" xfId="1102"/>
    <cellStyle name="Normal 220" xfId="1103"/>
    <cellStyle name="Normal 220 2" xfId="1785"/>
    <cellStyle name="Normal 220 2 2" xfId="3233"/>
    <cellStyle name="Normal 220 2 2 2" xfId="6155"/>
    <cellStyle name="Normal 220 2 3" xfId="4710"/>
    <cellStyle name="Normal 220 3" xfId="2070"/>
    <cellStyle name="Normal 220 3 2" xfId="3514"/>
    <cellStyle name="Normal 220 3 2 2" xfId="6436"/>
    <cellStyle name="Normal 220 3 3" xfId="4992"/>
    <cellStyle name="Normal 220 4" xfId="2639"/>
    <cellStyle name="Normal 220 4 2" xfId="5561"/>
    <cellStyle name="Normal 220 5" xfId="4088"/>
    <cellStyle name="Normal 220 6" xfId="6655"/>
    <cellStyle name="Normal 221" xfId="1104"/>
    <cellStyle name="Normal 221 2" xfId="1786"/>
    <cellStyle name="Normal 221 2 2" xfId="3234"/>
    <cellStyle name="Normal 221 2 2 2" xfId="6156"/>
    <cellStyle name="Normal 221 2 3" xfId="4711"/>
    <cellStyle name="Normal 221 3" xfId="2071"/>
    <cellStyle name="Normal 221 3 2" xfId="3515"/>
    <cellStyle name="Normal 221 3 2 2" xfId="6437"/>
    <cellStyle name="Normal 221 3 3" xfId="4993"/>
    <cellStyle name="Normal 221 4" xfId="2640"/>
    <cellStyle name="Normal 221 4 2" xfId="5562"/>
    <cellStyle name="Normal 221 5" xfId="4089"/>
    <cellStyle name="Normal 221 6" xfId="6656"/>
    <cellStyle name="Normal 222" xfId="1105"/>
    <cellStyle name="Normal 222 2" xfId="1787"/>
    <cellStyle name="Normal 222 2 2" xfId="3235"/>
    <cellStyle name="Normal 222 2 2 2" xfId="6157"/>
    <cellStyle name="Normal 222 2 3" xfId="4712"/>
    <cellStyle name="Normal 222 3" xfId="2072"/>
    <cellStyle name="Normal 222 3 2" xfId="3516"/>
    <cellStyle name="Normal 222 3 2 2" xfId="6438"/>
    <cellStyle name="Normal 222 3 3" xfId="4994"/>
    <cellStyle name="Normal 222 4" xfId="2641"/>
    <cellStyle name="Normal 222 4 2" xfId="5563"/>
    <cellStyle name="Normal 222 5" xfId="4090"/>
    <cellStyle name="Normal 222 6" xfId="6657"/>
    <cellStyle name="Normal 223" xfId="1106"/>
    <cellStyle name="Normal 223 2" xfId="1788"/>
    <cellStyle name="Normal 223 2 2" xfId="3236"/>
    <cellStyle name="Normal 223 2 2 2" xfId="6158"/>
    <cellStyle name="Normal 223 2 3" xfId="4713"/>
    <cellStyle name="Normal 223 3" xfId="2073"/>
    <cellStyle name="Normal 223 3 2" xfId="3517"/>
    <cellStyle name="Normal 223 3 2 2" xfId="6439"/>
    <cellStyle name="Normal 223 3 3" xfId="4995"/>
    <cellStyle name="Normal 223 4" xfId="2642"/>
    <cellStyle name="Normal 223 4 2" xfId="5564"/>
    <cellStyle name="Normal 223 5" xfId="4091"/>
    <cellStyle name="Normal 223 6" xfId="6658"/>
    <cellStyle name="Normal 224" xfId="1107"/>
    <cellStyle name="Normal 224 2" xfId="1789"/>
    <cellStyle name="Normal 224 2 2" xfId="3237"/>
    <cellStyle name="Normal 224 2 2 2" xfId="6159"/>
    <cellStyle name="Normal 224 2 3" xfId="4714"/>
    <cellStyle name="Normal 224 3" xfId="2074"/>
    <cellStyle name="Normal 224 3 2" xfId="3518"/>
    <cellStyle name="Normal 224 3 2 2" xfId="6440"/>
    <cellStyle name="Normal 224 3 3" xfId="4996"/>
    <cellStyle name="Normal 224 4" xfId="2643"/>
    <cellStyle name="Normal 224 4 2" xfId="5565"/>
    <cellStyle name="Normal 224 5" xfId="4092"/>
    <cellStyle name="Normal 224 6" xfId="6659"/>
    <cellStyle name="Normal 225" xfId="1108"/>
    <cellStyle name="Normal 225 2" xfId="1790"/>
    <cellStyle name="Normal 225 2 2" xfId="3238"/>
    <cellStyle name="Normal 225 2 2 2" xfId="6160"/>
    <cellStyle name="Normal 225 2 3" xfId="4715"/>
    <cellStyle name="Normal 225 3" xfId="2075"/>
    <cellStyle name="Normal 225 3 2" xfId="3519"/>
    <cellStyle name="Normal 225 3 2 2" xfId="6441"/>
    <cellStyle name="Normal 225 3 3" xfId="4997"/>
    <cellStyle name="Normal 225 4" xfId="2644"/>
    <cellStyle name="Normal 225 4 2" xfId="5566"/>
    <cellStyle name="Normal 225 5" xfId="4093"/>
    <cellStyle name="Normal 225 6" xfId="6660"/>
    <cellStyle name="Normal 226" xfId="1109"/>
    <cellStyle name="Normal 226 2" xfId="1791"/>
    <cellStyle name="Normal 226 2 2" xfId="3239"/>
    <cellStyle name="Normal 226 2 2 2" xfId="6161"/>
    <cellStyle name="Normal 226 2 3" xfId="4716"/>
    <cellStyle name="Normal 226 3" xfId="2076"/>
    <cellStyle name="Normal 226 3 2" xfId="3520"/>
    <cellStyle name="Normal 226 3 2 2" xfId="6442"/>
    <cellStyle name="Normal 226 3 3" xfId="4998"/>
    <cellStyle name="Normal 226 4" xfId="2645"/>
    <cellStyle name="Normal 226 4 2" xfId="5567"/>
    <cellStyle name="Normal 226 5" xfId="4094"/>
    <cellStyle name="Normal 226 6" xfId="6661"/>
    <cellStyle name="Normal 227" xfId="1110"/>
    <cellStyle name="Normal 227 2" xfId="1792"/>
    <cellStyle name="Normal 227 2 2" xfId="3240"/>
    <cellStyle name="Normal 227 2 2 2" xfId="6162"/>
    <cellStyle name="Normal 227 2 3" xfId="4717"/>
    <cellStyle name="Normal 227 3" xfId="2077"/>
    <cellStyle name="Normal 227 3 2" xfId="3521"/>
    <cellStyle name="Normal 227 3 2 2" xfId="6443"/>
    <cellStyle name="Normal 227 3 3" xfId="4999"/>
    <cellStyle name="Normal 227 4" xfId="2646"/>
    <cellStyle name="Normal 227 4 2" xfId="5568"/>
    <cellStyle name="Normal 227 5" xfId="4095"/>
    <cellStyle name="Normal 227 6" xfId="6662"/>
    <cellStyle name="Normal 228" xfId="1111"/>
    <cellStyle name="Normal 228 2" xfId="1793"/>
    <cellStyle name="Normal 228 2 2" xfId="3241"/>
    <cellStyle name="Normal 228 2 2 2" xfId="6163"/>
    <cellStyle name="Normal 228 2 3" xfId="4718"/>
    <cellStyle name="Normal 228 3" xfId="2078"/>
    <cellStyle name="Normal 228 3 2" xfId="3522"/>
    <cellStyle name="Normal 228 3 2 2" xfId="6444"/>
    <cellStyle name="Normal 228 3 3" xfId="5000"/>
    <cellStyle name="Normal 228 4" xfId="2647"/>
    <cellStyle name="Normal 228 4 2" xfId="5569"/>
    <cellStyle name="Normal 228 5" xfId="4096"/>
    <cellStyle name="Normal 228 6" xfId="6663"/>
    <cellStyle name="Normal 229" xfId="1112"/>
    <cellStyle name="Normal 229 2" xfId="1794"/>
    <cellStyle name="Normal 229 2 2" xfId="3242"/>
    <cellStyle name="Normal 229 2 2 2" xfId="6164"/>
    <cellStyle name="Normal 229 2 3" xfId="4719"/>
    <cellStyle name="Normal 229 3" xfId="2079"/>
    <cellStyle name="Normal 229 3 2" xfId="3523"/>
    <cellStyle name="Normal 229 3 2 2" xfId="6445"/>
    <cellStyle name="Normal 229 3 3" xfId="5001"/>
    <cellStyle name="Normal 229 4" xfId="2648"/>
    <cellStyle name="Normal 229 4 2" xfId="5570"/>
    <cellStyle name="Normal 229 5" xfId="4097"/>
    <cellStyle name="Normal 229 6" xfId="6664"/>
    <cellStyle name="Normal 23" xfId="182"/>
    <cellStyle name="Normal 23 2" xfId="1113"/>
    <cellStyle name="Normal 230" xfId="1114"/>
    <cellStyle name="Normal 230 2" xfId="1795"/>
    <cellStyle name="Normal 230 2 2" xfId="3243"/>
    <cellStyle name="Normal 230 2 2 2" xfId="6165"/>
    <cellStyle name="Normal 230 2 3" xfId="4720"/>
    <cellStyle name="Normal 230 3" xfId="2080"/>
    <cellStyle name="Normal 230 3 2" xfId="3524"/>
    <cellStyle name="Normal 230 3 2 2" xfId="6446"/>
    <cellStyle name="Normal 230 3 3" xfId="5002"/>
    <cellStyle name="Normal 230 4" xfId="2649"/>
    <cellStyle name="Normal 230 4 2" xfId="5571"/>
    <cellStyle name="Normal 230 5" xfId="4098"/>
    <cellStyle name="Normal 230 6" xfId="6665"/>
    <cellStyle name="Normal 231" xfId="1115"/>
    <cellStyle name="Normal 231 2" xfId="1796"/>
    <cellStyle name="Normal 231 2 2" xfId="3244"/>
    <cellStyle name="Normal 231 2 2 2" xfId="6166"/>
    <cellStyle name="Normal 231 2 3" xfId="4721"/>
    <cellStyle name="Normal 231 3" xfId="2081"/>
    <cellStyle name="Normal 231 3 2" xfId="3525"/>
    <cellStyle name="Normal 231 3 2 2" xfId="6447"/>
    <cellStyle name="Normal 231 3 3" xfId="5003"/>
    <cellStyle name="Normal 231 4" xfId="2650"/>
    <cellStyle name="Normal 231 4 2" xfId="5572"/>
    <cellStyle name="Normal 231 5" xfId="4099"/>
    <cellStyle name="Normal 231 6" xfId="6666"/>
    <cellStyle name="Normal 232" xfId="1116"/>
    <cellStyle name="Normal 232 2" xfId="1797"/>
    <cellStyle name="Normal 232 2 2" xfId="3245"/>
    <cellStyle name="Normal 232 2 2 2" xfId="6167"/>
    <cellStyle name="Normal 232 2 3" xfId="4722"/>
    <cellStyle name="Normal 232 3" xfId="2082"/>
    <cellStyle name="Normal 232 3 2" xfId="3526"/>
    <cellStyle name="Normal 232 3 2 2" xfId="6448"/>
    <cellStyle name="Normal 232 3 3" xfId="5004"/>
    <cellStyle name="Normal 232 4" xfId="2651"/>
    <cellStyle name="Normal 232 4 2" xfId="5573"/>
    <cellStyle name="Normal 232 5" xfId="4100"/>
    <cellStyle name="Normal 232 6" xfId="6667"/>
    <cellStyle name="Normal 233" xfId="1117"/>
    <cellStyle name="Normal 233 2" xfId="1798"/>
    <cellStyle name="Normal 233 2 2" xfId="3246"/>
    <cellStyle name="Normal 233 2 2 2" xfId="6168"/>
    <cellStyle name="Normal 233 2 3" xfId="4723"/>
    <cellStyle name="Normal 233 3" xfId="2083"/>
    <cellStyle name="Normal 233 3 2" xfId="3527"/>
    <cellStyle name="Normal 233 3 2 2" xfId="6449"/>
    <cellStyle name="Normal 233 3 3" xfId="5005"/>
    <cellStyle name="Normal 233 4" xfId="2652"/>
    <cellStyle name="Normal 233 4 2" xfId="5574"/>
    <cellStyle name="Normal 233 5" xfId="4101"/>
    <cellStyle name="Normal 233 6" xfId="6668"/>
    <cellStyle name="Normal 234" xfId="1118"/>
    <cellStyle name="Normal 234 2" xfId="1799"/>
    <cellStyle name="Normal 234 2 2" xfId="3247"/>
    <cellStyle name="Normal 234 2 2 2" xfId="6169"/>
    <cellStyle name="Normal 234 2 3" xfId="4724"/>
    <cellStyle name="Normal 234 3" xfId="2084"/>
    <cellStyle name="Normal 234 3 2" xfId="3528"/>
    <cellStyle name="Normal 234 3 2 2" xfId="6450"/>
    <cellStyle name="Normal 234 3 3" xfId="5006"/>
    <cellStyle name="Normal 234 4" xfId="2653"/>
    <cellStyle name="Normal 234 4 2" xfId="5575"/>
    <cellStyle name="Normal 234 5" xfId="4102"/>
    <cellStyle name="Normal 234 6" xfId="6669"/>
    <cellStyle name="Normal 235" xfId="1223"/>
    <cellStyle name="Normal 235 2" xfId="1841"/>
    <cellStyle name="Normal 235 2 2" xfId="3289"/>
    <cellStyle name="Normal 235 2 2 2" xfId="6211"/>
    <cellStyle name="Normal 235 2 3" xfId="4766"/>
    <cellStyle name="Normal 235 3" xfId="2695"/>
    <cellStyle name="Normal 235 3 2" xfId="5617"/>
    <cellStyle name="Normal 235 4" xfId="4148"/>
    <cellStyle name="Normal 236" xfId="1224"/>
    <cellStyle name="Normal 236 2" xfId="1842"/>
    <cellStyle name="Normal 236 2 2" xfId="3290"/>
    <cellStyle name="Normal 236 2 2 2" xfId="6212"/>
    <cellStyle name="Normal 236 2 3" xfId="4767"/>
    <cellStyle name="Normal 236 3" xfId="2696"/>
    <cellStyle name="Normal 236 3 2" xfId="5618"/>
    <cellStyle name="Normal 236 4" xfId="4149"/>
    <cellStyle name="Normal 237" xfId="1227"/>
    <cellStyle name="Normal 237 2" xfId="1845"/>
    <cellStyle name="Normal 237 2 2" xfId="3293"/>
    <cellStyle name="Normal 237 2 2 2" xfId="6215"/>
    <cellStyle name="Normal 237 2 3" xfId="4770"/>
    <cellStyle name="Normal 237 3" xfId="2699"/>
    <cellStyle name="Normal 237 3 2" xfId="5621"/>
    <cellStyle name="Normal 237 4" xfId="4152"/>
    <cellStyle name="Normal 238" xfId="1230"/>
    <cellStyle name="Normal 238 2" xfId="1848"/>
    <cellStyle name="Normal 238 2 2" xfId="3296"/>
    <cellStyle name="Normal 238 2 2 2" xfId="6218"/>
    <cellStyle name="Normal 238 2 3" xfId="4773"/>
    <cellStyle name="Normal 238 3" xfId="2702"/>
    <cellStyle name="Normal 238 3 2" xfId="5624"/>
    <cellStyle name="Normal 238 4" xfId="4155"/>
    <cellStyle name="Normal 239" xfId="1234"/>
    <cellStyle name="Normal 239 2" xfId="1852"/>
    <cellStyle name="Normal 239 2 2" xfId="3300"/>
    <cellStyle name="Normal 239 2 2 2" xfId="6222"/>
    <cellStyle name="Normal 239 2 3" xfId="4777"/>
    <cellStyle name="Normal 239 3" xfId="2706"/>
    <cellStyle name="Normal 239 3 2" xfId="5628"/>
    <cellStyle name="Normal 239 4" xfId="4159"/>
    <cellStyle name="Normal 24" xfId="183"/>
    <cellStyle name="Normal 24 2" xfId="1119"/>
    <cellStyle name="Normal 240" xfId="1235"/>
    <cellStyle name="Normal 240 2" xfId="1853"/>
    <cellStyle name="Normal 240 2 2" xfId="3301"/>
    <cellStyle name="Normal 240 2 2 2" xfId="6223"/>
    <cellStyle name="Normal 240 2 3" xfId="4778"/>
    <cellStyle name="Normal 240 3" xfId="2707"/>
    <cellStyle name="Normal 240 3 2" xfId="5629"/>
    <cellStyle name="Normal 240 4" xfId="4160"/>
    <cellStyle name="Normal 241" xfId="1867"/>
    <cellStyle name="Normal 241 2" xfId="3315"/>
    <cellStyle name="Normal 241 2 2" xfId="6237"/>
    <cellStyle name="Normal 241 3" xfId="4792"/>
    <cellStyle name="Normal 242" xfId="1870"/>
    <cellStyle name="Normal 242 2" xfId="3318"/>
    <cellStyle name="Normal 242 2 2" xfId="6240"/>
    <cellStyle name="Normal 242 3" xfId="4795"/>
    <cellStyle name="Normal 243" xfId="1868"/>
    <cellStyle name="Normal 243 2" xfId="3316"/>
    <cellStyle name="Normal 243 2 2" xfId="6238"/>
    <cellStyle name="Normal 243 3" xfId="4793"/>
    <cellStyle name="Normal 244" xfId="1869"/>
    <cellStyle name="Normal 244 2" xfId="3317"/>
    <cellStyle name="Normal 244 2 2" xfId="6239"/>
    <cellStyle name="Normal 244 3" xfId="4794"/>
    <cellStyle name="Normal 245" xfId="1883"/>
    <cellStyle name="Normal 245 2" xfId="3331"/>
    <cellStyle name="Normal 245 2 2" xfId="6253"/>
    <cellStyle name="Normal 245 3" xfId="4808"/>
    <cellStyle name="Normal 246" xfId="1886"/>
    <cellStyle name="Normal 247" xfId="1887"/>
    <cellStyle name="Normal 247 2" xfId="3334"/>
    <cellStyle name="Normal 247 2 2" xfId="6256"/>
    <cellStyle name="Normal 247 3" xfId="4811"/>
    <cellStyle name="Normal 248" xfId="1904"/>
    <cellStyle name="Normal 248 2" xfId="3349"/>
    <cellStyle name="Normal 248 2 2" xfId="6271"/>
    <cellStyle name="Normal 248 3" xfId="4827"/>
    <cellStyle name="Normal 249" xfId="2126"/>
    <cellStyle name="Normal 249 2" xfId="3570"/>
    <cellStyle name="Normal 249 2 2" xfId="6492"/>
    <cellStyle name="Normal 249 3" xfId="5048"/>
    <cellStyle name="Normal 25" xfId="184"/>
    <cellStyle name="Normal 25 2" xfId="1120"/>
    <cellStyle name="Normal 26" xfId="185"/>
    <cellStyle name="Normal 26 2" xfId="1121"/>
    <cellStyle name="Normal 27" xfId="186"/>
    <cellStyle name="Normal 27 2" xfId="1122"/>
    <cellStyle name="Normal 28" xfId="187"/>
    <cellStyle name="Normal 28 2" xfId="1123"/>
    <cellStyle name="Normal 29" xfId="188"/>
    <cellStyle name="Normal 29 2" xfId="1124"/>
    <cellStyle name="Normal 3" xfId="189"/>
    <cellStyle name="Normal 3 2" xfId="190"/>
    <cellStyle name="Normal 3 2 2" xfId="1125"/>
    <cellStyle name="Normal 3 2 2 2" xfId="1126"/>
    <cellStyle name="Normal 3 2 2 2 2" xfId="1801"/>
    <cellStyle name="Normal 3 2 2 2 2 2" xfId="3249"/>
    <cellStyle name="Normal 3 2 2 2 2 2 2" xfId="6171"/>
    <cellStyle name="Normal 3 2 2 2 2 3" xfId="4726"/>
    <cellStyle name="Normal 3 2 2 2 3" xfId="2086"/>
    <cellStyle name="Normal 3 2 2 2 3 2" xfId="3530"/>
    <cellStyle name="Normal 3 2 2 2 3 2 2" xfId="6452"/>
    <cellStyle name="Normal 3 2 2 2 3 3" xfId="5008"/>
    <cellStyle name="Normal 3 2 2 2 4" xfId="2655"/>
    <cellStyle name="Normal 3 2 2 2 4 2" xfId="5577"/>
    <cellStyle name="Normal 3 2 2 2 5" xfId="4104"/>
    <cellStyle name="Normal 3 2 2 2 6" xfId="6671"/>
    <cellStyle name="Normal 3 2 2 3" xfId="1800"/>
    <cellStyle name="Normal 3 2 2 3 2" xfId="3248"/>
    <cellStyle name="Normal 3 2 2 3 2 2" xfId="6170"/>
    <cellStyle name="Normal 3 2 2 3 3" xfId="4725"/>
    <cellStyle name="Normal 3 2 2 4" xfId="2085"/>
    <cellStyle name="Normal 3 2 2 4 2" xfId="3529"/>
    <cellStyle name="Normal 3 2 2 4 2 2" xfId="6451"/>
    <cellStyle name="Normal 3 2 2 4 3" xfId="5007"/>
    <cellStyle name="Normal 3 2 2 5" xfId="2654"/>
    <cellStyle name="Normal 3 2 2 5 2" xfId="5576"/>
    <cellStyle name="Normal 3 2 2 6" xfId="4103"/>
    <cellStyle name="Normal 3 2 2 7" xfId="6670"/>
    <cellStyle name="Normal 3 2 3" xfId="1127"/>
    <cellStyle name="Normal 3 2 3 2" xfId="1802"/>
    <cellStyle name="Normal 3 2 3 2 2" xfId="3250"/>
    <cellStyle name="Normal 3 2 3 2 2 2" xfId="6172"/>
    <cellStyle name="Normal 3 2 3 2 3" xfId="4727"/>
    <cellStyle name="Normal 3 2 3 3" xfId="2087"/>
    <cellStyle name="Normal 3 2 3 3 2" xfId="3531"/>
    <cellStyle name="Normal 3 2 3 3 2 2" xfId="6453"/>
    <cellStyle name="Normal 3 2 3 3 3" xfId="5009"/>
    <cellStyle name="Normal 3 2 3 4" xfId="2656"/>
    <cellStyle name="Normal 3 2 3 4 2" xfId="5578"/>
    <cellStyle name="Normal 3 2 3 5" xfId="4105"/>
    <cellStyle name="Normal 3 2 3 6" xfId="6672"/>
    <cellStyle name="Normal 3 2 4" xfId="1128"/>
    <cellStyle name="Normal 3 2 4 2" xfId="1803"/>
    <cellStyle name="Normal 3 2 4 2 2" xfId="3251"/>
    <cellStyle name="Normal 3 2 4 2 2 2" xfId="6173"/>
    <cellStyle name="Normal 3 2 4 2 3" xfId="4728"/>
    <cellStyle name="Normal 3 2 4 3" xfId="2088"/>
    <cellStyle name="Normal 3 2 4 3 2" xfId="3532"/>
    <cellStyle name="Normal 3 2 4 3 2 2" xfId="6454"/>
    <cellStyle name="Normal 3 2 4 3 3" xfId="5010"/>
    <cellStyle name="Normal 3 2 4 4" xfId="2657"/>
    <cellStyle name="Normal 3 2 4 4 2" xfId="5579"/>
    <cellStyle name="Normal 3 2 4 5" xfId="4106"/>
    <cellStyle name="Normal 3 2 4 6" xfId="6673"/>
    <cellStyle name="Normal 3 3" xfId="191"/>
    <cellStyle name="Normal 3 3 2" xfId="1130"/>
    <cellStyle name="Normal 3 3 3" xfId="1129"/>
    <cellStyle name="Normal 3 3 3 2" xfId="1804"/>
    <cellStyle name="Normal 3 3 3 2 2" xfId="3252"/>
    <cellStyle name="Normal 3 3 3 2 2 2" xfId="6174"/>
    <cellStyle name="Normal 3 3 3 2 3" xfId="4729"/>
    <cellStyle name="Normal 3 3 3 3" xfId="2658"/>
    <cellStyle name="Normal 3 3 3 3 2" xfId="5580"/>
    <cellStyle name="Normal 3 3 3 4" xfId="4107"/>
    <cellStyle name="Normal 3 3 4" xfId="543"/>
    <cellStyle name="Normal 3 3 4 2" xfId="1447"/>
    <cellStyle name="Normal 3 3 4 2 2" xfId="2915"/>
    <cellStyle name="Normal 3 3 4 2 2 2" xfId="5837"/>
    <cellStyle name="Normal 3 3 4 2 3" xfId="4372"/>
    <cellStyle name="Normal 3 3 4 3" xfId="2321"/>
    <cellStyle name="Normal 3 3 4 3 2" xfId="5243"/>
    <cellStyle name="Normal 3 3 4 4" xfId="3770"/>
    <cellStyle name="Normal 3 3 5" xfId="1272"/>
    <cellStyle name="Normal 3 3 5 2" xfId="2740"/>
    <cellStyle name="Normal 3 3 5 2 2" xfId="5662"/>
    <cellStyle name="Normal 3 3 5 3" xfId="4197"/>
    <cellStyle name="Normal 3 3 6" xfId="2089"/>
    <cellStyle name="Normal 3 3 6 2" xfId="3533"/>
    <cellStyle name="Normal 3 3 6 2 2" xfId="6455"/>
    <cellStyle name="Normal 3 3 6 3" xfId="5011"/>
    <cellStyle name="Normal 3 3 7" xfId="2146"/>
    <cellStyle name="Normal 3 3 7 2" xfId="5068"/>
    <cellStyle name="Normal 3 3 8" xfId="3590"/>
    <cellStyle name="Normal 3 3 9" xfId="6674"/>
    <cellStyle name="Normal 30" xfId="192"/>
    <cellStyle name="Normal 30 2" xfId="1131"/>
    <cellStyle name="Normal 31" xfId="193"/>
    <cellStyle name="Normal 31 2" xfId="1132"/>
    <cellStyle name="Normal 32" xfId="194"/>
    <cellStyle name="Normal 32 2" xfId="1133"/>
    <cellStyle name="Normal 33" xfId="195"/>
    <cellStyle name="Normal 33 2" xfId="1135"/>
    <cellStyle name="Normal 33 3" xfId="1134"/>
    <cellStyle name="Normal 33 3 2" xfId="1805"/>
    <cellStyle name="Normal 33 3 2 2" xfId="3253"/>
    <cellStyle name="Normal 33 3 2 2 2" xfId="6175"/>
    <cellStyle name="Normal 33 3 2 3" xfId="4730"/>
    <cellStyle name="Normal 33 3 3" xfId="2659"/>
    <cellStyle name="Normal 33 3 3 2" xfId="5581"/>
    <cellStyle name="Normal 33 3 4" xfId="4108"/>
    <cellStyle name="Normal 33 4" xfId="544"/>
    <cellStyle name="Normal 33 4 2" xfId="1448"/>
    <cellStyle name="Normal 33 4 2 2" xfId="2916"/>
    <cellStyle name="Normal 33 4 2 2 2" xfId="5838"/>
    <cellStyle name="Normal 33 4 2 3" xfId="4373"/>
    <cellStyle name="Normal 33 4 3" xfId="2322"/>
    <cellStyle name="Normal 33 4 3 2" xfId="5244"/>
    <cellStyle name="Normal 33 4 4" xfId="3771"/>
    <cellStyle name="Normal 33 5" xfId="1273"/>
    <cellStyle name="Normal 33 5 2" xfId="2741"/>
    <cellStyle name="Normal 33 5 2 2" xfId="5663"/>
    <cellStyle name="Normal 33 5 3" xfId="4198"/>
    <cellStyle name="Normal 33 6" xfId="2090"/>
    <cellStyle name="Normal 33 6 2" xfId="3534"/>
    <cellStyle name="Normal 33 6 2 2" xfId="6456"/>
    <cellStyle name="Normal 33 6 3" xfId="5012"/>
    <cellStyle name="Normal 33 7" xfId="2147"/>
    <cellStyle name="Normal 33 7 2" xfId="5069"/>
    <cellStyle name="Normal 33 8" xfId="3591"/>
    <cellStyle name="Normal 33 9" xfId="6675"/>
    <cellStyle name="Normal 34" xfId="196"/>
    <cellStyle name="Normal 34 2" xfId="1136"/>
    <cellStyle name="Normal 34 2 2" xfId="1806"/>
    <cellStyle name="Normal 34 2 2 2" xfId="3254"/>
    <cellStyle name="Normal 34 2 2 2 2" xfId="6176"/>
    <cellStyle name="Normal 34 2 2 3" xfId="4731"/>
    <cellStyle name="Normal 34 2 3" xfId="2091"/>
    <cellStyle name="Normal 34 2 3 2" xfId="3535"/>
    <cellStyle name="Normal 34 2 3 2 2" xfId="6457"/>
    <cellStyle name="Normal 34 2 3 3" xfId="5013"/>
    <cellStyle name="Normal 34 2 4" xfId="2660"/>
    <cellStyle name="Normal 34 2 4 2" xfId="5582"/>
    <cellStyle name="Normal 34 2 5" xfId="4109"/>
    <cellStyle name="Normal 34 2 6" xfId="6676"/>
    <cellStyle name="Normal 35" xfId="197"/>
    <cellStyle name="Normal 35 2" xfId="1137"/>
    <cellStyle name="Normal 36" xfId="198"/>
    <cellStyle name="Normal 36 2" xfId="1138"/>
    <cellStyle name="Normal 36 2 2" xfId="1807"/>
    <cellStyle name="Normal 36 2 2 2" xfId="3255"/>
    <cellStyle name="Normal 36 2 2 2 2" xfId="6177"/>
    <cellStyle name="Normal 36 2 2 3" xfId="4732"/>
    <cellStyle name="Normal 36 2 3" xfId="2092"/>
    <cellStyle name="Normal 36 2 3 2" xfId="3536"/>
    <cellStyle name="Normal 36 2 3 2 2" xfId="6458"/>
    <cellStyle name="Normal 36 2 3 3" xfId="5014"/>
    <cellStyle name="Normal 36 2 4" xfId="2661"/>
    <cellStyle name="Normal 36 2 4 2" xfId="5583"/>
    <cellStyle name="Normal 36 2 5" xfId="4110"/>
    <cellStyle name="Normal 36 2 6" xfId="6677"/>
    <cellStyle name="Normal 37" xfId="199"/>
    <cellStyle name="Normal 37 2" xfId="1139"/>
    <cellStyle name="Normal 37 2 2" xfId="1808"/>
    <cellStyle name="Normal 37 2 2 2" xfId="3256"/>
    <cellStyle name="Normal 37 2 2 2 2" xfId="6178"/>
    <cellStyle name="Normal 37 2 2 3" xfId="4733"/>
    <cellStyle name="Normal 37 2 3" xfId="2093"/>
    <cellStyle name="Normal 37 2 3 2" xfId="3537"/>
    <cellStyle name="Normal 37 2 3 2 2" xfId="6459"/>
    <cellStyle name="Normal 37 2 3 3" xfId="5015"/>
    <cellStyle name="Normal 37 2 4" xfId="2662"/>
    <cellStyle name="Normal 37 2 4 2" xfId="5584"/>
    <cellStyle name="Normal 37 2 5" xfId="4111"/>
    <cellStyle name="Normal 37 2 6" xfId="6678"/>
    <cellStyle name="Normal 38" xfId="200"/>
    <cellStyle name="Normal 39" xfId="201"/>
    <cellStyle name="Normal 4" xfId="202"/>
    <cellStyle name="Normal 4 2" xfId="203"/>
    <cellStyle name="Normal 4 2 2" xfId="204"/>
    <cellStyle name="Normal 4 3" xfId="205"/>
    <cellStyle name="Normal 4 3 2" xfId="1140"/>
    <cellStyle name="Normal 4 4" xfId="206"/>
    <cellStyle name="Normal 4 4 2" xfId="1141"/>
    <cellStyle name="Normal 4 5" xfId="207"/>
    <cellStyle name="Normal 4 5 2" xfId="1142"/>
    <cellStyle name="Normal 4 5 2 2" xfId="1809"/>
    <cellStyle name="Normal 4 5 2 2 2" xfId="3257"/>
    <cellStyle name="Normal 4 5 2 2 2 2" xfId="6179"/>
    <cellStyle name="Normal 4 5 2 2 3" xfId="4734"/>
    <cellStyle name="Normal 4 5 2 3" xfId="2663"/>
    <cellStyle name="Normal 4 5 2 3 2" xfId="5585"/>
    <cellStyle name="Normal 4 5 2 4" xfId="4112"/>
    <cellStyle name="Normal 4 5 3" xfId="545"/>
    <cellStyle name="Normal 4 5 3 2" xfId="1449"/>
    <cellStyle name="Normal 4 5 3 2 2" xfId="2917"/>
    <cellStyle name="Normal 4 5 3 2 2 2" xfId="5839"/>
    <cellStyle name="Normal 4 5 3 2 3" xfId="4374"/>
    <cellStyle name="Normal 4 5 3 3" xfId="2323"/>
    <cellStyle name="Normal 4 5 3 3 2" xfId="5245"/>
    <cellStyle name="Normal 4 5 3 4" xfId="3772"/>
    <cellStyle name="Normal 4 5 4" xfId="1274"/>
    <cellStyle name="Normal 4 5 4 2" xfId="2742"/>
    <cellStyle name="Normal 4 5 4 2 2" xfId="5664"/>
    <cellStyle name="Normal 4 5 4 3" xfId="4199"/>
    <cellStyle name="Normal 4 5 5" xfId="2094"/>
    <cellStyle name="Normal 4 5 5 2" xfId="3538"/>
    <cellStyle name="Normal 4 5 5 2 2" xfId="6460"/>
    <cellStyle name="Normal 4 5 5 3" xfId="5016"/>
    <cellStyle name="Normal 4 5 6" xfId="2148"/>
    <cellStyle name="Normal 4 5 6 2" xfId="5070"/>
    <cellStyle name="Normal 4 5 7" xfId="3592"/>
    <cellStyle name="Normal 4 5 8" xfId="6679"/>
    <cellStyle name="Normal 40" xfId="208"/>
    <cellStyle name="Normal 41" xfId="209"/>
    <cellStyle name="Normal 42" xfId="210"/>
    <cellStyle name="Normal 43" xfId="211"/>
    <cellStyle name="Normal 44" xfId="212"/>
    <cellStyle name="Normal 45" xfId="213"/>
    <cellStyle name="Normal 46" xfId="214"/>
    <cellStyle name="Normal 47" xfId="215"/>
    <cellStyle name="Normal 48" xfId="216"/>
    <cellStyle name="Normal 49" xfId="217"/>
    <cellStyle name="Normal 5" xfId="218"/>
    <cellStyle name="Normal 5 2" xfId="219"/>
    <cellStyle name="Normal 5 2 2" xfId="1143"/>
    <cellStyle name="Normal 5 2 2 2" xfId="1144"/>
    <cellStyle name="Normal 5 2 2 2 2" xfId="1811"/>
    <cellStyle name="Normal 5 2 2 2 2 2" xfId="3259"/>
    <cellStyle name="Normal 5 2 2 2 2 2 2" xfId="6181"/>
    <cellStyle name="Normal 5 2 2 2 2 3" xfId="4736"/>
    <cellStyle name="Normal 5 2 2 2 3" xfId="2096"/>
    <cellStyle name="Normal 5 2 2 2 3 2" xfId="3540"/>
    <cellStyle name="Normal 5 2 2 2 3 2 2" xfId="6462"/>
    <cellStyle name="Normal 5 2 2 2 3 3" xfId="5018"/>
    <cellStyle name="Normal 5 2 2 2 4" xfId="2665"/>
    <cellStyle name="Normal 5 2 2 2 4 2" xfId="5587"/>
    <cellStyle name="Normal 5 2 2 2 5" xfId="4114"/>
    <cellStyle name="Normal 5 2 2 2 6" xfId="6681"/>
    <cellStyle name="Normal 5 2 2 3" xfId="1810"/>
    <cellStyle name="Normal 5 2 2 3 2" xfId="3258"/>
    <cellStyle name="Normal 5 2 2 3 2 2" xfId="6180"/>
    <cellStyle name="Normal 5 2 2 3 3" xfId="4735"/>
    <cellStyle name="Normal 5 2 2 4" xfId="2095"/>
    <cellStyle name="Normal 5 2 2 4 2" xfId="3539"/>
    <cellStyle name="Normal 5 2 2 4 2 2" xfId="6461"/>
    <cellStyle name="Normal 5 2 2 4 3" xfId="5017"/>
    <cellStyle name="Normal 5 2 2 5" xfId="2664"/>
    <cellStyle name="Normal 5 2 2 5 2" xfId="5586"/>
    <cellStyle name="Normal 5 2 2 6" xfId="4113"/>
    <cellStyle name="Normal 5 2 2 7" xfId="6680"/>
    <cellStyle name="Normal 5 2 3" xfId="1145"/>
    <cellStyle name="Normal 5 2 3 2" xfId="1812"/>
    <cellStyle name="Normal 5 2 3 2 2" xfId="3260"/>
    <cellStyle name="Normal 5 2 3 2 2 2" xfId="6182"/>
    <cellStyle name="Normal 5 2 3 2 3" xfId="4737"/>
    <cellStyle name="Normal 5 2 3 3" xfId="2097"/>
    <cellStyle name="Normal 5 2 3 3 2" xfId="3541"/>
    <cellStyle name="Normal 5 2 3 3 2 2" xfId="6463"/>
    <cellStyle name="Normal 5 2 3 3 3" xfId="5019"/>
    <cellStyle name="Normal 5 2 3 4" xfId="2666"/>
    <cellStyle name="Normal 5 2 3 4 2" xfId="5588"/>
    <cellStyle name="Normal 5 2 3 5" xfId="4115"/>
    <cellStyle name="Normal 5 2 3 6" xfId="6682"/>
    <cellStyle name="Normal 5 2 4" xfId="1146"/>
    <cellStyle name="Normal 5 2 4 2" xfId="1813"/>
    <cellStyle name="Normal 5 2 4 2 2" xfId="3261"/>
    <cellStyle name="Normal 5 2 4 2 2 2" xfId="6183"/>
    <cellStyle name="Normal 5 2 4 2 3" xfId="4738"/>
    <cellStyle name="Normal 5 2 4 3" xfId="2098"/>
    <cellStyle name="Normal 5 2 4 3 2" xfId="3542"/>
    <cellStyle name="Normal 5 2 4 3 2 2" xfId="6464"/>
    <cellStyle name="Normal 5 2 4 3 3" xfId="5020"/>
    <cellStyle name="Normal 5 2 4 4" xfId="2667"/>
    <cellStyle name="Normal 5 2 4 4 2" xfId="5589"/>
    <cellStyle name="Normal 5 2 4 5" xfId="4116"/>
    <cellStyle name="Normal 5 2 4 6" xfId="6683"/>
    <cellStyle name="Normal 5 3" xfId="220"/>
    <cellStyle name="Normal 5 4" xfId="221"/>
    <cellStyle name="Normal 5 4 2" xfId="1147"/>
    <cellStyle name="Normal 5 4 2 2" xfId="1814"/>
    <cellStyle name="Normal 5 4 2 2 2" xfId="3262"/>
    <cellStyle name="Normal 5 4 2 2 2 2" xfId="6184"/>
    <cellStyle name="Normal 5 4 2 2 3" xfId="4739"/>
    <cellStyle name="Normal 5 4 2 3" xfId="2668"/>
    <cellStyle name="Normal 5 4 2 3 2" xfId="5590"/>
    <cellStyle name="Normal 5 4 2 4" xfId="4117"/>
    <cellStyle name="Normal 5 4 3" xfId="546"/>
    <cellStyle name="Normal 5 4 3 2" xfId="1450"/>
    <cellStyle name="Normal 5 4 3 2 2" xfId="2918"/>
    <cellStyle name="Normal 5 4 3 2 2 2" xfId="5840"/>
    <cellStyle name="Normal 5 4 3 2 3" xfId="4375"/>
    <cellStyle name="Normal 5 4 3 3" xfId="2324"/>
    <cellStyle name="Normal 5 4 3 3 2" xfId="5246"/>
    <cellStyle name="Normal 5 4 3 4" xfId="3773"/>
    <cellStyle name="Normal 5 4 4" xfId="1275"/>
    <cellStyle name="Normal 5 4 4 2" xfId="2743"/>
    <cellStyle name="Normal 5 4 4 2 2" xfId="5665"/>
    <cellStyle name="Normal 5 4 4 3" xfId="4200"/>
    <cellStyle name="Normal 5 4 5" xfId="2099"/>
    <cellStyle name="Normal 5 4 5 2" xfId="3543"/>
    <cellStyle name="Normal 5 4 5 2 2" xfId="6465"/>
    <cellStyle name="Normal 5 4 5 3" xfId="5021"/>
    <cellStyle name="Normal 5 4 6" xfId="2149"/>
    <cellStyle name="Normal 5 4 6 2" xfId="5071"/>
    <cellStyle name="Normal 5 4 7" xfId="3593"/>
    <cellStyle name="Normal 5 4 8" xfId="6684"/>
    <cellStyle name="Normal 50" xfId="222"/>
    <cellStyle name="Normal 51" xfId="223"/>
    <cellStyle name="Normal 52" xfId="224"/>
    <cellStyle name="Normal 53" xfId="225"/>
    <cellStyle name="Normal 54" xfId="226"/>
    <cellStyle name="Normal 55" xfId="227"/>
    <cellStyle name="Normal 56" xfId="228"/>
    <cellStyle name="Normal 57" xfId="229"/>
    <cellStyle name="Normal 58" xfId="230"/>
    <cellStyle name="Normal 59" xfId="231"/>
    <cellStyle name="Normal 6" xfId="232"/>
    <cellStyle name="Normal 6 2" xfId="233"/>
    <cellStyle name="Normal 6 3" xfId="234"/>
    <cellStyle name="Normal 6 4" xfId="235"/>
    <cellStyle name="Normal 6 4 2" xfId="1148"/>
    <cellStyle name="Normal 6 4 2 2" xfId="1815"/>
    <cellStyle name="Normal 6 4 2 2 2" xfId="3263"/>
    <cellStyle name="Normal 6 4 2 2 2 2" xfId="6185"/>
    <cellStyle name="Normal 6 4 2 2 3" xfId="4740"/>
    <cellStyle name="Normal 6 4 2 3" xfId="2669"/>
    <cellStyle name="Normal 6 4 2 3 2" xfId="5591"/>
    <cellStyle name="Normal 6 4 2 4" xfId="4118"/>
    <cellStyle name="Normal 6 4 3" xfId="547"/>
    <cellStyle name="Normal 6 4 3 2" xfId="1451"/>
    <cellStyle name="Normal 6 4 3 2 2" xfId="2919"/>
    <cellStyle name="Normal 6 4 3 2 2 2" xfId="5841"/>
    <cellStyle name="Normal 6 4 3 2 3" xfId="4376"/>
    <cellStyle name="Normal 6 4 3 3" xfId="2325"/>
    <cellStyle name="Normal 6 4 3 3 2" xfId="5247"/>
    <cellStyle name="Normal 6 4 3 4" xfId="3774"/>
    <cellStyle name="Normal 6 4 4" xfId="1276"/>
    <cellStyle name="Normal 6 4 4 2" xfId="2744"/>
    <cellStyle name="Normal 6 4 4 2 2" xfId="5666"/>
    <cellStyle name="Normal 6 4 4 3" xfId="4201"/>
    <cellStyle name="Normal 6 4 5" xfId="2100"/>
    <cellStyle name="Normal 6 4 5 2" xfId="3544"/>
    <cellStyle name="Normal 6 4 5 2 2" xfId="6466"/>
    <cellStyle name="Normal 6 4 5 3" xfId="5022"/>
    <cellStyle name="Normal 6 4 6" xfId="2150"/>
    <cellStyle name="Normal 6 4 6 2" xfId="5072"/>
    <cellStyle name="Normal 6 4 7" xfId="3594"/>
    <cellStyle name="Normal 6 4 8" xfId="6685"/>
    <cellStyle name="Normal 6 5" xfId="1902"/>
    <cellStyle name="Normal 6 5 2" xfId="3347"/>
    <cellStyle name="Normal 6 5 2 2" xfId="6269"/>
    <cellStyle name="Normal 6 5 3" xfId="4825"/>
    <cellStyle name="Normal 60" xfId="236"/>
    <cellStyle name="Normal 61" xfId="237"/>
    <cellStyle name="Normal 62" xfId="238"/>
    <cellStyle name="Normal 63" xfId="239"/>
    <cellStyle name="Normal 63 2" xfId="240"/>
    <cellStyle name="Normal 63 3" xfId="1149"/>
    <cellStyle name="Normal 63 3 2" xfId="1816"/>
    <cellStyle name="Normal 63 3 2 2" xfId="3264"/>
    <cellStyle name="Normal 63 3 2 2 2" xfId="6186"/>
    <cellStyle name="Normal 63 3 2 3" xfId="4741"/>
    <cellStyle name="Normal 63 3 3" xfId="2670"/>
    <cellStyle name="Normal 63 3 3 2" xfId="5592"/>
    <cellStyle name="Normal 63 3 4" xfId="4119"/>
    <cellStyle name="Normal 63 4" xfId="548"/>
    <cellStyle name="Normal 63 4 2" xfId="1452"/>
    <cellStyle name="Normal 63 4 2 2" xfId="2920"/>
    <cellStyle name="Normal 63 4 2 2 2" xfId="5842"/>
    <cellStyle name="Normal 63 4 2 3" xfId="4377"/>
    <cellStyle name="Normal 63 4 3" xfId="2326"/>
    <cellStyle name="Normal 63 4 3 2" xfId="5248"/>
    <cellStyle name="Normal 63 4 4" xfId="3775"/>
    <cellStyle name="Normal 63 5" xfId="1277"/>
    <cellStyle name="Normal 63 5 2" xfId="2745"/>
    <cellStyle name="Normal 63 5 2 2" xfId="5667"/>
    <cellStyle name="Normal 63 5 3" xfId="4202"/>
    <cellStyle name="Normal 63 6" xfId="2101"/>
    <cellStyle name="Normal 63 6 2" xfId="3545"/>
    <cellStyle name="Normal 63 6 2 2" xfId="6467"/>
    <cellStyle name="Normal 63 6 3" xfId="5023"/>
    <cellStyle name="Normal 63 7" xfId="2151"/>
    <cellStyle name="Normal 63 7 2" xfId="5073"/>
    <cellStyle name="Normal 63 8" xfId="3595"/>
    <cellStyle name="Normal 63 9" xfId="6686"/>
    <cellStyle name="Normal 64" xfId="241"/>
    <cellStyle name="Normal 64 2" xfId="242"/>
    <cellStyle name="Normal 64 3" xfId="1150"/>
    <cellStyle name="Normal 64 3 2" xfId="1817"/>
    <cellStyle name="Normal 64 3 2 2" xfId="3265"/>
    <cellStyle name="Normal 64 3 2 2 2" xfId="6187"/>
    <cellStyle name="Normal 64 3 2 3" xfId="4742"/>
    <cellStyle name="Normal 64 3 3" xfId="2671"/>
    <cellStyle name="Normal 64 3 3 2" xfId="5593"/>
    <cellStyle name="Normal 64 3 4" xfId="4120"/>
    <cellStyle name="Normal 64 4" xfId="549"/>
    <cellStyle name="Normal 64 4 2" xfId="1453"/>
    <cellStyle name="Normal 64 4 2 2" xfId="2921"/>
    <cellStyle name="Normal 64 4 2 2 2" xfId="5843"/>
    <cellStyle name="Normal 64 4 2 3" xfId="4378"/>
    <cellStyle name="Normal 64 4 3" xfId="2327"/>
    <cellStyle name="Normal 64 4 3 2" xfId="5249"/>
    <cellStyle name="Normal 64 4 4" xfId="3776"/>
    <cellStyle name="Normal 64 5" xfId="1278"/>
    <cellStyle name="Normal 64 5 2" xfId="2746"/>
    <cellStyle name="Normal 64 5 2 2" xfId="5668"/>
    <cellStyle name="Normal 64 5 3" xfId="4203"/>
    <cellStyle name="Normal 64 6" xfId="2102"/>
    <cellStyle name="Normal 64 6 2" xfId="3546"/>
    <cellStyle name="Normal 64 6 2 2" xfId="6468"/>
    <cellStyle name="Normal 64 6 3" xfId="5024"/>
    <cellStyle name="Normal 64 7" xfId="2152"/>
    <cellStyle name="Normal 64 7 2" xfId="5074"/>
    <cellStyle name="Normal 64 8" xfId="3596"/>
    <cellStyle name="Normal 64 9" xfId="6687"/>
    <cellStyle name="Normal 65" xfId="243"/>
    <cellStyle name="Normal 65 2" xfId="244"/>
    <cellStyle name="Normal 65 3" xfId="1151"/>
    <cellStyle name="Normal 65 3 2" xfId="1818"/>
    <cellStyle name="Normal 65 3 2 2" xfId="3266"/>
    <cellStyle name="Normal 65 3 2 2 2" xfId="6188"/>
    <cellStyle name="Normal 65 3 2 3" xfId="4743"/>
    <cellStyle name="Normal 65 3 3" xfId="2672"/>
    <cellStyle name="Normal 65 3 3 2" xfId="5594"/>
    <cellStyle name="Normal 65 3 4" xfId="4121"/>
    <cellStyle name="Normal 65 4" xfId="550"/>
    <cellStyle name="Normal 65 4 2" xfId="1454"/>
    <cellStyle name="Normal 65 4 2 2" xfId="2922"/>
    <cellStyle name="Normal 65 4 2 2 2" xfId="5844"/>
    <cellStyle name="Normal 65 4 2 3" xfId="4379"/>
    <cellStyle name="Normal 65 4 3" xfId="2328"/>
    <cellStyle name="Normal 65 4 3 2" xfId="5250"/>
    <cellStyle name="Normal 65 4 4" xfId="3777"/>
    <cellStyle name="Normal 65 5" xfId="1279"/>
    <cellStyle name="Normal 65 5 2" xfId="2747"/>
    <cellStyle name="Normal 65 5 2 2" xfId="5669"/>
    <cellStyle name="Normal 65 5 3" xfId="4204"/>
    <cellStyle name="Normal 65 6" xfId="2103"/>
    <cellStyle name="Normal 65 6 2" xfId="3547"/>
    <cellStyle name="Normal 65 6 2 2" xfId="6469"/>
    <cellStyle name="Normal 65 6 3" xfId="5025"/>
    <cellStyle name="Normal 65 7" xfId="2153"/>
    <cellStyle name="Normal 65 7 2" xfId="5075"/>
    <cellStyle name="Normal 65 8" xfId="3597"/>
    <cellStyle name="Normal 65 9" xfId="6688"/>
    <cellStyle name="Normal 66" xfId="245"/>
    <cellStyle name="Normal 66 2" xfId="246"/>
    <cellStyle name="Normal 66 3" xfId="1152"/>
    <cellStyle name="Normal 66 3 2" xfId="1819"/>
    <cellStyle name="Normal 66 3 2 2" xfId="3267"/>
    <cellStyle name="Normal 66 3 2 2 2" xfId="6189"/>
    <cellStyle name="Normal 66 3 2 3" xfId="4744"/>
    <cellStyle name="Normal 66 3 3" xfId="2673"/>
    <cellStyle name="Normal 66 3 3 2" xfId="5595"/>
    <cellStyle name="Normal 66 3 4" xfId="4122"/>
    <cellStyle name="Normal 66 4" xfId="551"/>
    <cellStyle name="Normal 66 4 2" xfId="1455"/>
    <cellStyle name="Normal 66 4 2 2" xfId="2923"/>
    <cellStyle name="Normal 66 4 2 2 2" xfId="5845"/>
    <cellStyle name="Normal 66 4 2 3" xfId="4380"/>
    <cellStyle name="Normal 66 4 3" xfId="2329"/>
    <cellStyle name="Normal 66 4 3 2" xfId="5251"/>
    <cellStyle name="Normal 66 4 4" xfId="3778"/>
    <cellStyle name="Normal 66 5" xfId="1280"/>
    <cellStyle name="Normal 66 5 2" xfId="2748"/>
    <cellStyle name="Normal 66 5 2 2" xfId="5670"/>
    <cellStyle name="Normal 66 5 3" xfId="4205"/>
    <cellStyle name="Normal 66 6" xfId="2104"/>
    <cellStyle name="Normal 66 6 2" xfId="3548"/>
    <cellStyle name="Normal 66 6 2 2" xfId="6470"/>
    <cellStyle name="Normal 66 6 3" xfId="5026"/>
    <cellStyle name="Normal 66 7" xfId="2154"/>
    <cellStyle name="Normal 66 7 2" xfId="5076"/>
    <cellStyle name="Normal 66 8" xfId="3598"/>
    <cellStyle name="Normal 66 9" xfId="6689"/>
    <cellStyle name="Normal 67" xfId="247"/>
    <cellStyle name="Normal 67 2" xfId="248"/>
    <cellStyle name="Normal 67 3" xfId="1153"/>
    <cellStyle name="Normal 67 3 2" xfId="1820"/>
    <cellStyle name="Normal 67 3 2 2" xfId="3268"/>
    <cellStyle name="Normal 67 3 2 2 2" xfId="6190"/>
    <cellStyle name="Normal 67 3 2 3" xfId="4745"/>
    <cellStyle name="Normal 67 3 3" xfId="2674"/>
    <cellStyle name="Normal 67 3 3 2" xfId="5596"/>
    <cellStyle name="Normal 67 3 4" xfId="4123"/>
    <cellStyle name="Normal 67 4" xfId="552"/>
    <cellStyle name="Normal 67 4 2" xfId="1456"/>
    <cellStyle name="Normal 67 4 2 2" xfId="2924"/>
    <cellStyle name="Normal 67 4 2 2 2" xfId="5846"/>
    <cellStyle name="Normal 67 4 2 3" xfId="4381"/>
    <cellStyle name="Normal 67 4 3" xfId="2330"/>
    <cellStyle name="Normal 67 4 3 2" xfId="5252"/>
    <cellStyle name="Normal 67 4 4" xfId="3779"/>
    <cellStyle name="Normal 67 5" xfId="1281"/>
    <cellStyle name="Normal 67 5 2" xfId="2749"/>
    <cellStyle name="Normal 67 5 2 2" xfId="5671"/>
    <cellStyle name="Normal 67 5 3" xfId="4206"/>
    <cellStyle name="Normal 67 6" xfId="2105"/>
    <cellStyle name="Normal 67 6 2" xfId="3549"/>
    <cellStyle name="Normal 67 6 2 2" xfId="6471"/>
    <cellStyle name="Normal 67 6 3" xfId="5027"/>
    <cellStyle name="Normal 67 7" xfId="2155"/>
    <cellStyle name="Normal 67 7 2" xfId="5077"/>
    <cellStyle name="Normal 67 8" xfId="3599"/>
    <cellStyle name="Normal 67 9" xfId="6690"/>
    <cellStyle name="Normal 68" xfId="249"/>
    <cellStyle name="Normal 68 2" xfId="250"/>
    <cellStyle name="Normal 68 3" xfId="1154"/>
    <cellStyle name="Normal 68 3 2" xfId="1821"/>
    <cellStyle name="Normal 68 3 2 2" xfId="3269"/>
    <cellStyle name="Normal 68 3 2 2 2" xfId="6191"/>
    <cellStyle name="Normal 68 3 2 3" xfId="4746"/>
    <cellStyle name="Normal 68 3 3" xfId="2675"/>
    <cellStyle name="Normal 68 3 3 2" xfId="5597"/>
    <cellStyle name="Normal 68 3 4" xfId="4124"/>
    <cellStyle name="Normal 68 4" xfId="553"/>
    <cellStyle name="Normal 68 4 2" xfId="1457"/>
    <cellStyle name="Normal 68 4 2 2" xfId="2925"/>
    <cellStyle name="Normal 68 4 2 2 2" xfId="5847"/>
    <cellStyle name="Normal 68 4 2 3" xfId="4382"/>
    <cellStyle name="Normal 68 4 3" xfId="2331"/>
    <cellStyle name="Normal 68 4 3 2" xfId="5253"/>
    <cellStyle name="Normal 68 4 4" xfId="3780"/>
    <cellStyle name="Normal 68 5" xfId="1282"/>
    <cellStyle name="Normal 68 5 2" xfId="2750"/>
    <cellStyle name="Normal 68 5 2 2" xfId="5672"/>
    <cellStyle name="Normal 68 5 3" xfId="4207"/>
    <cellStyle name="Normal 68 6" xfId="2106"/>
    <cellStyle name="Normal 68 6 2" xfId="3550"/>
    <cellStyle name="Normal 68 6 2 2" xfId="6472"/>
    <cellStyle name="Normal 68 6 3" xfId="5028"/>
    <cellStyle name="Normal 68 7" xfId="2156"/>
    <cellStyle name="Normal 68 7 2" xfId="5078"/>
    <cellStyle name="Normal 68 8" xfId="3600"/>
    <cellStyle name="Normal 68 9" xfId="6691"/>
    <cellStyle name="Normal 69" xfId="251"/>
    <cellStyle name="Normal 69 2" xfId="252"/>
    <cellStyle name="Normal 69 3" xfId="1155"/>
    <cellStyle name="Normal 69 3 2" xfId="1822"/>
    <cellStyle name="Normal 69 3 2 2" xfId="3270"/>
    <cellStyle name="Normal 69 3 2 2 2" xfId="6192"/>
    <cellStyle name="Normal 69 3 2 3" xfId="4747"/>
    <cellStyle name="Normal 69 3 3" xfId="2676"/>
    <cellStyle name="Normal 69 3 3 2" xfId="5598"/>
    <cellStyle name="Normal 69 3 4" xfId="4125"/>
    <cellStyle name="Normal 69 4" xfId="554"/>
    <cellStyle name="Normal 69 4 2" xfId="1458"/>
    <cellStyle name="Normal 69 4 2 2" xfId="2926"/>
    <cellStyle name="Normal 69 4 2 2 2" xfId="5848"/>
    <cellStyle name="Normal 69 4 2 3" xfId="4383"/>
    <cellStyle name="Normal 69 4 3" xfId="2332"/>
    <cellStyle name="Normal 69 4 3 2" xfId="5254"/>
    <cellStyle name="Normal 69 4 4" xfId="3781"/>
    <cellStyle name="Normal 69 5" xfId="1283"/>
    <cellStyle name="Normal 69 5 2" xfId="2751"/>
    <cellStyle name="Normal 69 5 2 2" xfId="5673"/>
    <cellStyle name="Normal 69 5 3" xfId="4208"/>
    <cellStyle name="Normal 69 6" xfId="2107"/>
    <cellStyle name="Normal 69 6 2" xfId="3551"/>
    <cellStyle name="Normal 69 6 2 2" xfId="6473"/>
    <cellStyle name="Normal 69 6 3" xfId="5029"/>
    <cellStyle name="Normal 69 7" xfId="2157"/>
    <cellStyle name="Normal 69 7 2" xfId="5079"/>
    <cellStyle name="Normal 69 8" xfId="3601"/>
    <cellStyle name="Normal 69 9" xfId="6692"/>
    <cellStyle name="Normal 7" xfId="253"/>
    <cellStyle name="Normal 7 2" xfId="254"/>
    <cellStyle name="Normal 7 3" xfId="255"/>
    <cellStyle name="Normal 7 3 2" xfId="1156"/>
    <cellStyle name="Normal 7 3 2 2" xfId="1823"/>
    <cellStyle name="Normal 7 3 2 2 2" xfId="3271"/>
    <cellStyle name="Normal 7 3 2 2 2 2" xfId="6193"/>
    <cellStyle name="Normal 7 3 2 2 3" xfId="4748"/>
    <cellStyle name="Normal 7 3 2 3" xfId="2677"/>
    <cellStyle name="Normal 7 3 2 3 2" xfId="5599"/>
    <cellStyle name="Normal 7 3 2 4" xfId="4126"/>
    <cellStyle name="Normal 7 3 3" xfId="555"/>
    <cellStyle name="Normal 7 3 3 2" xfId="1459"/>
    <cellStyle name="Normal 7 3 3 2 2" xfId="2927"/>
    <cellStyle name="Normal 7 3 3 2 2 2" xfId="5849"/>
    <cellStyle name="Normal 7 3 3 2 3" xfId="4384"/>
    <cellStyle name="Normal 7 3 3 3" xfId="2333"/>
    <cellStyle name="Normal 7 3 3 3 2" xfId="5255"/>
    <cellStyle name="Normal 7 3 3 4" xfId="3782"/>
    <cellStyle name="Normal 7 3 4" xfId="1284"/>
    <cellStyle name="Normal 7 3 4 2" xfId="2752"/>
    <cellStyle name="Normal 7 3 4 2 2" xfId="5674"/>
    <cellStyle name="Normal 7 3 4 3" xfId="4209"/>
    <cellStyle name="Normal 7 3 5" xfId="2108"/>
    <cellStyle name="Normal 7 3 5 2" xfId="3552"/>
    <cellStyle name="Normal 7 3 5 2 2" xfId="6474"/>
    <cellStyle name="Normal 7 3 5 3" xfId="5030"/>
    <cellStyle name="Normal 7 3 6" xfId="2158"/>
    <cellStyle name="Normal 7 3 6 2" xfId="5080"/>
    <cellStyle name="Normal 7 3 7" xfId="3602"/>
    <cellStyle name="Normal 7 3 8" xfId="6693"/>
    <cellStyle name="Normal 7 4" xfId="482"/>
    <cellStyle name="Normal 70" xfId="256"/>
    <cellStyle name="Normal 70 2" xfId="257"/>
    <cellStyle name="Normal 70 3" xfId="1157"/>
    <cellStyle name="Normal 70 3 2" xfId="1824"/>
    <cellStyle name="Normal 70 3 2 2" xfId="3272"/>
    <cellStyle name="Normal 70 3 2 2 2" xfId="6194"/>
    <cellStyle name="Normal 70 3 2 3" xfId="4749"/>
    <cellStyle name="Normal 70 3 3" xfId="2678"/>
    <cellStyle name="Normal 70 3 3 2" xfId="5600"/>
    <cellStyle name="Normal 70 3 4" xfId="4127"/>
    <cellStyle name="Normal 70 4" xfId="556"/>
    <cellStyle name="Normal 70 4 2" xfId="1460"/>
    <cellStyle name="Normal 70 4 2 2" xfId="2928"/>
    <cellStyle name="Normal 70 4 2 2 2" xfId="5850"/>
    <cellStyle name="Normal 70 4 2 3" xfId="4385"/>
    <cellStyle name="Normal 70 4 3" xfId="2334"/>
    <cellStyle name="Normal 70 4 3 2" xfId="5256"/>
    <cellStyle name="Normal 70 4 4" xfId="3783"/>
    <cellStyle name="Normal 70 5" xfId="1285"/>
    <cellStyle name="Normal 70 5 2" xfId="2753"/>
    <cellStyle name="Normal 70 5 2 2" xfId="5675"/>
    <cellStyle name="Normal 70 5 3" xfId="4210"/>
    <cellStyle name="Normal 70 6" xfId="2109"/>
    <cellStyle name="Normal 70 6 2" xfId="3553"/>
    <cellStyle name="Normal 70 6 2 2" xfId="6475"/>
    <cellStyle name="Normal 70 6 3" xfId="5031"/>
    <cellStyle name="Normal 70 7" xfId="2159"/>
    <cellStyle name="Normal 70 7 2" xfId="5081"/>
    <cellStyle name="Normal 70 8" xfId="3603"/>
    <cellStyle name="Normal 70 9" xfId="6694"/>
    <cellStyle name="Normal 71" xfId="258"/>
    <cellStyle name="Normal 71 2" xfId="259"/>
    <cellStyle name="Normal 72" xfId="260"/>
    <cellStyle name="Normal 72 2" xfId="261"/>
    <cellStyle name="Normal 73" xfId="262"/>
    <cellStyle name="Normal 73 2" xfId="263"/>
    <cellStyle name="Normal 74" xfId="264"/>
    <cellStyle name="Normal 74 2" xfId="265"/>
    <cellStyle name="Normal 75" xfId="266"/>
    <cellStyle name="Normal 75 2" xfId="267"/>
    <cellStyle name="Normal 76" xfId="268"/>
    <cellStyle name="Normal 76 2" xfId="269"/>
    <cellStyle name="Normal 77" xfId="270"/>
    <cellStyle name="Normal 77 2" xfId="271"/>
    <cellStyle name="Normal 78" xfId="272"/>
    <cellStyle name="Normal 78 2" xfId="273"/>
    <cellStyle name="Normal 79" xfId="274"/>
    <cellStyle name="Normal 79 2" xfId="275"/>
    <cellStyle name="Normal 8" xfId="276"/>
    <cellStyle name="Normal 8 2" xfId="1158"/>
    <cellStyle name="Normal 8 2 2" xfId="1159"/>
    <cellStyle name="Normal 8 2 2 2" xfId="1826"/>
    <cellStyle name="Normal 8 2 2 2 2" xfId="3274"/>
    <cellStyle name="Normal 8 2 2 2 2 2" xfId="6196"/>
    <cellStyle name="Normal 8 2 2 2 3" xfId="4751"/>
    <cellStyle name="Normal 8 2 2 3" xfId="2111"/>
    <cellStyle name="Normal 8 2 2 3 2" xfId="3555"/>
    <cellStyle name="Normal 8 2 2 3 2 2" xfId="6477"/>
    <cellStyle name="Normal 8 2 2 3 3" xfId="5033"/>
    <cellStyle name="Normal 8 2 2 4" xfId="2680"/>
    <cellStyle name="Normal 8 2 2 4 2" xfId="5602"/>
    <cellStyle name="Normal 8 2 2 5" xfId="4129"/>
    <cellStyle name="Normal 8 2 2 6" xfId="6696"/>
    <cellStyle name="Normal 8 2 3" xfId="1825"/>
    <cellStyle name="Normal 8 2 3 2" xfId="3273"/>
    <cellStyle name="Normal 8 2 3 2 2" xfId="6195"/>
    <cellStyle name="Normal 8 2 3 3" xfId="4750"/>
    <cellStyle name="Normal 8 2 4" xfId="2110"/>
    <cellStyle name="Normal 8 2 4 2" xfId="3554"/>
    <cellStyle name="Normal 8 2 4 2 2" xfId="6476"/>
    <cellStyle name="Normal 8 2 4 3" xfId="5032"/>
    <cellStyle name="Normal 8 2 5" xfId="2679"/>
    <cellStyle name="Normal 8 2 5 2" xfId="5601"/>
    <cellStyle name="Normal 8 2 6" xfId="4128"/>
    <cellStyle name="Normal 8 2 7" xfId="6695"/>
    <cellStyle name="Normal 8 3" xfId="1160"/>
    <cellStyle name="Normal 8 3 2" xfId="1827"/>
    <cellStyle name="Normal 8 3 2 2" xfId="3275"/>
    <cellStyle name="Normal 8 3 2 2 2" xfId="6197"/>
    <cellStyle name="Normal 8 3 2 3" xfId="4752"/>
    <cellStyle name="Normal 8 3 3" xfId="2112"/>
    <cellStyle name="Normal 8 3 3 2" xfId="3556"/>
    <cellStyle name="Normal 8 3 3 2 2" xfId="6478"/>
    <cellStyle name="Normal 8 3 3 3" xfId="5034"/>
    <cellStyle name="Normal 8 3 4" xfId="2681"/>
    <cellStyle name="Normal 8 3 4 2" xfId="5603"/>
    <cellStyle name="Normal 8 3 5" xfId="4130"/>
    <cellStyle name="Normal 8 3 6" xfId="6697"/>
    <cellStyle name="Normal 8 4" xfId="1161"/>
    <cellStyle name="Normal 8 4 2" xfId="1828"/>
    <cellStyle name="Normal 8 4 2 2" xfId="3276"/>
    <cellStyle name="Normal 8 4 2 2 2" xfId="6198"/>
    <cellStyle name="Normal 8 4 2 3" xfId="4753"/>
    <cellStyle name="Normal 8 4 3" xfId="2113"/>
    <cellStyle name="Normal 8 4 3 2" xfId="3557"/>
    <cellStyle name="Normal 8 4 3 2 2" xfId="6479"/>
    <cellStyle name="Normal 8 4 3 3" xfId="5035"/>
    <cellStyle name="Normal 8 4 4" xfId="2682"/>
    <cellStyle name="Normal 8 4 4 2" xfId="5604"/>
    <cellStyle name="Normal 8 4 5" xfId="4131"/>
    <cellStyle name="Normal 8 4 6" xfId="6698"/>
    <cellStyle name="Normal 80" xfId="277"/>
    <cellStyle name="Normal 80 2" xfId="278"/>
    <cellStyle name="Normal 81" xfId="279"/>
    <cellStyle name="Normal 81 2" xfId="280"/>
    <cellStyle name="Normal 82" xfId="281"/>
    <cellStyle name="Normal 82 2" xfId="282"/>
    <cellStyle name="Normal 83" xfId="283"/>
    <cellStyle name="Normal 83 2" xfId="284"/>
    <cellStyle name="Normal 84" xfId="285"/>
    <cellStyle name="Normal 84 2" xfId="286"/>
    <cellStyle name="Normal 85" xfId="287"/>
    <cellStyle name="Normal 85 2" xfId="288"/>
    <cellStyle name="Normal 86" xfId="289"/>
    <cellStyle name="Normal 86 2" xfId="290"/>
    <cellStyle name="Normal 87" xfId="291"/>
    <cellStyle name="Normal 87 2" xfId="292"/>
    <cellStyle name="Normal 88" xfId="293"/>
    <cellStyle name="Normal 88 2" xfId="294"/>
    <cellStyle name="Normal 89" xfId="295"/>
    <cellStyle name="Normal 89 2" xfId="1162"/>
    <cellStyle name="Normal 89 2 2" xfId="1829"/>
    <cellStyle name="Normal 89 2 2 2" xfId="3277"/>
    <cellStyle name="Normal 89 2 2 2 2" xfId="6199"/>
    <cellStyle name="Normal 89 2 2 3" xfId="4754"/>
    <cellStyle name="Normal 89 2 3" xfId="2683"/>
    <cellStyle name="Normal 89 2 3 2" xfId="5605"/>
    <cellStyle name="Normal 89 2 4" xfId="4132"/>
    <cellStyle name="Normal 89 3" xfId="557"/>
    <cellStyle name="Normal 89 3 2" xfId="1461"/>
    <cellStyle name="Normal 89 3 2 2" xfId="2929"/>
    <cellStyle name="Normal 89 3 2 2 2" xfId="5851"/>
    <cellStyle name="Normal 89 3 2 3" xfId="4386"/>
    <cellStyle name="Normal 89 3 3" xfId="2335"/>
    <cellStyle name="Normal 89 3 3 2" xfId="5257"/>
    <cellStyle name="Normal 89 3 4" xfId="3784"/>
    <cellStyle name="Normal 89 4" xfId="1286"/>
    <cellStyle name="Normal 89 4 2" xfId="2754"/>
    <cellStyle name="Normal 89 4 2 2" xfId="5676"/>
    <cellStyle name="Normal 89 4 3" xfId="4211"/>
    <cellStyle name="Normal 89 5" xfId="2114"/>
    <cellStyle name="Normal 89 5 2" xfId="3558"/>
    <cellStyle name="Normal 89 5 2 2" xfId="6480"/>
    <cellStyle name="Normal 89 5 3" xfId="5036"/>
    <cellStyle name="Normal 89 6" xfId="2160"/>
    <cellStyle name="Normal 89 6 2" xfId="5082"/>
    <cellStyle name="Normal 89 7" xfId="3604"/>
    <cellStyle name="Normal 89 8" xfId="6699"/>
    <cellStyle name="Normal 9" xfId="296"/>
    <cellStyle name="Normal 9 2" xfId="481"/>
    <cellStyle name="Normal 9 3" xfId="1163"/>
    <cellStyle name="Normal 90" xfId="297"/>
    <cellStyle name="Normal 90 2" xfId="298"/>
    <cellStyle name="Normal 91" xfId="299"/>
    <cellStyle name="Normal 91 2" xfId="300"/>
    <cellStyle name="Normal 92" xfId="301"/>
    <cellStyle name="Normal 92 2" xfId="302"/>
    <cellStyle name="Normal 93" xfId="303"/>
    <cellStyle name="Normal 93 2" xfId="304"/>
    <cellStyle name="Normal 94" xfId="305"/>
    <cellStyle name="Normal 95" xfId="306"/>
    <cellStyle name="Normal 96" xfId="307"/>
    <cellStyle name="Normal 97" xfId="308"/>
    <cellStyle name="Normal 98" xfId="309"/>
    <cellStyle name="Normal 99" xfId="310"/>
    <cellStyle name="Normal_Sheet1" xfId="311"/>
    <cellStyle name="Note 10" xfId="499"/>
    <cellStyle name="Note 10 2" xfId="677"/>
    <cellStyle name="Note 10 2 2" xfId="1581"/>
    <cellStyle name="Note 10 2 2 2" xfId="3049"/>
    <cellStyle name="Note 10 2 2 2 2" xfId="5971"/>
    <cellStyle name="Note 10 2 2 3" xfId="4506"/>
    <cellStyle name="Note 10 2 3" xfId="2455"/>
    <cellStyle name="Note 10 2 3 2" xfId="5377"/>
    <cellStyle name="Note 10 2 4" xfId="3904"/>
    <cellStyle name="Note 10 3" xfId="1406"/>
    <cellStyle name="Note 10 3 2" xfId="2874"/>
    <cellStyle name="Note 10 3 2 2" xfId="5796"/>
    <cellStyle name="Note 10 3 3" xfId="4331"/>
    <cellStyle name="Note 10 4" xfId="2280"/>
    <cellStyle name="Note 10 4 2" xfId="5202"/>
    <cellStyle name="Note 10 5" xfId="3729"/>
    <cellStyle name="Note 11" xfId="1236"/>
    <cellStyle name="Note 11 2" xfId="1854"/>
    <cellStyle name="Note 11 2 2" xfId="3302"/>
    <cellStyle name="Note 11 2 2 2" xfId="6224"/>
    <cellStyle name="Note 11 2 3" xfId="4779"/>
    <cellStyle name="Note 11 3" xfId="2708"/>
    <cellStyle name="Note 11 3 2" xfId="5630"/>
    <cellStyle name="Note 11 4" xfId="4161"/>
    <cellStyle name="Note 12" xfId="1871"/>
    <cellStyle name="Note 12 2" xfId="3319"/>
    <cellStyle name="Note 12 2 2" xfId="6241"/>
    <cellStyle name="Note 12 3" xfId="4796"/>
    <cellStyle name="Note 2" xfId="312"/>
    <cellStyle name="Note 2 2" xfId="313"/>
    <cellStyle name="Note 2 2 2" xfId="3606"/>
    <cellStyle name="Note 2 3" xfId="3605"/>
    <cellStyle name="Note 3" xfId="314"/>
    <cellStyle name="Note 3 2" xfId="3607"/>
    <cellStyle name="Note 4" xfId="390"/>
    <cellStyle name="Note 4 2" xfId="1164"/>
    <cellStyle name="Note 4 2 2" xfId="1830"/>
    <cellStyle name="Note 4 2 2 2" xfId="3278"/>
    <cellStyle name="Note 4 2 2 2 2" xfId="6200"/>
    <cellStyle name="Note 4 2 2 3" xfId="4755"/>
    <cellStyle name="Note 4 2 3" xfId="2684"/>
    <cellStyle name="Note 4 2 3 2" xfId="5606"/>
    <cellStyle name="Note 4 2 4" xfId="4133"/>
    <cellStyle name="Note 4 3" xfId="572"/>
    <cellStyle name="Note 4 3 2" xfId="1476"/>
    <cellStyle name="Note 4 3 2 2" xfId="2944"/>
    <cellStyle name="Note 4 3 2 2 2" xfId="5866"/>
    <cellStyle name="Note 4 3 2 3" xfId="4401"/>
    <cellStyle name="Note 4 3 3" xfId="2350"/>
    <cellStyle name="Note 4 3 3 2" xfId="5272"/>
    <cellStyle name="Note 4 3 4" xfId="3799"/>
    <cellStyle name="Note 4 4" xfId="1301"/>
    <cellStyle name="Note 4 4 2" xfId="2769"/>
    <cellStyle name="Note 4 4 2 2" xfId="5691"/>
    <cellStyle name="Note 4 4 3" xfId="4226"/>
    <cellStyle name="Note 4 5" xfId="2115"/>
    <cellStyle name="Note 4 5 2" xfId="3559"/>
    <cellStyle name="Note 4 5 2 2" xfId="6481"/>
    <cellStyle name="Note 4 5 3" xfId="5037"/>
    <cellStyle name="Note 4 6" xfId="2175"/>
    <cellStyle name="Note 4 6 2" xfId="5097"/>
    <cellStyle name="Note 4 7" xfId="3624"/>
    <cellStyle name="Note 4 8" xfId="6700"/>
    <cellStyle name="Note 5" xfId="394"/>
    <cellStyle name="Note 5 2" xfId="1165"/>
    <cellStyle name="Note 5 2 2" xfId="1831"/>
    <cellStyle name="Note 5 2 2 2" xfId="3279"/>
    <cellStyle name="Note 5 2 2 2 2" xfId="6201"/>
    <cellStyle name="Note 5 2 2 3" xfId="4756"/>
    <cellStyle name="Note 5 2 3" xfId="2685"/>
    <cellStyle name="Note 5 2 3 2" xfId="5607"/>
    <cellStyle name="Note 5 2 4" xfId="4134"/>
    <cellStyle name="Note 5 3" xfId="576"/>
    <cellStyle name="Note 5 3 2" xfId="1480"/>
    <cellStyle name="Note 5 3 2 2" xfId="2948"/>
    <cellStyle name="Note 5 3 2 2 2" xfId="5870"/>
    <cellStyle name="Note 5 3 2 3" xfId="4405"/>
    <cellStyle name="Note 5 3 3" xfId="2354"/>
    <cellStyle name="Note 5 3 3 2" xfId="5276"/>
    <cellStyle name="Note 5 3 4" xfId="3803"/>
    <cellStyle name="Note 5 4" xfId="1305"/>
    <cellStyle name="Note 5 4 2" xfId="2773"/>
    <cellStyle name="Note 5 4 2 2" xfId="5695"/>
    <cellStyle name="Note 5 4 3" xfId="4230"/>
    <cellStyle name="Note 5 5" xfId="2116"/>
    <cellStyle name="Note 5 5 2" xfId="3560"/>
    <cellStyle name="Note 5 5 2 2" xfId="6482"/>
    <cellStyle name="Note 5 5 3" xfId="5038"/>
    <cellStyle name="Note 5 6" xfId="2179"/>
    <cellStyle name="Note 5 6 2" xfId="5101"/>
    <cellStyle name="Note 5 7" xfId="3628"/>
    <cellStyle name="Note 5 8" xfId="6701"/>
    <cellStyle name="Note 6" xfId="415"/>
    <cellStyle name="Note 6 2" xfId="1166"/>
    <cellStyle name="Note 6 2 2" xfId="1832"/>
    <cellStyle name="Note 6 2 2 2" xfId="3280"/>
    <cellStyle name="Note 6 2 2 2 2" xfId="6202"/>
    <cellStyle name="Note 6 2 2 3" xfId="4757"/>
    <cellStyle name="Note 6 2 3" xfId="2686"/>
    <cellStyle name="Note 6 2 3 2" xfId="5608"/>
    <cellStyle name="Note 6 2 4" xfId="4135"/>
    <cellStyle name="Note 6 3" xfId="597"/>
    <cellStyle name="Note 6 3 2" xfId="1501"/>
    <cellStyle name="Note 6 3 2 2" xfId="2969"/>
    <cellStyle name="Note 6 3 2 2 2" xfId="5891"/>
    <cellStyle name="Note 6 3 2 3" xfId="4426"/>
    <cellStyle name="Note 6 3 3" xfId="2375"/>
    <cellStyle name="Note 6 3 3 2" xfId="5297"/>
    <cellStyle name="Note 6 3 4" xfId="3824"/>
    <cellStyle name="Note 6 4" xfId="1326"/>
    <cellStyle name="Note 6 4 2" xfId="2794"/>
    <cellStyle name="Note 6 4 2 2" xfId="5716"/>
    <cellStyle name="Note 6 4 3" xfId="4251"/>
    <cellStyle name="Note 6 5" xfId="2117"/>
    <cellStyle name="Note 6 5 2" xfId="3561"/>
    <cellStyle name="Note 6 5 2 2" xfId="6483"/>
    <cellStyle name="Note 6 5 3" xfId="5039"/>
    <cellStyle name="Note 6 6" xfId="2200"/>
    <cellStyle name="Note 6 6 2" xfId="5122"/>
    <cellStyle name="Note 6 7" xfId="3649"/>
    <cellStyle name="Note 6 8" xfId="6702"/>
    <cellStyle name="Note 7" xfId="430"/>
    <cellStyle name="Note 7 2" xfId="1167"/>
    <cellStyle name="Note 7 2 2" xfId="1833"/>
    <cellStyle name="Note 7 2 2 2" xfId="3281"/>
    <cellStyle name="Note 7 2 2 2 2" xfId="6203"/>
    <cellStyle name="Note 7 2 2 3" xfId="4758"/>
    <cellStyle name="Note 7 2 3" xfId="2687"/>
    <cellStyle name="Note 7 2 3 2" xfId="5609"/>
    <cellStyle name="Note 7 2 4" xfId="4136"/>
    <cellStyle name="Note 7 3" xfId="612"/>
    <cellStyle name="Note 7 3 2" xfId="1516"/>
    <cellStyle name="Note 7 3 2 2" xfId="2984"/>
    <cellStyle name="Note 7 3 2 2 2" xfId="5906"/>
    <cellStyle name="Note 7 3 2 3" xfId="4441"/>
    <cellStyle name="Note 7 3 3" xfId="2390"/>
    <cellStyle name="Note 7 3 3 2" xfId="5312"/>
    <cellStyle name="Note 7 3 4" xfId="3839"/>
    <cellStyle name="Note 7 4" xfId="1341"/>
    <cellStyle name="Note 7 4 2" xfId="2809"/>
    <cellStyle name="Note 7 4 2 2" xfId="5731"/>
    <cellStyle name="Note 7 4 3" xfId="4266"/>
    <cellStyle name="Note 7 5" xfId="2118"/>
    <cellStyle name="Note 7 5 2" xfId="3562"/>
    <cellStyle name="Note 7 5 2 2" xfId="6484"/>
    <cellStyle name="Note 7 5 3" xfId="5040"/>
    <cellStyle name="Note 7 6" xfId="2215"/>
    <cellStyle name="Note 7 6 2" xfId="5137"/>
    <cellStyle name="Note 7 7" xfId="3664"/>
    <cellStyle name="Note 7 8" xfId="6703"/>
    <cellStyle name="Note 8" xfId="444"/>
    <cellStyle name="Note 8 2" xfId="1168"/>
    <cellStyle name="Note 8 2 2" xfId="1834"/>
    <cellStyle name="Note 8 2 2 2" xfId="3282"/>
    <cellStyle name="Note 8 2 2 2 2" xfId="6204"/>
    <cellStyle name="Note 8 2 2 3" xfId="4759"/>
    <cellStyle name="Note 8 2 3" xfId="2688"/>
    <cellStyle name="Note 8 2 3 2" xfId="5610"/>
    <cellStyle name="Note 8 2 4" xfId="4137"/>
    <cellStyle name="Note 8 3" xfId="626"/>
    <cellStyle name="Note 8 3 2" xfId="1530"/>
    <cellStyle name="Note 8 3 2 2" xfId="2998"/>
    <cellStyle name="Note 8 3 2 2 2" xfId="5920"/>
    <cellStyle name="Note 8 3 2 3" xfId="4455"/>
    <cellStyle name="Note 8 3 3" xfId="2404"/>
    <cellStyle name="Note 8 3 3 2" xfId="5326"/>
    <cellStyle name="Note 8 3 4" xfId="3853"/>
    <cellStyle name="Note 8 4" xfId="1355"/>
    <cellStyle name="Note 8 4 2" xfId="2823"/>
    <cellStyle name="Note 8 4 2 2" xfId="5745"/>
    <cellStyle name="Note 8 4 3" xfId="4280"/>
    <cellStyle name="Note 8 5" xfId="2119"/>
    <cellStyle name="Note 8 5 2" xfId="3563"/>
    <cellStyle name="Note 8 5 2 2" xfId="6485"/>
    <cellStyle name="Note 8 5 3" xfId="5041"/>
    <cellStyle name="Note 8 6" xfId="2229"/>
    <cellStyle name="Note 8 6 2" xfId="5151"/>
    <cellStyle name="Note 8 7" xfId="3678"/>
    <cellStyle name="Note 8 8" xfId="6704"/>
    <cellStyle name="Note 9" xfId="463"/>
    <cellStyle name="Note 9 2" xfId="1169"/>
    <cellStyle name="Note 9 2 2" xfId="1835"/>
    <cellStyle name="Note 9 2 2 2" xfId="3283"/>
    <cellStyle name="Note 9 2 2 2 2" xfId="6205"/>
    <cellStyle name="Note 9 2 2 3" xfId="4760"/>
    <cellStyle name="Note 9 2 3" xfId="2689"/>
    <cellStyle name="Note 9 2 3 2" xfId="5611"/>
    <cellStyle name="Note 9 2 4" xfId="4138"/>
    <cellStyle name="Note 9 3" xfId="645"/>
    <cellStyle name="Note 9 3 2" xfId="1549"/>
    <cellStyle name="Note 9 3 2 2" xfId="3017"/>
    <cellStyle name="Note 9 3 2 2 2" xfId="5939"/>
    <cellStyle name="Note 9 3 2 3" xfId="4474"/>
    <cellStyle name="Note 9 3 3" xfId="2423"/>
    <cellStyle name="Note 9 3 3 2" xfId="5345"/>
    <cellStyle name="Note 9 3 4" xfId="3872"/>
    <cellStyle name="Note 9 4" xfId="1374"/>
    <cellStyle name="Note 9 4 2" xfId="2842"/>
    <cellStyle name="Note 9 4 2 2" xfId="5764"/>
    <cellStyle name="Note 9 4 3" xfId="4299"/>
    <cellStyle name="Note 9 5" xfId="2120"/>
    <cellStyle name="Note 9 5 2" xfId="3564"/>
    <cellStyle name="Note 9 5 2 2" xfId="6486"/>
    <cellStyle name="Note 9 5 3" xfId="5042"/>
    <cellStyle name="Note 9 6" xfId="2248"/>
    <cellStyle name="Note 9 6 2" xfId="5170"/>
    <cellStyle name="Note 9 7" xfId="3697"/>
    <cellStyle name="Note 9 8" xfId="6705"/>
    <cellStyle name="Output" xfId="357" builtinId="21" customBuiltin="1"/>
    <cellStyle name="Output 2" xfId="315"/>
    <cellStyle name="Output 2 2" xfId="1170"/>
    <cellStyle name="Output 2 2 2" xfId="4139"/>
    <cellStyle name="Output 2 3" xfId="3608"/>
    <cellStyle name="Output 3" xfId="1171"/>
    <cellStyle name="Output 3 2" xfId="4140"/>
    <cellStyle name="Percent" xfId="316" builtinId="5"/>
    <cellStyle name="Percent [2]" xfId="317"/>
    <cellStyle name="Percent [2] 2" xfId="318"/>
    <cellStyle name="Percent 10" xfId="319"/>
    <cellStyle name="Percent 10 2" xfId="1172"/>
    <cellStyle name="Percent 11" xfId="320"/>
    <cellStyle name="Percent 11 2" xfId="1173"/>
    <cellStyle name="Percent 12" xfId="321"/>
    <cellStyle name="Percent 12 2" xfId="1174"/>
    <cellStyle name="Percent 13" xfId="322"/>
    <cellStyle name="Percent 14" xfId="323"/>
    <cellStyle name="Percent 15" xfId="324"/>
    <cellStyle name="Percent 16" xfId="325"/>
    <cellStyle name="Percent 17" xfId="326"/>
    <cellStyle name="Percent 18" xfId="327"/>
    <cellStyle name="Percent 19" xfId="328"/>
    <cellStyle name="Percent 2" xfId="329"/>
    <cellStyle name="Percent 20" xfId="330"/>
    <cellStyle name="Percent 21" xfId="331"/>
    <cellStyle name="Percent 21 2" xfId="1175"/>
    <cellStyle name="Percent 22" xfId="332"/>
    <cellStyle name="Percent 23" xfId="333"/>
    <cellStyle name="Percent 24" xfId="334"/>
    <cellStyle name="Percent 25" xfId="335"/>
    <cellStyle name="Percent 26" xfId="459"/>
    <cellStyle name="Percent 26 2" xfId="1177"/>
    <cellStyle name="Percent 26 3" xfId="1178"/>
    <cellStyle name="Percent 26 4" xfId="1179"/>
    <cellStyle name="Percent 26 4 2" xfId="1836"/>
    <cellStyle name="Percent 26 4 2 2" xfId="3284"/>
    <cellStyle name="Percent 26 4 2 2 2" xfId="6206"/>
    <cellStyle name="Percent 26 4 2 3" xfId="4761"/>
    <cellStyle name="Percent 26 4 3" xfId="2121"/>
    <cellStyle name="Percent 26 4 3 2" xfId="3565"/>
    <cellStyle name="Percent 26 4 3 2 2" xfId="6487"/>
    <cellStyle name="Percent 26 4 3 3" xfId="5043"/>
    <cellStyle name="Percent 26 4 4" xfId="2690"/>
    <cellStyle name="Percent 26 4 4 2" xfId="5612"/>
    <cellStyle name="Percent 26 4 5" xfId="4141"/>
    <cellStyle name="Percent 26 4 6" xfId="6706"/>
    <cellStyle name="Percent 26 5" xfId="1176"/>
    <cellStyle name="Percent 26 6" xfId="641"/>
    <cellStyle name="Percent 26 6 2" xfId="1545"/>
    <cellStyle name="Percent 26 6 2 2" xfId="3013"/>
    <cellStyle name="Percent 26 6 2 2 2" xfId="5935"/>
    <cellStyle name="Percent 26 6 2 3" xfId="4470"/>
    <cellStyle name="Percent 26 6 3" xfId="2419"/>
    <cellStyle name="Percent 26 6 3 2" xfId="5341"/>
    <cellStyle name="Percent 26 6 4" xfId="3868"/>
    <cellStyle name="Percent 26 7" xfId="1370"/>
    <cellStyle name="Percent 26 7 2" xfId="2838"/>
    <cellStyle name="Percent 26 7 2 2" xfId="5760"/>
    <cellStyle name="Percent 26 7 3" xfId="4295"/>
    <cellStyle name="Percent 26 8" xfId="2244"/>
    <cellStyle name="Percent 26 8 2" xfId="5166"/>
    <cellStyle name="Percent 26 9" xfId="3693"/>
    <cellStyle name="Percent 27" xfId="461"/>
    <cellStyle name="Percent 27 2" xfId="1181"/>
    <cellStyle name="Percent 27 3" xfId="1182"/>
    <cellStyle name="Percent 27 4" xfId="1183"/>
    <cellStyle name="Percent 27 4 2" xfId="1837"/>
    <cellStyle name="Percent 27 4 2 2" xfId="3285"/>
    <cellStyle name="Percent 27 4 2 2 2" xfId="6207"/>
    <cellStyle name="Percent 27 4 2 3" xfId="4762"/>
    <cellStyle name="Percent 27 4 3" xfId="2122"/>
    <cellStyle name="Percent 27 4 3 2" xfId="3566"/>
    <cellStyle name="Percent 27 4 3 2 2" xfId="6488"/>
    <cellStyle name="Percent 27 4 3 3" xfId="5044"/>
    <cellStyle name="Percent 27 4 4" xfId="2691"/>
    <cellStyle name="Percent 27 4 4 2" xfId="5613"/>
    <cellStyle name="Percent 27 4 5" xfId="4142"/>
    <cellStyle name="Percent 27 4 6" xfId="6707"/>
    <cellStyle name="Percent 27 5" xfId="1180"/>
    <cellStyle name="Percent 27 6" xfId="643"/>
    <cellStyle name="Percent 27 6 2" xfId="1547"/>
    <cellStyle name="Percent 27 6 2 2" xfId="3015"/>
    <cellStyle name="Percent 27 6 2 2 2" xfId="5937"/>
    <cellStyle name="Percent 27 6 2 3" xfId="4472"/>
    <cellStyle name="Percent 27 6 3" xfId="2421"/>
    <cellStyle name="Percent 27 6 3 2" xfId="5343"/>
    <cellStyle name="Percent 27 6 4" xfId="3870"/>
    <cellStyle name="Percent 27 7" xfId="1372"/>
    <cellStyle name="Percent 27 7 2" xfId="2840"/>
    <cellStyle name="Percent 27 7 2 2" xfId="5762"/>
    <cellStyle name="Percent 27 7 3" xfId="4297"/>
    <cellStyle name="Percent 27 8" xfId="2246"/>
    <cellStyle name="Percent 27 8 2" xfId="5168"/>
    <cellStyle name="Percent 27 9" xfId="3695"/>
    <cellStyle name="Percent 28" xfId="462"/>
    <cellStyle name="Percent 28 2" xfId="1185"/>
    <cellStyle name="Percent 28 3" xfId="1186"/>
    <cellStyle name="Percent 28 4" xfId="1187"/>
    <cellStyle name="Percent 28 4 2" xfId="1838"/>
    <cellStyle name="Percent 28 4 2 2" xfId="3286"/>
    <cellStyle name="Percent 28 4 2 2 2" xfId="6208"/>
    <cellStyle name="Percent 28 4 2 3" xfId="4763"/>
    <cellStyle name="Percent 28 4 3" xfId="2123"/>
    <cellStyle name="Percent 28 4 3 2" xfId="3567"/>
    <cellStyle name="Percent 28 4 3 2 2" xfId="6489"/>
    <cellStyle name="Percent 28 4 3 3" xfId="5045"/>
    <cellStyle name="Percent 28 4 4" xfId="2692"/>
    <cellStyle name="Percent 28 4 4 2" xfId="5614"/>
    <cellStyle name="Percent 28 4 5" xfId="4143"/>
    <cellStyle name="Percent 28 4 6" xfId="6708"/>
    <cellStyle name="Percent 28 5" xfId="1184"/>
    <cellStyle name="Percent 28 6" xfId="644"/>
    <cellStyle name="Percent 28 6 2" xfId="1548"/>
    <cellStyle name="Percent 28 6 2 2" xfId="3016"/>
    <cellStyle name="Percent 28 6 2 2 2" xfId="5938"/>
    <cellStyle name="Percent 28 6 2 3" xfId="4473"/>
    <cellStyle name="Percent 28 6 3" xfId="2422"/>
    <cellStyle name="Percent 28 6 3 2" xfId="5344"/>
    <cellStyle name="Percent 28 6 4" xfId="3871"/>
    <cellStyle name="Percent 28 7" xfId="1373"/>
    <cellStyle name="Percent 28 7 2" xfId="2841"/>
    <cellStyle name="Percent 28 7 2 2" xfId="5763"/>
    <cellStyle name="Percent 28 7 3" xfId="4298"/>
    <cellStyle name="Percent 28 8" xfId="2247"/>
    <cellStyle name="Percent 28 8 2" xfId="5169"/>
    <cellStyle name="Percent 28 9" xfId="3696"/>
    <cellStyle name="Percent 29" xfId="479"/>
    <cellStyle name="Percent 29 2" xfId="1189"/>
    <cellStyle name="Percent 29 3" xfId="1188"/>
    <cellStyle name="Percent 29 4" xfId="661"/>
    <cellStyle name="Percent 29 4 2" xfId="1565"/>
    <cellStyle name="Percent 29 4 2 2" xfId="3033"/>
    <cellStyle name="Percent 29 4 2 2 2" xfId="5955"/>
    <cellStyle name="Percent 29 4 2 3" xfId="4490"/>
    <cellStyle name="Percent 29 4 3" xfId="2439"/>
    <cellStyle name="Percent 29 4 3 2" xfId="5361"/>
    <cellStyle name="Percent 29 4 4" xfId="3888"/>
    <cellStyle name="Percent 29 5" xfId="1390"/>
    <cellStyle name="Percent 29 5 2" xfId="2858"/>
    <cellStyle name="Percent 29 5 2 2" xfId="5780"/>
    <cellStyle name="Percent 29 5 3" xfId="4315"/>
    <cellStyle name="Percent 29 6" xfId="2264"/>
    <cellStyle name="Percent 29 6 2" xfId="5186"/>
    <cellStyle name="Percent 29 7" xfId="3713"/>
    <cellStyle name="Percent 3" xfId="336"/>
    <cellStyle name="Percent 30" xfId="1190"/>
    <cellStyle name="Percent 30 2" xfId="1191"/>
    <cellStyle name="Percent 31" xfId="1192"/>
    <cellStyle name="Percent 31 2" xfId="1193"/>
    <cellStyle name="Percent 32" xfId="1194"/>
    <cellStyle name="Percent 32 2" xfId="1195"/>
    <cellStyle name="Percent 33" xfId="1196"/>
    <cellStyle name="Percent 33 2" xfId="1197"/>
    <cellStyle name="Percent 34" xfId="1198"/>
    <cellStyle name="Percent 34 2" xfId="1199"/>
    <cellStyle name="Percent 35" xfId="1200"/>
    <cellStyle name="Percent 35 2" xfId="1201"/>
    <cellStyle name="Percent 36" xfId="1202"/>
    <cellStyle name="Percent 36 2" xfId="1203"/>
    <cellStyle name="Percent 37" xfId="1204"/>
    <cellStyle name="Percent 37 2" xfId="1205"/>
    <cellStyle name="Percent 38" xfId="1206"/>
    <cellStyle name="Percent 38 2" xfId="1207"/>
    <cellStyle name="Percent 39" xfId="1208"/>
    <cellStyle name="Percent 39 2" xfId="1209"/>
    <cellStyle name="Percent 4" xfId="337"/>
    <cellStyle name="Percent 40" xfId="1210"/>
    <cellStyle name="Percent 40 2" xfId="1211"/>
    <cellStyle name="Percent 41" xfId="1212"/>
    <cellStyle name="Percent 42" xfId="1213"/>
    <cellStyle name="Percent 42 2" xfId="1839"/>
    <cellStyle name="Percent 42 2 2" xfId="3287"/>
    <cellStyle name="Percent 42 2 2 2" xfId="6209"/>
    <cellStyle name="Percent 42 2 3" xfId="4764"/>
    <cellStyle name="Percent 42 3" xfId="2124"/>
    <cellStyle name="Percent 42 3 2" xfId="3568"/>
    <cellStyle name="Percent 42 3 2 2" xfId="6490"/>
    <cellStyle name="Percent 42 3 3" xfId="5046"/>
    <cellStyle name="Percent 42 4" xfId="2693"/>
    <cellStyle name="Percent 42 4 2" xfId="5615"/>
    <cellStyle name="Percent 42 5" xfId="4144"/>
    <cellStyle name="Percent 42 6" xfId="6709"/>
    <cellStyle name="Percent 43" xfId="1214"/>
    <cellStyle name="Percent 43 2" xfId="1840"/>
    <cellStyle name="Percent 43 2 2" xfId="3288"/>
    <cellStyle name="Percent 43 2 2 2" xfId="6210"/>
    <cellStyle name="Percent 43 2 3" xfId="4765"/>
    <cellStyle name="Percent 43 3" xfId="2125"/>
    <cellStyle name="Percent 43 3 2" xfId="3569"/>
    <cellStyle name="Percent 43 3 2 2" xfId="6491"/>
    <cellStyle name="Percent 43 3 3" xfId="5047"/>
    <cellStyle name="Percent 43 4" xfId="2694"/>
    <cellStyle name="Percent 43 4 2" xfId="5616"/>
    <cellStyle name="Percent 43 5" xfId="4145"/>
    <cellStyle name="Percent 43 6" xfId="6710"/>
    <cellStyle name="Percent 44" xfId="1226"/>
    <cellStyle name="Percent 44 2" xfId="1844"/>
    <cellStyle name="Percent 44 2 2" xfId="3292"/>
    <cellStyle name="Percent 44 2 2 2" xfId="6214"/>
    <cellStyle name="Percent 44 2 3" xfId="4769"/>
    <cellStyle name="Percent 44 3" xfId="2698"/>
    <cellStyle name="Percent 44 3 2" xfId="5620"/>
    <cellStyle name="Percent 44 4" xfId="4151"/>
    <cellStyle name="Percent 45" xfId="1229"/>
    <cellStyle name="Percent 45 2" xfId="1847"/>
    <cellStyle name="Percent 45 2 2" xfId="3295"/>
    <cellStyle name="Percent 45 2 2 2" xfId="6217"/>
    <cellStyle name="Percent 45 2 3" xfId="4772"/>
    <cellStyle name="Percent 45 3" xfId="2701"/>
    <cellStyle name="Percent 45 3 2" xfId="5623"/>
    <cellStyle name="Percent 45 4" xfId="4154"/>
    <cellStyle name="Percent 46" xfId="1231"/>
    <cellStyle name="Percent 46 2" xfId="1849"/>
    <cellStyle name="Percent 46 2 2" xfId="3297"/>
    <cellStyle name="Percent 46 2 2 2" xfId="6219"/>
    <cellStyle name="Percent 46 2 3" xfId="4774"/>
    <cellStyle name="Percent 46 3" xfId="2703"/>
    <cellStyle name="Percent 46 3 2" xfId="5625"/>
    <cellStyle name="Percent 46 4" xfId="4156"/>
    <cellStyle name="Percent 47" xfId="1906"/>
    <cellStyle name="Percent 47 2" xfId="3351"/>
    <cellStyle name="Percent 47 2 2" xfId="6273"/>
    <cellStyle name="Percent 47 3" xfId="4829"/>
    <cellStyle name="Percent 5" xfId="338"/>
    <cellStyle name="Percent 6" xfId="339"/>
    <cellStyle name="Percent 6 2" xfId="1215"/>
    <cellStyle name="Percent 7" xfId="340"/>
    <cellStyle name="Percent 7 2" xfId="1216"/>
    <cellStyle name="Percent 8" xfId="341"/>
    <cellStyle name="Percent 8 2" xfId="1217"/>
    <cellStyle name="Percent 9" xfId="342"/>
    <cellStyle name="Percent 9 2" xfId="1218"/>
    <cellStyle name="RevList" xfId="343"/>
    <cellStyle name="Subtotal" xfId="344"/>
    <cellStyle name="Title" xfId="348" builtinId="15" customBuiltin="1"/>
    <cellStyle name="Title 2" xfId="345"/>
    <cellStyle name="Title 2 2" xfId="1219"/>
    <cellStyle name="Title 3" xfId="1220"/>
    <cellStyle name="Total" xfId="363" builtinId="25" customBuiltin="1"/>
    <cellStyle name="Total 2" xfId="346"/>
    <cellStyle name="Total 2 2" xfId="1221"/>
    <cellStyle name="Total 2 2 2" xfId="4146"/>
    <cellStyle name="Total 2 3" xfId="3609"/>
    <cellStyle name="Total 3" xfId="1222"/>
    <cellStyle name="Total 3 2" xfId="4147"/>
    <cellStyle name="Warning Text" xfId="361" builtinId="11" customBuiltin="1"/>
    <cellStyle name="Warning Text 2" xfId="347"/>
  </cellStyles>
  <dxfs count="0"/>
  <tableStyles count="0" defaultTableStyle="TableStyleMedium2" defaultPivotStyle="PivotStyleLight16"/>
  <colors>
    <mruColors>
      <color rgb="FF7572B6"/>
      <color rgb="FF4E69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K139"/>
  <sheetViews>
    <sheetView showGridLines="0" tabSelected="1" zoomScaleNormal="100" workbookViewId="0">
      <selection activeCell="H23" sqref="H23"/>
    </sheetView>
  </sheetViews>
  <sheetFormatPr defaultRowHeight="12.75"/>
  <cols>
    <col min="1" max="1" width="3.44140625" style="592" bestFit="1" customWidth="1"/>
    <col min="2" max="2" width="18.6640625" style="592" bestFit="1" customWidth="1"/>
    <col min="3" max="7" width="11.77734375" style="592" customWidth="1"/>
    <col min="8" max="14" width="11.6640625" style="592" bestFit="1" customWidth="1"/>
    <col min="15" max="16384" width="8.88671875" style="592"/>
  </cols>
  <sheetData>
    <row r="2" spans="1:8">
      <c r="G2" s="891"/>
    </row>
    <row r="3" spans="1:8">
      <c r="A3" s="936" t="s">
        <v>0</v>
      </c>
      <c r="B3" s="936"/>
      <c r="C3" s="936"/>
      <c r="D3" s="936"/>
      <c r="E3" s="936"/>
      <c r="F3" s="936"/>
      <c r="G3" s="936"/>
    </row>
    <row r="4" spans="1:8">
      <c r="A4" s="937" t="s">
        <v>29</v>
      </c>
      <c r="B4" s="937"/>
      <c r="C4" s="937"/>
      <c r="D4" s="937"/>
      <c r="E4" s="937"/>
      <c r="F4" s="937"/>
      <c r="G4" s="937"/>
    </row>
    <row r="5" spans="1:8">
      <c r="A5" s="937" t="str">
        <f>"For the 13 Months Ended December 31, "&amp;Info!B3</f>
        <v>For the 13 Months Ended December 31, 2013</v>
      </c>
      <c r="B5" s="937"/>
      <c r="C5" s="937"/>
      <c r="D5" s="937"/>
      <c r="E5" s="937"/>
      <c r="F5" s="937"/>
      <c r="G5" s="937"/>
      <c r="H5" s="386"/>
    </row>
    <row r="6" spans="1:8">
      <c r="A6" s="593"/>
    </row>
    <row r="7" spans="1:8" s="595" customFormat="1">
      <c r="A7" s="594"/>
      <c r="B7" s="595" t="s">
        <v>1</v>
      </c>
      <c r="C7" s="595" t="s">
        <v>2</v>
      </c>
      <c r="D7" s="595" t="s">
        <v>3</v>
      </c>
      <c r="E7" s="595" t="s">
        <v>4</v>
      </c>
      <c r="F7" s="595" t="s">
        <v>5</v>
      </c>
      <c r="G7" s="595" t="s">
        <v>7</v>
      </c>
    </row>
    <row r="9" spans="1:8" ht="25.5">
      <c r="A9" s="603" t="s">
        <v>38</v>
      </c>
      <c r="B9" s="604" t="s">
        <v>46</v>
      </c>
      <c r="C9" s="605" t="s">
        <v>11</v>
      </c>
      <c r="D9" s="605" t="s">
        <v>12</v>
      </c>
      <c r="E9" s="605" t="s">
        <v>13</v>
      </c>
      <c r="F9" s="606" t="s">
        <v>356</v>
      </c>
      <c r="G9" s="607" t="s">
        <v>16</v>
      </c>
    </row>
    <row r="10" spans="1:8">
      <c r="A10" s="596">
        <v>1</v>
      </c>
      <c r="B10" s="546" t="str">
        <f>"December "&amp;Info!B2</f>
        <v>December 2012</v>
      </c>
      <c r="C10" s="597">
        <v>670531243.69999993</v>
      </c>
      <c r="D10" s="545">
        <v>261379965.25999999</v>
      </c>
      <c r="E10" s="597">
        <v>405439275.1099999</v>
      </c>
      <c r="F10" s="597">
        <v>84275469.900000021</v>
      </c>
      <c r="G10" s="6">
        <f t="shared" ref="G10:G22" si="0">+SUM(C10:F10)</f>
        <v>1421625953.9699998</v>
      </c>
      <c r="H10" s="883"/>
    </row>
    <row r="11" spans="1:8">
      <c r="A11" s="598">
        <f t="shared" ref="A11:A24" si="1">+A10+1</f>
        <v>2</v>
      </c>
      <c r="B11" s="546" t="str">
        <f>"January "&amp;Info!B3</f>
        <v>January 2013</v>
      </c>
      <c r="C11" s="597">
        <v>670073297.63999999</v>
      </c>
      <c r="D11" s="545">
        <v>261490217.70999998</v>
      </c>
      <c r="E11" s="597">
        <v>406532807.88999999</v>
      </c>
      <c r="F11" s="597">
        <v>85512675.300000012</v>
      </c>
      <c r="G11" s="6">
        <f t="shared" si="0"/>
        <v>1423608998.5399997</v>
      </c>
    </row>
    <row r="12" spans="1:8">
      <c r="A12" s="598">
        <f t="shared" si="1"/>
        <v>3</v>
      </c>
      <c r="B12" s="599" t="s">
        <v>17</v>
      </c>
      <c r="C12" s="597">
        <v>670037954.90999997</v>
      </c>
      <c r="D12" s="545">
        <v>263067655.62</v>
      </c>
      <c r="E12" s="597">
        <v>408220672.03000003</v>
      </c>
      <c r="F12" s="597">
        <v>85646401.270000026</v>
      </c>
      <c r="G12" s="6">
        <f t="shared" si="0"/>
        <v>1426972683.8299999</v>
      </c>
    </row>
    <row r="13" spans="1:8">
      <c r="A13" s="598">
        <f t="shared" si="1"/>
        <v>4</v>
      </c>
      <c r="B13" s="599" t="s">
        <v>18</v>
      </c>
      <c r="C13" s="597">
        <v>670199023.18000007</v>
      </c>
      <c r="D13" s="545">
        <v>262955562.63</v>
      </c>
      <c r="E13" s="597">
        <v>409053550.92000002</v>
      </c>
      <c r="F13" s="597">
        <v>85664177.160000041</v>
      </c>
      <c r="G13" s="6">
        <f t="shared" si="0"/>
        <v>1427872313.8900001</v>
      </c>
    </row>
    <row r="14" spans="1:8">
      <c r="A14" s="598">
        <f t="shared" si="1"/>
        <v>5</v>
      </c>
      <c r="B14" s="599" t="s">
        <v>19</v>
      </c>
      <c r="C14" s="597">
        <v>670255860.23000002</v>
      </c>
      <c r="D14" s="545">
        <v>263017294.5</v>
      </c>
      <c r="E14" s="597">
        <v>409585422.75999999</v>
      </c>
      <c r="F14" s="597">
        <v>85867177.960000023</v>
      </c>
      <c r="G14" s="6">
        <f t="shared" si="0"/>
        <v>1428725755.45</v>
      </c>
    </row>
    <row r="15" spans="1:8">
      <c r="A15" s="598">
        <f t="shared" si="1"/>
        <v>6</v>
      </c>
      <c r="B15" s="599" t="s">
        <v>20</v>
      </c>
      <c r="C15" s="597">
        <v>670280291.6500001</v>
      </c>
      <c r="D15" s="545">
        <v>263112281.40000004</v>
      </c>
      <c r="E15" s="597">
        <v>410350180.00999999</v>
      </c>
      <c r="F15" s="597">
        <v>86322109.530000031</v>
      </c>
      <c r="G15" s="6">
        <f t="shared" si="0"/>
        <v>1430064862.5900002</v>
      </c>
    </row>
    <row r="16" spans="1:8">
      <c r="A16" s="598">
        <f t="shared" si="1"/>
        <v>7</v>
      </c>
      <c r="B16" s="599" t="s">
        <v>21</v>
      </c>
      <c r="C16" s="597">
        <v>670590242.59000003</v>
      </c>
      <c r="D16" s="545">
        <v>263295195.22</v>
      </c>
      <c r="E16" s="597">
        <v>411148135.34999996</v>
      </c>
      <c r="F16" s="597">
        <v>87800921.460000023</v>
      </c>
      <c r="G16" s="6">
        <f t="shared" si="0"/>
        <v>1432834494.6200001</v>
      </c>
    </row>
    <row r="17" spans="1:11">
      <c r="A17" s="598">
        <f t="shared" si="1"/>
        <v>8</v>
      </c>
      <c r="B17" s="599" t="s">
        <v>22</v>
      </c>
      <c r="C17" s="597">
        <v>671448779.55999994</v>
      </c>
      <c r="D17" s="545">
        <v>263282713.66000003</v>
      </c>
      <c r="E17" s="597">
        <v>411390117.14999998</v>
      </c>
      <c r="F17" s="597">
        <v>87402851.780000016</v>
      </c>
      <c r="G17" s="6">
        <f t="shared" si="0"/>
        <v>1433524462.1499999</v>
      </c>
    </row>
    <row r="18" spans="1:11">
      <c r="A18" s="598">
        <f t="shared" si="1"/>
        <v>9</v>
      </c>
      <c r="B18" s="599" t="s">
        <v>23</v>
      </c>
      <c r="C18" s="597">
        <v>671405622.51999998</v>
      </c>
      <c r="D18" s="545">
        <v>263289002.65999997</v>
      </c>
      <c r="E18" s="597">
        <v>413311524.9000001</v>
      </c>
      <c r="F18" s="597">
        <v>87446897.070000008</v>
      </c>
      <c r="G18" s="6">
        <f t="shared" si="0"/>
        <v>1435453047.1499999</v>
      </c>
    </row>
    <row r="19" spans="1:11">
      <c r="A19" s="598">
        <f t="shared" si="1"/>
        <v>10</v>
      </c>
      <c r="B19" s="599" t="s">
        <v>24</v>
      </c>
      <c r="C19" s="597">
        <v>671496448.74000001</v>
      </c>
      <c r="D19" s="545">
        <v>263410420.07999998</v>
      </c>
      <c r="E19" s="597">
        <v>414253054.56</v>
      </c>
      <c r="F19" s="597">
        <v>87705684.88000001</v>
      </c>
      <c r="G19" s="6">
        <f t="shared" si="0"/>
        <v>1436865608.26</v>
      </c>
    </row>
    <row r="20" spans="1:11">
      <c r="A20" s="598">
        <f t="shared" si="1"/>
        <v>11</v>
      </c>
      <c r="B20" s="599" t="s">
        <v>25</v>
      </c>
      <c r="C20" s="597">
        <v>671676158.18000007</v>
      </c>
      <c r="D20" s="545">
        <v>263280056.39000002</v>
      </c>
      <c r="E20" s="597">
        <v>415154435.22000003</v>
      </c>
      <c r="F20" s="597">
        <v>89396947.350000024</v>
      </c>
      <c r="G20" s="6">
        <f t="shared" si="0"/>
        <v>1439507597.1399999</v>
      </c>
    </row>
    <row r="21" spans="1:11">
      <c r="A21" s="598">
        <f t="shared" si="1"/>
        <v>12</v>
      </c>
      <c r="B21" s="599" t="s">
        <v>26</v>
      </c>
      <c r="C21" s="597">
        <v>672794231.56000006</v>
      </c>
      <c r="D21" s="545">
        <v>263378690.52999997</v>
      </c>
      <c r="E21" s="597">
        <v>417076796.79000008</v>
      </c>
      <c r="F21" s="597">
        <v>90764990.620000005</v>
      </c>
      <c r="G21" s="6">
        <f t="shared" si="0"/>
        <v>1444014709.5</v>
      </c>
    </row>
    <row r="22" spans="1:11">
      <c r="A22" s="598">
        <f t="shared" si="1"/>
        <v>13</v>
      </c>
      <c r="B22" s="599" t="s">
        <v>27</v>
      </c>
      <c r="C22" s="597">
        <v>676176937.91999996</v>
      </c>
      <c r="D22" s="545">
        <v>270539159.75</v>
      </c>
      <c r="E22" s="597">
        <v>421781711.23000002</v>
      </c>
      <c r="F22" s="597">
        <v>90709637.530000016</v>
      </c>
      <c r="G22" s="6">
        <f t="shared" si="0"/>
        <v>1459207446.4300001</v>
      </c>
      <c r="H22" s="890"/>
    </row>
    <row r="23" spans="1:11">
      <c r="A23" s="598">
        <f t="shared" si="1"/>
        <v>14</v>
      </c>
      <c r="B23" s="599"/>
      <c r="C23" s="597"/>
      <c r="D23" s="597"/>
      <c r="E23" s="597"/>
      <c r="F23" s="597"/>
      <c r="G23" s="6"/>
      <c r="K23" s="592" t="s">
        <v>688</v>
      </c>
    </row>
    <row r="24" spans="1:11">
      <c r="A24" s="598">
        <f t="shared" si="1"/>
        <v>15</v>
      </c>
      <c r="B24" s="613" t="s">
        <v>28</v>
      </c>
      <c r="C24" s="611">
        <f>AVERAGE(C10:C22)</f>
        <v>671305084.02923083</v>
      </c>
      <c r="D24" s="611">
        <f>AVERAGE(D10:D22)</f>
        <v>263499862.72384614</v>
      </c>
      <c r="E24" s="611">
        <f>AVERAGE(E10:E22)</f>
        <v>411792129.53230768</v>
      </c>
      <c r="F24" s="611">
        <f>AVERAGE(F10:F22)</f>
        <v>87270457.062307701</v>
      </c>
      <c r="G24" s="612">
        <f>AVERAGE(G10:G22)</f>
        <v>1433867533.347692</v>
      </c>
    </row>
    <row r="25" spans="1:11">
      <c r="A25" s="598"/>
      <c r="B25" s="600"/>
      <c r="C25" s="7"/>
      <c r="D25" s="7"/>
      <c r="E25" s="7"/>
      <c r="F25" s="7"/>
      <c r="G25" s="8"/>
    </row>
    <row r="26" spans="1:11">
      <c r="A26" s="601"/>
    </row>
    <row r="27" spans="1:11">
      <c r="A27" s="602"/>
      <c r="F27" s="597"/>
    </row>
    <row r="28" spans="1:11">
      <c r="A28" s="602"/>
    </row>
    <row r="29" spans="1:11">
      <c r="A29" s="602"/>
    </row>
    <row r="30" spans="1:11">
      <c r="A30" s="602"/>
    </row>
    <row r="31" spans="1:11">
      <c r="A31" s="602"/>
    </row>
    <row r="32" spans="1:11">
      <c r="A32" s="602"/>
    </row>
    <row r="33" spans="1:1">
      <c r="A33" s="602"/>
    </row>
    <row r="34" spans="1:1">
      <c r="A34" s="602"/>
    </row>
    <row r="35" spans="1:1">
      <c r="A35" s="602"/>
    </row>
    <row r="36" spans="1:1">
      <c r="A36" s="602"/>
    </row>
    <row r="37" spans="1:1">
      <c r="A37" s="602"/>
    </row>
    <row r="38" spans="1:1">
      <c r="A38" s="602"/>
    </row>
    <row r="39" spans="1:1">
      <c r="A39" s="602"/>
    </row>
    <row r="40" spans="1:1">
      <c r="A40" s="602"/>
    </row>
    <row r="41" spans="1:1">
      <c r="A41" s="602"/>
    </row>
    <row r="42" spans="1:1">
      <c r="A42" s="602"/>
    </row>
    <row r="43" spans="1:1">
      <c r="A43" s="602"/>
    </row>
    <row r="44" spans="1:1">
      <c r="A44" s="602"/>
    </row>
    <row r="45" spans="1:1">
      <c r="A45" s="602"/>
    </row>
    <row r="46" spans="1:1">
      <c r="A46" s="602"/>
    </row>
    <row r="47" spans="1:1">
      <c r="A47" s="602"/>
    </row>
    <row r="48" spans="1:1">
      <c r="A48" s="602"/>
    </row>
    <row r="49" spans="1:1">
      <c r="A49" s="602"/>
    </row>
    <row r="50" spans="1:1">
      <c r="A50" s="602"/>
    </row>
    <row r="51" spans="1:1">
      <c r="A51" s="602"/>
    </row>
    <row r="52" spans="1:1">
      <c r="A52" s="602"/>
    </row>
    <row r="53" spans="1:1">
      <c r="A53" s="602"/>
    </row>
    <row r="54" spans="1:1">
      <c r="A54" s="602"/>
    </row>
    <row r="55" spans="1:1">
      <c r="A55" s="602"/>
    </row>
    <row r="56" spans="1:1">
      <c r="A56" s="602"/>
    </row>
    <row r="57" spans="1:1">
      <c r="A57" s="602"/>
    </row>
    <row r="58" spans="1:1">
      <c r="A58" s="602"/>
    </row>
    <row r="59" spans="1:1">
      <c r="A59" s="602"/>
    </row>
    <row r="60" spans="1:1">
      <c r="A60" s="602"/>
    </row>
    <row r="61" spans="1:1">
      <c r="A61" s="602"/>
    </row>
    <row r="62" spans="1:1">
      <c r="A62" s="602"/>
    </row>
    <row r="63" spans="1:1">
      <c r="A63" s="602"/>
    </row>
    <row r="64" spans="1:1">
      <c r="A64" s="602"/>
    </row>
    <row r="65" spans="1:1">
      <c r="A65" s="602"/>
    </row>
    <row r="66" spans="1:1">
      <c r="A66" s="602"/>
    </row>
    <row r="67" spans="1:1">
      <c r="A67" s="602"/>
    </row>
    <row r="68" spans="1:1">
      <c r="A68" s="602"/>
    </row>
    <row r="69" spans="1:1">
      <c r="A69" s="602"/>
    </row>
    <row r="70" spans="1:1">
      <c r="A70" s="602"/>
    </row>
    <row r="71" spans="1:1">
      <c r="A71" s="602"/>
    </row>
    <row r="72" spans="1:1">
      <c r="A72" s="602"/>
    </row>
    <row r="73" spans="1:1">
      <c r="A73" s="602"/>
    </row>
    <row r="74" spans="1:1">
      <c r="A74" s="602"/>
    </row>
    <row r="75" spans="1:1">
      <c r="A75" s="602"/>
    </row>
    <row r="76" spans="1:1">
      <c r="A76" s="602"/>
    </row>
    <row r="77" spans="1:1">
      <c r="A77" s="602"/>
    </row>
    <row r="78" spans="1:1">
      <c r="A78" s="602"/>
    </row>
    <row r="79" spans="1:1">
      <c r="A79" s="602"/>
    </row>
    <row r="80" spans="1:1">
      <c r="A80" s="602"/>
    </row>
    <row r="81" spans="1:1">
      <c r="A81" s="602"/>
    </row>
    <row r="82" spans="1:1">
      <c r="A82" s="602"/>
    </row>
    <row r="83" spans="1:1">
      <c r="A83" s="602"/>
    </row>
    <row r="84" spans="1:1">
      <c r="A84" s="602"/>
    </row>
    <row r="85" spans="1:1">
      <c r="A85" s="602"/>
    </row>
    <row r="86" spans="1:1">
      <c r="A86" s="602"/>
    </row>
    <row r="87" spans="1:1">
      <c r="A87" s="602"/>
    </row>
    <row r="88" spans="1:1">
      <c r="A88" s="602"/>
    </row>
    <row r="89" spans="1:1">
      <c r="A89" s="602"/>
    </row>
    <row r="90" spans="1:1">
      <c r="A90" s="602"/>
    </row>
    <row r="91" spans="1:1">
      <c r="A91" s="602"/>
    </row>
    <row r="92" spans="1:1">
      <c r="A92" s="602"/>
    </row>
    <row r="93" spans="1:1">
      <c r="A93" s="602"/>
    </row>
    <row r="94" spans="1:1">
      <c r="A94" s="602"/>
    </row>
    <row r="95" spans="1:1">
      <c r="A95" s="602"/>
    </row>
    <row r="96" spans="1:1">
      <c r="A96" s="602"/>
    </row>
    <row r="97" spans="1:1">
      <c r="A97" s="602"/>
    </row>
    <row r="98" spans="1:1">
      <c r="A98" s="602"/>
    </row>
    <row r="99" spans="1:1">
      <c r="A99" s="602"/>
    </row>
    <row r="100" spans="1:1">
      <c r="A100" s="602"/>
    </row>
    <row r="101" spans="1:1">
      <c r="A101" s="602"/>
    </row>
    <row r="102" spans="1:1">
      <c r="A102" s="602"/>
    </row>
    <row r="103" spans="1:1">
      <c r="A103" s="602"/>
    </row>
    <row r="104" spans="1:1">
      <c r="A104" s="602"/>
    </row>
    <row r="105" spans="1:1">
      <c r="A105" s="602"/>
    </row>
    <row r="106" spans="1:1">
      <c r="A106" s="602"/>
    </row>
    <row r="107" spans="1:1">
      <c r="A107" s="602"/>
    </row>
    <row r="108" spans="1:1">
      <c r="A108" s="602"/>
    </row>
    <row r="109" spans="1:1">
      <c r="A109" s="602"/>
    </row>
    <row r="110" spans="1:1">
      <c r="A110" s="602"/>
    </row>
    <row r="111" spans="1:1">
      <c r="A111" s="602"/>
    </row>
    <row r="112" spans="1:1">
      <c r="A112" s="602"/>
    </row>
    <row r="113" spans="1:1">
      <c r="A113" s="602"/>
    </row>
    <row r="114" spans="1:1">
      <c r="A114" s="602"/>
    </row>
    <row r="115" spans="1:1">
      <c r="A115" s="602"/>
    </row>
    <row r="116" spans="1:1">
      <c r="A116" s="602"/>
    </row>
    <row r="117" spans="1:1">
      <c r="A117" s="602"/>
    </row>
    <row r="118" spans="1:1">
      <c r="A118" s="602"/>
    </row>
    <row r="119" spans="1:1">
      <c r="A119" s="602"/>
    </row>
    <row r="120" spans="1:1">
      <c r="A120" s="602"/>
    </row>
    <row r="121" spans="1:1">
      <c r="A121" s="602"/>
    </row>
    <row r="122" spans="1:1">
      <c r="A122" s="602"/>
    </row>
    <row r="123" spans="1:1">
      <c r="A123" s="602"/>
    </row>
    <row r="124" spans="1:1">
      <c r="A124" s="602"/>
    </row>
    <row r="125" spans="1:1">
      <c r="A125" s="602"/>
    </row>
    <row r="126" spans="1:1">
      <c r="A126" s="602"/>
    </row>
    <row r="127" spans="1:1">
      <c r="A127" s="602"/>
    </row>
    <row r="128" spans="1:1">
      <c r="A128" s="602"/>
    </row>
    <row r="129" spans="1:1">
      <c r="A129" s="602"/>
    </row>
    <row r="130" spans="1:1">
      <c r="A130" s="602"/>
    </row>
    <row r="131" spans="1:1">
      <c r="A131" s="602"/>
    </row>
    <row r="132" spans="1:1">
      <c r="A132" s="602"/>
    </row>
    <row r="133" spans="1:1">
      <c r="A133" s="602"/>
    </row>
    <row r="134" spans="1:1">
      <c r="A134" s="602"/>
    </row>
    <row r="135" spans="1:1">
      <c r="A135" s="602"/>
    </row>
    <row r="136" spans="1:1">
      <c r="A136" s="602"/>
    </row>
    <row r="137" spans="1:1">
      <c r="A137" s="602"/>
    </row>
    <row r="138" spans="1:1">
      <c r="A138" s="602"/>
    </row>
    <row r="139" spans="1:1">
      <c r="A139" s="602"/>
    </row>
  </sheetData>
  <mergeCells count="3">
    <mergeCell ref="A3:G3"/>
    <mergeCell ref="A4:G4"/>
    <mergeCell ref="A5:G5"/>
  </mergeCells>
  <printOptions horizontalCentered="1"/>
  <pageMargins left="0.75" right="0.75" top="0.75" bottom="0.75" header="0.5" footer="0.3"/>
  <pageSetup scale="80" orientation="portrait" r:id="rId1"/>
  <headerFooter>
    <oddHeader>&amp;R&amp;"Arial,Regular"&amp;10Attachment O Work Paper
Page 1 of 22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zoomScaleNormal="100" workbookViewId="0">
      <selection activeCell="S44" sqref="S44"/>
    </sheetView>
  </sheetViews>
  <sheetFormatPr defaultRowHeight="12.75"/>
  <cols>
    <col min="1" max="1" width="3.44140625" style="693" bestFit="1" customWidth="1"/>
    <col min="2" max="2" width="13.44140625" style="693" customWidth="1"/>
    <col min="3" max="5" width="5.21875" style="693" customWidth="1"/>
    <col min="6" max="6" width="5.44140625" style="693" customWidth="1"/>
    <col min="7" max="7" width="12.21875" style="693" customWidth="1"/>
    <col min="8" max="8" width="2.21875" style="693" customWidth="1"/>
    <col min="9" max="16384" width="8.88671875" style="693"/>
  </cols>
  <sheetData>
    <row r="1" spans="1:10">
      <c r="A1" s="696"/>
      <c r="B1" s="696"/>
      <c r="C1" s="696"/>
      <c r="D1" s="696"/>
      <c r="E1" s="696"/>
      <c r="F1" s="696"/>
      <c r="G1" s="386"/>
      <c r="H1" s="696"/>
    </row>
    <row r="2" spans="1:10">
      <c r="A2" s="955" t="s">
        <v>0</v>
      </c>
      <c r="B2" s="955"/>
      <c r="C2" s="955"/>
      <c r="D2" s="955"/>
      <c r="E2" s="955"/>
      <c r="F2" s="955"/>
      <c r="G2" s="955"/>
      <c r="H2" s="696"/>
    </row>
    <row r="3" spans="1:10">
      <c r="A3" s="953" t="s">
        <v>672</v>
      </c>
      <c r="B3" s="956"/>
      <c r="C3" s="956"/>
      <c r="D3" s="956"/>
      <c r="E3" s="956"/>
      <c r="F3" s="956"/>
      <c r="G3" s="956"/>
      <c r="H3" s="956"/>
      <c r="I3" s="891"/>
    </row>
    <row r="4" spans="1:10">
      <c r="A4" s="953" t="str">
        <f>'Page 9-11 - Funct'!A4:D4</f>
        <v>Actual Year 2013</v>
      </c>
      <c r="B4" s="956"/>
      <c r="C4" s="956"/>
      <c r="D4" s="956"/>
      <c r="E4" s="956"/>
      <c r="F4" s="956"/>
      <c r="G4" s="956"/>
      <c r="H4" s="956"/>
      <c r="I4" s="737"/>
      <c r="J4" s="737"/>
    </row>
    <row r="5" spans="1:10">
      <c r="A5" s="696"/>
      <c r="B5" s="696"/>
      <c r="C5" s="696"/>
      <c r="D5" s="696"/>
      <c r="E5" s="696"/>
      <c r="F5" s="696"/>
      <c r="G5" s="696"/>
      <c r="H5" s="696"/>
      <c r="I5" s="386"/>
    </row>
    <row r="6" spans="1:10">
      <c r="A6" s="696"/>
      <c r="B6" s="957" t="s">
        <v>1</v>
      </c>
      <c r="C6" s="957"/>
      <c r="D6" s="957"/>
      <c r="E6" s="957"/>
      <c r="F6" s="681"/>
      <c r="G6" s="589" t="s">
        <v>2</v>
      </c>
      <c r="H6" s="696"/>
    </row>
    <row r="7" spans="1:10">
      <c r="A7" s="696"/>
      <c r="B7" s="696"/>
      <c r="C7" s="696"/>
      <c r="D7" s="696"/>
      <c r="E7" s="696"/>
      <c r="F7" s="696"/>
      <c r="G7" s="696"/>
      <c r="H7" s="696"/>
    </row>
    <row r="8" spans="1:10">
      <c r="A8" s="623" t="s">
        <v>8</v>
      </c>
      <c r="B8" s="697"/>
      <c r="C8" s="698"/>
      <c r="D8" s="698"/>
      <c r="E8" s="698"/>
      <c r="F8" s="698"/>
      <c r="G8" s="699"/>
      <c r="H8" s="696"/>
    </row>
    <row r="9" spans="1:10">
      <c r="A9" s="625" t="s">
        <v>10</v>
      </c>
      <c r="B9" s="792" t="s">
        <v>669</v>
      </c>
      <c r="C9" s="78"/>
      <c r="D9" s="78"/>
      <c r="E9" s="78"/>
      <c r="F9" s="78"/>
      <c r="G9" s="91" t="s">
        <v>65</v>
      </c>
      <c r="H9" s="696"/>
    </row>
    <row r="10" spans="1:10">
      <c r="A10" s="683">
        <v>1</v>
      </c>
      <c r="B10" s="697"/>
      <c r="C10" s="698"/>
      <c r="D10" s="698"/>
      <c r="E10" s="698"/>
      <c r="F10" s="698"/>
      <c r="G10" s="699"/>
      <c r="H10" s="696"/>
    </row>
    <row r="11" spans="1:10">
      <c r="A11" s="683">
        <f t="shared" ref="A11" si="0">+A10+1</f>
        <v>2</v>
      </c>
      <c r="B11" s="700" t="s">
        <v>670</v>
      </c>
      <c r="C11" s="701"/>
      <c r="D11" s="701"/>
      <c r="E11" s="701"/>
      <c r="F11" s="701"/>
      <c r="G11" s="506">
        <v>704730</v>
      </c>
      <c r="H11" s="702" t="s">
        <v>372</v>
      </c>
    </row>
    <row r="12" spans="1:10">
      <c r="A12" s="706"/>
      <c r="B12" s="707"/>
      <c r="C12" s="32"/>
      <c r="D12" s="32"/>
      <c r="E12" s="32"/>
      <c r="F12" s="32"/>
      <c r="G12" s="33"/>
      <c r="H12" s="702"/>
    </row>
    <row r="13" spans="1:10">
      <c r="A13" s="696"/>
      <c r="B13" s="696"/>
      <c r="C13" s="696"/>
      <c r="D13" s="696"/>
      <c r="E13" s="696"/>
      <c r="F13" s="696"/>
      <c r="G13" s="696"/>
      <c r="H13" s="696"/>
    </row>
    <row r="14" spans="1:10" ht="66.75" customHeight="1">
      <c r="A14" s="696"/>
      <c r="B14" s="958" t="s">
        <v>671</v>
      </c>
      <c r="C14" s="958"/>
      <c r="D14" s="958"/>
      <c r="E14" s="958"/>
      <c r="F14" s="958"/>
      <c r="G14" s="958"/>
      <c r="H14" s="696"/>
    </row>
  </sheetData>
  <mergeCells count="5">
    <mergeCell ref="A2:G2"/>
    <mergeCell ref="A3:H3"/>
    <mergeCell ref="A4:H4"/>
    <mergeCell ref="B6:E6"/>
    <mergeCell ref="B14:G14"/>
  </mergeCells>
  <printOptions horizontalCentered="1"/>
  <pageMargins left="0.75" right="0.75" top="0.75" bottom="0.75" header="0.5" footer="0.5"/>
  <pageSetup orientation="portrait" r:id="rId1"/>
  <headerFooter>
    <oddHeader>&amp;R&amp;"Arial,Regular"&amp;10Attachment O Work Paper
Page 12a of 22</oddHeader>
  </headerFooter>
  <ignoredErrors>
    <ignoredError sqref="H1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zoomScaleNormal="100" workbookViewId="0">
      <selection activeCell="J16" sqref="J16"/>
    </sheetView>
  </sheetViews>
  <sheetFormatPr defaultRowHeight="12.75"/>
  <cols>
    <col min="1" max="1" width="3.44140625" style="693" bestFit="1" customWidth="1"/>
    <col min="2" max="2" width="13.44140625" style="693" customWidth="1"/>
    <col min="3" max="5" width="5.21875" style="693" customWidth="1"/>
    <col min="6" max="6" width="5.44140625" style="693" customWidth="1"/>
    <col min="7" max="7" width="12.21875" style="693" customWidth="1"/>
    <col min="8" max="8" width="2.21875" style="693" customWidth="1"/>
    <col min="9" max="16384" width="8.88671875" style="693"/>
  </cols>
  <sheetData>
    <row r="1" spans="1:10">
      <c r="A1" s="696"/>
      <c r="B1" s="696"/>
      <c r="C1" s="696"/>
      <c r="D1" s="696"/>
      <c r="E1" s="696"/>
      <c r="F1" s="696"/>
      <c r="G1" s="386"/>
      <c r="H1" s="696"/>
    </row>
    <row r="2" spans="1:10">
      <c r="A2" s="955" t="s">
        <v>0</v>
      </c>
      <c r="B2" s="955"/>
      <c r="C2" s="955"/>
      <c r="D2" s="955"/>
      <c r="E2" s="955"/>
      <c r="F2" s="955"/>
      <c r="G2" s="955"/>
      <c r="H2" s="696"/>
    </row>
    <row r="3" spans="1:10">
      <c r="A3" s="953" t="s">
        <v>368</v>
      </c>
      <c r="B3" s="956"/>
      <c r="C3" s="956"/>
      <c r="D3" s="956"/>
      <c r="E3" s="956"/>
      <c r="F3" s="956"/>
      <c r="G3" s="956"/>
      <c r="H3" s="956"/>
      <c r="I3" s="891"/>
    </row>
    <row r="4" spans="1:10">
      <c r="A4" s="953" t="str">
        <f>'Page 9-11 - Funct'!A4:D4</f>
        <v>Actual Year 2013</v>
      </c>
      <c r="B4" s="956"/>
      <c r="C4" s="956"/>
      <c r="D4" s="956"/>
      <c r="E4" s="956"/>
      <c r="F4" s="956"/>
      <c r="G4" s="956"/>
      <c r="H4" s="956"/>
      <c r="I4" s="737"/>
      <c r="J4" s="737"/>
    </row>
    <row r="5" spans="1:10">
      <c r="A5" s="696"/>
      <c r="B5" s="696"/>
      <c r="C5" s="696"/>
      <c r="D5" s="696"/>
      <c r="E5" s="696"/>
      <c r="F5" s="696"/>
      <c r="G5" s="696"/>
      <c r="H5" s="696"/>
      <c r="I5" s="386"/>
    </row>
    <row r="6" spans="1:10">
      <c r="A6" s="696"/>
      <c r="B6" s="957" t="s">
        <v>1</v>
      </c>
      <c r="C6" s="957"/>
      <c r="D6" s="957"/>
      <c r="E6" s="957"/>
      <c r="F6" s="681"/>
      <c r="G6" s="589" t="s">
        <v>2</v>
      </c>
      <c r="H6" s="696"/>
    </row>
    <row r="7" spans="1:10">
      <c r="A7" s="696"/>
      <c r="B7" s="696"/>
      <c r="C7" s="696"/>
      <c r="D7" s="696"/>
      <c r="E7" s="696"/>
      <c r="F7" s="696"/>
      <c r="G7" s="696"/>
      <c r="H7" s="696"/>
    </row>
    <row r="8" spans="1:10">
      <c r="A8" s="623" t="s">
        <v>8</v>
      </c>
      <c r="B8" s="697"/>
      <c r="C8" s="698"/>
      <c r="D8" s="698"/>
      <c r="E8" s="698"/>
      <c r="F8" s="698"/>
      <c r="G8" s="699"/>
      <c r="H8" s="696"/>
    </row>
    <row r="9" spans="1:10">
      <c r="A9" s="625" t="s">
        <v>10</v>
      </c>
      <c r="B9" s="792" t="s">
        <v>369</v>
      </c>
      <c r="C9" s="78"/>
      <c r="D9" s="78"/>
      <c r="E9" s="78"/>
      <c r="F9" s="78"/>
      <c r="G9" s="91" t="s">
        <v>65</v>
      </c>
      <c r="H9" s="696"/>
    </row>
    <row r="10" spans="1:10">
      <c r="A10" s="683">
        <v>1</v>
      </c>
      <c r="B10" s="697" t="s">
        <v>370</v>
      </c>
      <c r="C10" s="698"/>
      <c r="D10" s="698"/>
      <c r="E10" s="698"/>
      <c r="F10" s="698"/>
      <c r="G10" s="699"/>
      <c r="H10" s="696"/>
    </row>
    <row r="11" spans="1:10">
      <c r="A11" s="683">
        <f t="shared" ref="A11:A21" si="0">+A10+1</f>
        <v>2</v>
      </c>
      <c r="B11" s="700" t="s">
        <v>371</v>
      </c>
      <c r="C11" s="701"/>
      <c r="D11" s="701"/>
      <c r="E11" s="701"/>
      <c r="F11" s="701"/>
      <c r="G11" s="269">
        <f>G69</f>
        <v>281304.59999999998</v>
      </c>
      <c r="H11" s="702" t="s">
        <v>372</v>
      </c>
    </row>
    <row r="12" spans="1:10">
      <c r="A12" s="683">
        <f t="shared" si="0"/>
        <v>3</v>
      </c>
      <c r="B12" s="703"/>
      <c r="C12" s="704"/>
      <c r="D12" s="704"/>
      <c r="E12" s="704"/>
      <c r="F12" s="704"/>
      <c r="G12" s="29"/>
      <c r="H12" s="702"/>
    </row>
    <row r="13" spans="1:10">
      <c r="A13" s="683">
        <f t="shared" si="0"/>
        <v>4</v>
      </c>
      <c r="B13" s="703" t="s">
        <v>374</v>
      </c>
      <c r="C13" s="704"/>
      <c r="D13" s="704"/>
      <c r="E13" s="704"/>
      <c r="F13" s="704"/>
      <c r="G13" s="29"/>
      <c r="H13" s="702"/>
    </row>
    <row r="14" spans="1:10">
      <c r="A14" s="683">
        <f t="shared" si="0"/>
        <v>5</v>
      </c>
      <c r="B14" s="700" t="s">
        <v>375</v>
      </c>
      <c r="C14" s="701"/>
      <c r="D14" s="701"/>
      <c r="E14" s="701"/>
      <c r="F14" s="701"/>
      <c r="G14" s="62">
        <f>'Page 9-11 - Funct'!D187</f>
        <v>1087449.3500000001</v>
      </c>
      <c r="H14" s="702" t="s">
        <v>373</v>
      </c>
    </row>
    <row r="15" spans="1:10">
      <c r="A15" s="683">
        <f t="shared" si="0"/>
        <v>6</v>
      </c>
      <c r="B15" s="700" t="s">
        <v>376</v>
      </c>
      <c r="C15" s="701"/>
      <c r="D15" s="701"/>
      <c r="E15" s="701"/>
      <c r="F15" s="701"/>
      <c r="G15" s="138">
        <f>+G11</f>
        <v>281304.59999999998</v>
      </c>
      <c r="H15" s="702"/>
    </row>
    <row r="16" spans="1:10">
      <c r="A16" s="683">
        <f t="shared" si="0"/>
        <v>7</v>
      </c>
      <c r="B16" s="700" t="s">
        <v>377</v>
      </c>
      <c r="C16" s="701"/>
      <c r="D16" s="701"/>
      <c r="E16" s="701"/>
      <c r="F16" s="701"/>
      <c r="G16" s="61">
        <f>'Page 9-11 - Funct'!D189</f>
        <v>361178.96999999991</v>
      </c>
      <c r="H16" s="702" t="s">
        <v>373</v>
      </c>
    </row>
    <row r="17" spans="1:8">
      <c r="A17" s="683">
        <f t="shared" si="0"/>
        <v>8</v>
      </c>
      <c r="B17" s="703"/>
      <c r="C17" s="704"/>
      <c r="D17" s="704"/>
      <c r="E17" s="704"/>
      <c r="F17" s="704"/>
      <c r="G17" s="58">
        <f>+G14-G15+G16</f>
        <v>1167323.72</v>
      </c>
      <c r="H17" s="702"/>
    </row>
    <row r="18" spans="1:8">
      <c r="A18" s="683">
        <f t="shared" si="0"/>
        <v>9</v>
      </c>
      <c r="B18" s="703"/>
      <c r="C18" s="704"/>
      <c r="D18" s="704"/>
      <c r="E18" s="704"/>
      <c r="F18" s="704"/>
      <c r="G18" s="30"/>
      <c r="H18" s="702"/>
    </row>
    <row r="19" spans="1:8">
      <c r="A19" s="683">
        <f t="shared" si="0"/>
        <v>10</v>
      </c>
      <c r="B19" s="703" t="s">
        <v>378</v>
      </c>
      <c r="C19" s="704"/>
      <c r="D19" s="704"/>
      <c r="E19" s="704"/>
      <c r="F19" s="704"/>
      <c r="G19" s="505">
        <f>+G63</f>
        <v>72699.62</v>
      </c>
      <c r="H19" s="702" t="s">
        <v>372</v>
      </c>
    </row>
    <row r="20" spans="1:8">
      <c r="A20" s="683">
        <f t="shared" si="0"/>
        <v>11</v>
      </c>
      <c r="B20" s="703"/>
      <c r="C20" s="704"/>
      <c r="D20" s="704"/>
      <c r="E20" s="704"/>
      <c r="F20" s="704"/>
      <c r="G20" s="30"/>
      <c r="H20" s="702"/>
    </row>
    <row r="21" spans="1:8" ht="13.5" thickBot="1">
      <c r="A21" s="683">
        <f t="shared" si="0"/>
        <v>12</v>
      </c>
      <c r="B21" s="703" t="s">
        <v>379</v>
      </c>
      <c r="C21" s="704"/>
      <c r="D21" s="704"/>
      <c r="E21" s="704"/>
      <c r="F21" s="704"/>
      <c r="G21" s="705">
        <f>G17+G19</f>
        <v>1240023.3399999999</v>
      </c>
      <c r="H21" s="702"/>
    </row>
    <row r="22" spans="1:8" ht="13.5" thickTop="1">
      <c r="A22" s="706"/>
      <c r="B22" s="707"/>
      <c r="C22" s="32"/>
      <c r="D22" s="32"/>
      <c r="E22" s="32"/>
      <c r="F22" s="32"/>
      <c r="G22" s="33"/>
      <c r="H22" s="702"/>
    </row>
    <row r="23" spans="1:8">
      <c r="A23" s="696"/>
      <c r="B23" s="696"/>
      <c r="C23" s="696"/>
      <c r="D23" s="696"/>
      <c r="E23" s="696"/>
      <c r="F23" s="696"/>
      <c r="G23" s="696"/>
      <c r="H23" s="696"/>
    </row>
    <row r="24" spans="1:8">
      <c r="A24" s="696"/>
      <c r="B24" s="702" t="s">
        <v>504</v>
      </c>
      <c r="C24" s="702"/>
      <c r="D24" s="702"/>
      <c r="E24" s="702"/>
      <c r="F24" s="702"/>
      <c r="G24" s="696"/>
      <c r="H24" s="696"/>
    </row>
    <row r="25" spans="1:8">
      <c r="A25" s="696"/>
      <c r="B25" s="702" t="s">
        <v>689</v>
      </c>
      <c r="C25" s="696"/>
      <c r="D25" s="696"/>
      <c r="E25" s="696"/>
      <c r="F25" s="696"/>
      <c r="G25" s="696"/>
      <c r="H25" s="696"/>
    </row>
    <row r="26" spans="1:8">
      <c r="A26" s="696"/>
      <c r="B26" s="702"/>
      <c r="C26" s="696"/>
      <c r="D26" s="696"/>
      <c r="E26" s="696"/>
      <c r="F26" s="696"/>
      <c r="G26" s="696"/>
      <c r="H26" s="696"/>
    </row>
    <row r="27" spans="1:8">
      <c r="A27" s="696"/>
      <c r="B27" s="708" t="s">
        <v>1</v>
      </c>
      <c r="C27" s="709" t="s">
        <v>2</v>
      </c>
      <c r="D27" s="709" t="s">
        <v>3</v>
      </c>
      <c r="E27" s="709" t="s">
        <v>4</v>
      </c>
      <c r="F27" s="709" t="s">
        <v>5</v>
      </c>
      <c r="G27" s="709" t="s">
        <v>7</v>
      </c>
      <c r="H27" s="709"/>
    </row>
    <row r="28" spans="1:8">
      <c r="A28" s="696"/>
      <c r="B28" s="696"/>
      <c r="C28" s="696"/>
      <c r="D28" s="696"/>
      <c r="E28" s="696"/>
      <c r="F28" s="696"/>
      <c r="G28" s="696"/>
      <c r="H28" s="696"/>
    </row>
    <row r="29" spans="1:8" ht="25.5">
      <c r="A29" s="684" t="s">
        <v>38</v>
      </c>
      <c r="B29" s="718"/>
      <c r="C29" s="725" t="s">
        <v>381</v>
      </c>
      <c r="D29" s="725" t="s">
        <v>447</v>
      </c>
      <c r="E29" s="725" t="s">
        <v>382</v>
      </c>
      <c r="F29" s="725" t="s">
        <v>33</v>
      </c>
      <c r="G29" s="726" t="s">
        <v>455</v>
      </c>
      <c r="H29" s="703"/>
    </row>
    <row r="30" spans="1:8">
      <c r="A30" s="685"/>
      <c r="B30" s="686" t="s">
        <v>383</v>
      </c>
      <c r="C30" s="687"/>
      <c r="D30" s="687"/>
      <c r="E30" s="687"/>
      <c r="F30" s="687"/>
      <c r="G30" s="688"/>
      <c r="H30" s="703"/>
    </row>
    <row r="31" spans="1:8">
      <c r="A31" s="689">
        <v>1</v>
      </c>
      <c r="B31" s="834" t="str">
        <f>"Actual "&amp;Info!B3</f>
        <v>Actual 2013</v>
      </c>
      <c r="C31" s="268" t="s">
        <v>533</v>
      </c>
      <c r="D31" s="267" t="s">
        <v>389</v>
      </c>
      <c r="E31" s="267" t="s">
        <v>390</v>
      </c>
      <c r="F31" s="690">
        <v>9280</v>
      </c>
      <c r="G31" s="92"/>
      <c r="H31" s="703"/>
    </row>
    <row r="32" spans="1:8">
      <c r="A32" s="689">
        <f t="shared" ref="A32:A77" si="1">A31+1</f>
        <v>2</v>
      </c>
      <c r="B32" s="834" t="str">
        <f>+$B$31</f>
        <v>Actual 2013</v>
      </c>
      <c r="C32" s="690" t="s">
        <v>392</v>
      </c>
      <c r="D32" s="690" t="s">
        <v>389</v>
      </c>
      <c r="E32" s="690" t="s">
        <v>390</v>
      </c>
      <c r="F32" s="690">
        <v>9280</v>
      </c>
      <c r="G32" s="266">
        <v>31748.23</v>
      </c>
      <c r="H32" s="703"/>
    </row>
    <row r="33" spans="1:8">
      <c r="A33" s="689">
        <f t="shared" si="1"/>
        <v>3</v>
      </c>
      <c r="B33" s="834" t="str">
        <f t="shared" ref="B33:B44" si="2">+$B$31</f>
        <v>Actual 2013</v>
      </c>
      <c r="C33" s="835" t="s">
        <v>575</v>
      </c>
      <c r="D33" s="690" t="s">
        <v>389</v>
      </c>
      <c r="E33" s="690" t="s">
        <v>390</v>
      </c>
      <c r="F33" s="690">
        <v>9280</v>
      </c>
      <c r="G33" s="266">
        <v>12911.94</v>
      </c>
      <c r="H33" s="703"/>
    </row>
    <row r="34" spans="1:8">
      <c r="A34" s="689">
        <f t="shared" si="1"/>
        <v>4</v>
      </c>
      <c r="B34" s="834" t="str">
        <f t="shared" si="2"/>
        <v>Actual 2013</v>
      </c>
      <c r="C34" s="835" t="s">
        <v>392</v>
      </c>
      <c r="D34" s="690" t="s">
        <v>389</v>
      </c>
      <c r="E34" s="690">
        <v>1120</v>
      </c>
      <c r="F34" s="690">
        <v>9280</v>
      </c>
      <c r="G34" s="265">
        <v>84015.039999999994</v>
      </c>
      <c r="H34" s="703"/>
    </row>
    <row r="35" spans="1:8">
      <c r="A35" s="689">
        <f t="shared" si="1"/>
        <v>5</v>
      </c>
      <c r="B35" s="834" t="str">
        <f t="shared" si="2"/>
        <v>Actual 2013</v>
      </c>
      <c r="C35" s="835" t="s">
        <v>575</v>
      </c>
      <c r="D35" s="690" t="s">
        <v>389</v>
      </c>
      <c r="E35" s="690">
        <v>1120</v>
      </c>
      <c r="F35" s="690">
        <v>9280</v>
      </c>
      <c r="G35" s="265">
        <v>61906.6</v>
      </c>
      <c r="H35" s="703"/>
    </row>
    <row r="36" spans="1:8">
      <c r="A36" s="689">
        <f t="shared" si="1"/>
        <v>6</v>
      </c>
      <c r="B36" s="834" t="str">
        <f t="shared" si="2"/>
        <v>Actual 2013</v>
      </c>
      <c r="C36" s="690" t="s">
        <v>385</v>
      </c>
      <c r="D36" s="690" t="s">
        <v>386</v>
      </c>
      <c r="E36" s="690" t="s">
        <v>387</v>
      </c>
      <c r="F36" s="690">
        <v>9280</v>
      </c>
      <c r="G36" s="92">
        <v>113.12</v>
      </c>
      <c r="H36" s="703"/>
    </row>
    <row r="37" spans="1:8">
      <c r="A37" s="689">
        <f t="shared" si="1"/>
        <v>7</v>
      </c>
      <c r="B37" s="834" t="str">
        <f t="shared" si="2"/>
        <v>Actual 2013</v>
      </c>
      <c r="C37" s="835" t="s">
        <v>391</v>
      </c>
      <c r="D37" s="690" t="s">
        <v>386</v>
      </c>
      <c r="E37" s="690" t="s">
        <v>387</v>
      </c>
      <c r="F37" s="690">
        <v>9280</v>
      </c>
      <c r="G37" s="861">
        <v>582.5</v>
      </c>
      <c r="H37" s="703"/>
    </row>
    <row r="38" spans="1:8">
      <c r="A38" s="689">
        <f t="shared" si="1"/>
        <v>8</v>
      </c>
      <c r="B38" s="834" t="str">
        <f t="shared" si="2"/>
        <v>Actual 2013</v>
      </c>
      <c r="C38" s="835" t="s">
        <v>392</v>
      </c>
      <c r="D38" s="690" t="s">
        <v>386</v>
      </c>
      <c r="E38" s="690" t="s">
        <v>387</v>
      </c>
      <c r="F38" s="690">
        <v>9280</v>
      </c>
      <c r="G38" s="861">
        <v>1351.48</v>
      </c>
      <c r="H38" s="703"/>
    </row>
    <row r="39" spans="1:8">
      <c r="A39" s="689">
        <f t="shared" si="1"/>
        <v>9</v>
      </c>
      <c r="B39" s="834" t="str">
        <f t="shared" si="2"/>
        <v>Actual 2013</v>
      </c>
      <c r="C39" s="835" t="s">
        <v>385</v>
      </c>
      <c r="D39" s="690" t="s">
        <v>386</v>
      </c>
      <c r="E39" s="690">
        <v>2700</v>
      </c>
      <c r="F39" s="690">
        <v>9280</v>
      </c>
      <c r="G39" s="861">
        <v>101.94</v>
      </c>
      <c r="H39" s="703"/>
    </row>
    <row r="40" spans="1:8">
      <c r="A40" s="689">
        <f t="shared" si="1"/>
        <v>10</v>
      </c>
      <c r="B40" s="834" t="str">
        <f t="shared" si="2"/>
        <v>Actual 2013</v>
      </c>
      <c r="C40" s="835" t="s">
        <v>391</v>
      </c>
      <c r="D40" s="690" t="s">
        <v>386</v>
      </c>
      <c r="E40" s="690">
        <v>2700</v>
      </c>
      <c r="F40" s="690">
        <v>9280</v>
      </c>
      <c r="G40" s="92">
        <v>56.36</v>
      </c>
      <c r="H40" s="703"/>
    </row>
    <row r="41" spans="1:8">
      <c r="A41" s="689">
        <f t="shared" si="1"/>
        <v>11</v>
      </c>
      <c r="B41" s="834" t="str">
        <f t="shared" si="2"/>
        <v>Actual 2013</v>
      </c>
      <c r="C41" s="835" t="s">
        <v>392</v>
      </c>
      <c r="D41" s="690" t="s">
        <v>386</v>
      </c>
      <c r="E41" s="690">
        <v>2700</v>
      </c>
      <c r="F41" s="690">
        <v>9280</v>
      </c>
      <c r="G41" s="861">
        <v>379.41</v>
      </c>
      <c r="H41" s="703"/>
    </row>
    <row r="42" spans="1:8">
      <c r="A42" s="689">
        <f t="shared" si="1"/>
        <v>12</v>
      </c>
      <c r="B42" s="834" t="str">
        <f t="shared" si="2"/>
        <v>Actual 2013</v>
      </c>
      <c r="C42" s="835" t="s">
        <v>385</v>
      </c>
      <c r="D42" s="690">
        <v>5102</v>
      </c>
      <c r="E42" s="835" t="s">
        <v>397</v>
      </c>
      <c r="F42" s="690">
        <v>9280</v>
      </c>
      <c r="G42" s="266">
        <v>17474</v>
      </c>
      <c r="H42" s="703"/>
    </row>
    <row r="43" spans="1:8">
      <c r="A43" s="689">
        <f t="shared" si="1"/>
        <v>13</v>
      </c>
      <c r="B43" s="834" t="str">
        <f t="shared" si="2"/>
        <v>Actual 2013</v>
      </c>
      <c r="C43" s="835" t="s">
        <v>391</v>
      </c>
      <c r="D43" s="690">
        <v>5105</v>
      </c>
      <c r="E43" s="835" t="s">
        <v>397</v>
      </c>
      <c r="F43" s="690">
        <v>9280</v>
      </c>
      <c r="G43" s="266">
        <v>-19.88</v>
      </c>
      <c r="H43" s="703"/>
    </row>
    <row r="44" spans="1:8">
      <c r="A44" s="689">
        <f t="shared" si="1"/>
        <v>14</v>
      </c>
      <c r="B44" s="834" t="str">
        <f t="shared" si="2"/>
        <v>Actual 2013</v>
      </c>
      <c r="C44" s="835" t="s">
        <v>392</v>
      </c>
      <c r="D44" s="690">
        <v>5116</v>
      </c>
      <c r="E44" s="835" t="s">
        <v>397</v>
      </c>
      <c r="F44" s="690">
        <v>9280</v>
      </c>
      <c r="G44" s="266">
        <v>53</v>
      </c>
      <c r="H44" s="703"/>
    </row>
    <row r="45" spans="1:8">
      <c r="A45" s="689">
        <f t="shared" si="1"/>
        <v>15</v>
      </c>
      <c r="B45" s="834"/>
      <c r="C45" s="690"/>
      <c r="D45" s="690"/>
      <c r="E45" s="690"/>
      <c r="F45" s="690"/>
      <c r="G45" s="862">
        <f>SUM(G31:G44)</f>
        <v>210673.74</v>
      </c>
      <c r="H45" s="703"/>
    </row>
    <row r="46" spans="1:8">
      <c r="A46" s="689">
        <f t="shared" si="1"/>
        <v>16</v>
      </c>
      <c r="B46" s="836" t="s">
        <v>393</v>
      </c>
      <c r="C46" s="690"/>
      <c r="D46" s="690"/>
      <c r="E46" s="690"/>
      <c r="F46" s="690"/>
      <c r="G46" s="92"/>
      <c r="H46" s="703"/>
    </row>
    <row r="47" spans="1:8">
      <c r="A47" s="689">
        <f t="shared" si="1"/>
        <v>17</v>
      </c>
      <c r="B47" s="834" t="str">
        <f t="shared" ref="B47:B51" si="3">+$B$31</f>
        <v>Actual 2013</v>
      </c>
      <c r="C47" s="690" t="s">
        <v>385</v>
      </c>
      <c r="D47" s="690" t="s">
        <v>386</v>
      </c>
      <c r="E47" s="690" t="s">
        <v>394</v>
      </c>
      <c r="F47" s="690">
        <v>9280</v>
      </c>
      <c r="G47" s="92"/>
      <c r="H47" s="703"/>
    </row>
    <row r="48" spans="1:8">
      <c r="A48" s="689">
        <f t="shared" si="1"/>
        <v>18</v>
      </c>
      <c r="B48" s="834" t="str">
        <f t="shared" si="3"/>
        <v>Actual 2013</v>
      </c>
      <c r="C48" s="835" t="s">
        <v>391</v>
      </c>
      <c r="D48" s="690" t="s">
        <v>386</v>
      </c>
      <c r="E48" s="690" t="s">
        <v>394</v>
      </c>
      <c r="F48" s="690">
        <v>9280</v>
      </c>
      <c r="G48" s="92">
        <v>24.06</v>
      </c>
      <c r="H48" s="703"/>
    </row>
    <row r="49" spans="1:8">
      <c r="A49" s="689">
        <f t="shared" si="1"/>
        <v>19</v>
      </c>
      <c r="B49" s="834" t="str">
        <f t="shared" si="3"/>
        <v>Actual 2013</v>
      </c>
      <c r="C49" s="690" t="s">
        <v>392</v>
      </c>
      <c r="D49" s="690" t="s">
        <v>386</v>
      </c>
      <c r="E49" s="690" t="s">
        <v>394</v>
      </c>
      <c r="F49" s="690">
        <v>9280</v>
      </c>
      <c r="G49" s="92">
        <v>174.55</v>
      </c>
      <c r="H49" s="703"/>
    </row>
    <row r="50" spans="1:8">
      <c r="A50" s="689">
        <f t="shared" si="1"/>
        <v>20</v>
      </c>
      <c r="B50" s="834" t="str">
        <f t="shared" si="3"/>
        <v>Actual 2013</v>
      </c>
      <c r="C50" s="835" t="s">
        <v>575</v>
      </c>
      <c r="D50" s="690" t="s">
        <v>386</v>
      </c>
      <c r="E50" s="690" t="s">
        <v>394</v>
      </c>
      <c r="F50" s="690">
        <v>9280</v>
      </c>
      <c r="G50" s="92"/>
      <c r="H50" s="703"/>
    </row>
    <row r="51" spans="1:8">
      <c r="A51" s="689">
        <f t="shared" si="1"/>
        <v>21</v>
      </c>
      <c r="B51" s="834" t="str">
        <f t="shared" si="3"/>
        <v>Actual 2013</v>
      </c>
      <c r="C51" s="835" t="s">
        <v>530</v>
      </c>
      <c r="D51" s="690" t="s">
        <v>386</v>
      </c>
      <c r="E51" s="690" t="s">
        <v>394</v>
      </c>
      <c r="F51" s="690">
        <v>9280</v>
      </c>
      <c r="G51" s="92"/>
      <c r="H51" s="703"/>
    </row>
    <row r="52" spans="1:8">
      <c r="A52" s="689">
        <f t="shared" si="1"/>
        <v>22</v>
      </c>
      <c r="B52" s="837"/>
      <c r="C52" s="838"/>
      <c r="D52" s="838"/>
      <c r="E52" s="838"/>
      <c r="F52" s="839"/>
      <c r="G52" s="862">
        <f>SUM(G47:G51)</f>
        <v>198.61</v>
      </c>
      <c r="H52" s="703"/>
    </row>
    <row r="53" spans="1:8">
      <c r="A53" s="689">
        <f t="shared" si="1"/>
        <v>23</v>
      </c>
      <c r="B53" s="840" t="s">
        <v>395</v>
      </c>
      <c r="C53" s="690"/>
      <c r="D53" s="690"/>
      <c r="E53" s="690"/>
      <c r="F53" s="690"/>
      <c r="G53" s="92"/>
      <c r="H53" s="703"/>
    </row>
    <row r="54" spans="1:8">
      <c r="A54" s="689">
        <f t="shared" si="1"/>
        <v>24</v>
      </c>
      <c r="B54" s="834" t="str">
        <f t="shared" ref="B54:B58" si="4">+$B$31</f>
        <v>Actual 2013</v>
      </c>
      <c r="C54" s="838" t="s">
        <v>385</v>
      </c>
      <c r="D54" s="838" t="s">
        <v>396</v>
      </c>
      <c r="E54" s="838" t="s">
        <v>397</v>
      </c>
      <c r="F54" s="690">
        <v>9280</v>
      </c>
      <c r="G54" s="92">
        <v>1983.44</v>
      </c>
      <c r="H54" s="703"/>
    </row>
    <row r="55" spans="1:8">
      <c r="A55" s="689">
        <f t="shared" si="1"/>
        <v>25</v>
      </c>
      <c r="B55" s="834" t="str">
        <f t="shared" si="4"/>
        <v>Actual 2013</v>
      </c>
      <c r="C55" s="864" t="s">
        <v>391</v>
      </c>
      <c r="D55" s="838" t="s">
        <v>396</v>
      </c>
      <c r="E55" s="838" t="s">
        <v>397</v>
      </c>
      <c r="F55" s="690">
        <v>9280</v>
      </c>
      <c r="G55" s="92">
        <v>158</v>
      </c>
      <c r="H55" s="703"/>
    </row>
    <row r="56" spans="1:8">
      <c r="A56" s="689">
        <f t="shared" si="1"/>
        <v>26</v>
      </c>
      <c r="B56" s="834" t="str">
        <f t="shared" si="4"/>
        <v>Actual 2013</v>
      </c>
      <c r="C56" s="690" t="s">
        <v>392</v>
      </c>
      <c r="D56" s="690" t="s">
        <v>396</v>
      </c>
      <c r="E56" s="690" t="s">
        <v>397</v>
      </c>
      <c r="F56" s="690">
        <v>9280</v>
      </c>
      <c r="G56" s="92">
        <v>7536.6</v>
      </c>
      <c r="H56" s="704"/>
    </row>
    <row r="57" spans="1:8">
      <c r="A57" s="689">
        <f t="shared" si="1"/>
        <v>27</v>
      </c>
      <c r="B57" s="834" t="str">
        <f t="shared" si="4"/>
        <v>Actual 2013</v>
      </c>
      <c r="C57" s="835" t="s">
        <v>575</v>
      </c>
      <c r="D57" s="690" t="s">
        <v>396</v>
      </c>
      <c r="E57" s="690" t="s">
        <v>397</v>
      </c>
      <c r="F57" s="690">
        <v>9280</v>
      </c>
      <c r="G57" s="92">
        <v>1875.31</v>
      </c>
      <c r="H57" s="704"/>
    </row>
    <row r="58" spans="1:8">
      <c r="A58" s="689">
        <f t="shared" si="1"/>
        <v>28</v>
      </c>
      <c r="B58" s="834" t="str">
        <f t="shared" si="4"/>
        <v>Actual 2013</v>
      </c>
      <c r="C58" s="835" t="s">
        <v>530</v>
      </c>
      <c r="D58" s="690" t="s">
        <v>396</v>
      </c>
      <c r="E58" s="690" t="s">
        <v>397</v>
      </c>
      <c r="F58" s="690">
        <v>9280</v>
      </c>
      <c r="G58" s="92">
        <v>96</v>
      </c>
      <c r="H58" s="703"/>
    </row>
    <row r="59" spans="1:8">
      <c r="A59" s="689">
        <f t="shared" si="1"/>
        <v>29</v>
      </c>
      <c r="B59" s="837"/>
      <c r="C59" s="838"/>
      <c r="D59" s="838"/>
      <c r="E59" s="838"/>
      <c r="F59" s="839"/>
      <c r="G59" s="862">
        <f>SUM(G54:G58)</f>
        <v>11649.35</v>
      </c>
      <c r="H59" s="703"/>
    </row>
    <row r="60" spans="1:8">
      <c r="A60" s="689">
        <f t="shared" si="1"/>
        <v>30</v>
      </c>
      <c r="B60" s="840" t="s">
        <v>398</v>
      </c>
      <c r="C60" s="690"/>
      <c r="D60" s="690"/>
      <c r="E60" s="690"/>
      <c r="F60" s="690"/>
      <c r="G60" s="92"/>
      <c r="H60" s="703"/>
    </row>
    <row r="61" spans="1:8">
      <c r="A61" s="689">
        <f t="shared" si="1"/>
        <v>31</v>
      </c>
      <c r="B61" s="834" t="str">
        <f t="shared" ref="B61:B65" si="5">+$B$31</f>
        <v>Actual 2013</v>
      </c>
      <c r="C61" s="835" t="s">
        <v>531</v>
      </c>
      <c r="D61" s="690" t="s">
        <v>400</v>
      </c>
      <c r="E61" s="690" t="s">
        <v>401</v>
      </c>
      <c r="F61" s="690">
        <v>9280</v>
      </c>
      <c r="G61" s="92">
        <v>47425.05</v>
      </c>
      <c r="H61" s="703"/>
    </row>
    <row r="62" spans="1:8">
      <c r="A62" s="689">
        <f t="shared" si="1"/>
        <v>32</v>
      </c>
      <c r="B62" s="834" t="str">
        <f t="shared" si="5"/>
        <v>Actual 2013</v>
      </c>
      <c r="C62" s="835" t="s">
        <v>385</v>
      </c>
      <c r="D62" s="690" t="s">
        <v>400</v>
      </c>
      <c r="E62" s="690" t="s">
        <v>401</v>
      </c>
      <c r="F62" s="690">
        <v>9280</v>
      </c>
      <c r="G62" s="92">
        <v>40922.68</v>
      </c>
      <c r="H62" s="703"/>
    </row>
    <row r="63" spans="1:8">
      <c r="A63" s="689">
        <f t="shared" si="1"/>
        <v>33</v>
      </c>
      <c r="B63" s="834" t="str">
        <f t="shared" si="5"/>
        <v>Actual 2013</v>
      </c>
      <c r="C63" s="690" t="s">
        <v>399</v>
      </c>
      <c r="D63" s="690" t="s">
        <v>400</v>
      </c>
      <c r="E63" s="690" t="s">
        <v>401</v>
      </c>
      <c r="F63" s="690">
        <v>9280</v>
      </c>
      <c r="G63" s="264">
        <v>72699.62</v>
      </c>
      <c r="H63" s="703"/>
    </row>
    <row r="64" spans="1:8">
      <c r="A64" s="689">
        <f t="shared" si="1"/>
        <v>34</v>
      </c>
      <c r="B64" s="834" t="str">
        <f t="shared" si="5"/>
        <v>Actual 2013</v>
      </c>
      <c r="C64" s="835" t="s">
        <v>391</v>
      </c>
      <c r="D64" s="690" t="s">
        <v>400</v>
      </c>
      <c r="E64" s="690" t="s">
        <v>401</v>
      </c>
      <c r="F64" s="690">
        <v>9280</v>
      </c>
      <c r="G64" s="92">
        <v>3084.3</v>
      </c>
      <c r="H64" s="703"/>
    </row>
    <row r="65" spans="1:14">
      <c r="A65" s="689">
        <f t="shared" si="1"/>
        <v>35</v>
      </c>
      <c r="B65" s="834" t="str">
        <f t="shared" si="5"/>
        <v>Actual 2013</v>
      </c>
      <c r="C65" s="835" t="s">
        <v>530</v>
      </c>
      <c r="D65" s="690" t="s">
        <v>400</v>
      </c>
      <c r="E65" s="690" t="s">
        <v>401</v>
      </c>
      <c r="F65" s="690">
        <v>9280</v>
      </c>
      <c r="G65" s="92"/>
      <c r="H65" s="703"/>
    </row>
    <row r="66" spans="1:14">
      <c r="A66" s="689">
        <f t="shared" si="1"/>
        <v>36</v>
      </c>
      <c r="B66" s="837"/>
      <c r="C66" s="838"/>
      <c r="D66" s="838"/>
      <c r="E66" s="838"/>
      <c r="F66" s="839"/>
      <c r="G66" s="862">
        <f>SUM(G61:G65)</f>
        <v>164131.65</v>
      </c>
      <c r="H66" s="703"/>
    </row>
    <row r="67" spans="1:14">
      <c r="A67" s="689">
        <f t="shared" si="1"/>
        <v>37</v>
      </c>
      <c r="B67" s="840" t="s">
        <v>402</v>
      </c>
      <c r="C67" s="690"/>
      <c r="D67" s="690"/>
      <c r="E67" s="690"/>
      <c r="F67" s="690"/>
      <c r="G67" s="92"/>
      <c r="H67" s="703"/>
    </row>
    <row r="68" spans="1:14">
      <c r="A68" s="689">
        <f t="shared" si="1"/>
        <v>38</v>
      </c>
      <c r="B68" s="834" t="str">
        <f t="shared" ref="B68:B71" si="6">+$B$31</f>
        <v>Actual 2013</v>
      </c>
      <c r="C68" s="835" t="s">
        <v>391</v>
      </c>
      <c r="D68" s="690">
        <v>5106</v>
      </c>
      <c r="E68" s="835" t="s">
        <v>532</v>
      </c>
      <c r="F68" s="690">
        <v>9280</v>
      </c>
      <c r="G68" s="92"/>
      <c r="H68" s="703"/>
    </row>
    <row r="69" spans="1:14">
      <c r="A69" s="689">
        <f t="shared" si="1"/>
        <v>39</v>
      </c>
      <c r="B69" s="834" t="str">
        <f t="shared" si="6"/>
        <v>Actual 2013</v>
      </c>
      <c r="C69" s="835" t="s">
        <v>505</v>
      </c>
      <c r="D69" s="690">
        <v>5045</v>
      </c>
      <c r="E69" s="835" t="s">
        <v>506</v>
      </c>
      <c r="F69" s="690">
        <v>9280</v>
      </c>
      <c r="G69" s="264">
        <v>281304.59999999998</v>
      </c>
      <c r="H69" s="703"/>
    </row>
    <row r="70" spans="1:14">
      <c r="A70" s="689">
        <f t="shared" si="1"/>
        <v>40</v>
      </c>
      <c r="B70" s="834" t="str">
        <f t="shared" si="6"/>
        <v>Actual 2013</v>
      </c>
      <c r="C70" s="690" t="s">
        <v>392</v>
      </c>
      <c r="D70" s="690" t="s">
        <v>403</v>
      </c>
      <c r="E70" s="690" t="s">
        <v>404</v>
      </c>
      <c r="F70" s="690">
        <v>9280</v>
      </c>
      <c r="G70" s="861">
        <v>419441.4</v>
      </c>
      <c r="H70" s="703"/>
    </row>
    <row r="71" spans="1:14">
      <c r="A71" s="689">
        <f t="shared" si="1"/>
        <v>41</v>
      </c>
      <c r="B71" s="834" t="str">
        <f t="shared" si="6"/>
        <v>Actual 2013</v>
      </c>
      <c r="C71" s="835" t="s">
        <v>575</v>
      </c>
      <c r="D71" s="690" t="s">
        <v>403</v>
      </c>
      <c r="E71" s="690" t="s">
        <v>404</v>
      </c>
      <c r="F71" s="690">
        <v>9281</v>
      </c>
      <c r="G71" s="861">
        <v>50</v>
      </c>
      <c r="H71" s="704"/>
    </row>
    <row r="72" spans="1:14">
      <c r="A72" s="689">
        <f t="shared" si="1"/>
        <v>42</v>
      </c>
      <c r="B72" s="834"/>
      <c r="C72" s="690"/>
      <c r="D72" s="690"/>
      <c r="E72" s="690"/>
      <c r="F72" s="690"/>
      <c r="G72" s="116">
        <f>SUM(G68:G71)</f>
        <v>700796</v>
      </c>
      <c r="H72" s="704"/>
    </row>
    <row r="73" spans="1:14">
      <c r="A73" s="689">
        <f t="shared" si="1"/>
        <v>43</v>
      </c>
      <c r="B73" s="834"/>
      <c r="C73" s="690"/>
      <c r="D73" s="690"/>
      <c r="E73" s="690"/>
      <c r="F73" s="690"/>
      <c r="G73" s="93"/>
      <c r="H73" s="704"/>
    </row>
    <row r="74" spans="1:14">
      <c r="A74" s="689">
        <f t="shared" si="1"/>
        <v>44</v>
      </c>
      <c r="B74" s="841"/>
      <c r="C74" s="84"/>
      <c r="D74" s="84"/>
      <c r="E74" s="84"/>
      <c r="F74" s="85" t="s">
        <v>405</v>
      </c>
      <c r="G74" s="94">
        <f>G45+G52+G59+G66+G72</f>
        <v>1087449.3500000001</v>
      </c>
      <c r="H74" s="703"/>
    </row>
    <row r="75" spans="1:14">
      <c r="A75" s="689">
        <f t="shared" si="1"/>
        <v>45</v>
      </c>
      <c r="B75" s="842"/>
      <c r="C75" s="739"/>
      <c r="D75" s="739"/>
      <c r="E75" s="739"/>
      <c r="F75" s="843"/>
      <c r="G75" s="862"/>
      <c r="H75" s="692"/>
      <c r="I75" s="691"/>
      <c r="J75" s="691"/>
      <c r="K75" s="691"/>
      <c r="L75" s="691"/>
      <c r="M75" s="691"/>
      <c r="N75" s="691"/>
    </row>
    <row r="76" spans="1:14">
      <c r="A76" s="689">
        <f t="shared" si="1"/>
        <v>46</v>
      </c>
      <c r="B76" s="834" t="s">
        <v>406</v>
      </c>
      <c r="F76" s="844"/>
      <c r="G76" s="93">
        <v>0</v>
      </c>
      <c r="H76" s="692"/>
      <c r="I76" s="691"/>
      <c r="J76" s="691"/>
      <c r="K76" s="691"/>
      <c r="L76" s="691"/>
      <c r="M76" s="691"/>
      <c r="N76" s="691"/>
    </row>
    <row r="77" spans="1:14" ht="13.5" thickBot="1">
      <c r="A77" s="689">
        <f t="shared" si="1"/>
        <v>47</v>
      </c>
      <c r="B77" s="834"/>
      <c r="F77" s="844"/>
      <c r="G77" s="863">
        <f>G74-G76</f>
        <v>1087449.3500000001</v>
      </c>
      <c r="H77" s="692"/>
      <c r="I77" s="691"/>
      <c r="J77" s="691"/>
      <c r="K77" s="691"/>
      <c r="L77" s="691"/>
      <c r="M77" s="691"/>
      <c r="N77" s="691"/>
    </row>
    <row r="78" spans="1:14" ht="13.5" thickTop="1">
      <c r="A78" s="694"/>
      <c r="B78" s="841"/>
      <c r="C78" s="87"/>
      <c r="D78" s="87"/>
      <c r="E78" s="87"/>
      <c r="F78" s="88"/>
      <c r="G78" s="86"/>
      <c r="H78" s="692"/>
      <c r="I78" s="691"/>
      <c r="J78" s="691"/>
      <c r="K78" s="691"/>
      <c r="L78" s="691"/>
      <c r="M78" s="691"/>
      <c r="N78" s="691"/>
    </row>
  </sheetData>
  <mergeCells count="4">
    <mergeCell ref="A2:G2"/>
    <mergeCell ref="A3:H3"/>
    <mergeCell ref="A4:H4"/>
    <mergeCell ref="B6:E6"/>
  </mergeCells>
  <printOptions horizontalCentered="1"/>
  <pageMargins left="0.75" right="0.75" top="0.75" bottom="0.75" header="0.5" footer="0.5"/>
  <pageSetup scale="68" orientation="portrait" r:id="rId1"/>
  <headerFooter>
    <oddHeader>&amp;R&amp;"Arial,Regular"&amp;10Attachment O Work Paper
Page 12b of 22</oddHeader>
  </headerFooter>
  <ignoredErrors>
    <ignoredError sqref="C31:F32 C45:F45 C68:F69 D41 C40:F40 C36:F36 C53:F56 C48:E48 C49:F49 C47:F47 C70:F70 C72:F72 C61:F65 C66:G67 C58:F58 C59:G60 C51:E51 C52:G52 C42:F43 C46:G46 C33:G35 F48:G48 C44:G44 G42:G43 C57:G57 F51:G51 G61:G65 G58 G68:G69 C73:G73 G72 C71:G71 G70 G47 C50:G50 G49 G53:G56 C37:G39 G36 C41 G40 E41:G41 G45 H11:H20" numberStoredAsText="1"/>
    <ignoredError sqref="G11:G20 A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M28"/>
  <sheetViews>
    <sheetView showGridLines="0" zoomScaleNormal="100" workbookViewId="0">
      <selection activeCell="B36" sqref="B36"/>
    </sheetView>
  </sheetViews>
  <sheetFormatPr defaultColWidth="29.21875" defaultRowHeight="12.75"/>
  <cols>
    <col min="1" max="1" width="3.44140625" style="709" bestFit="1" customWidth="1"/>
    <col min="2" max="2" width="29.21875" style="696" customWidth="1"/>
    <col min="3" max="6" width="11.77734375" style="696" hidden="1" customWidth="1"/>
    <col min="7" max="7" width="11.77734375" style="696" customWidth="1"/>
    <col min="8" max="254" width="8.88671875" style="696" customWidth="1"/>
    <col min="255" max="255" width="3.44140625" style="696" bestFit="1" customWidth="1"/>
    <col min="256" max="16384" width="29.21875" style="696"/>
  </cols>
  <sheetData>
    <row r="1" spans="1:10">
      <c r="B1" s="766"/>
      <c r="G1" s="386"/>
    </row>
    <row r="2" spans="1:10">
      <c r="B2" s="759"/>
      <c r="G2" s="263"/>
    </row>
    <row r="3" spans="1:10" ht="12.75" customHeight="1">
      <c r="A3" s="959" t="s">
        <v>0</v>
      </c>
      <c r="B3" s="960"/>
      <c r="C3" s="960"/>
      <c r="D3" s="960"/>
      <c r="E3" s="960"/>
      <c r="F3" s="960"/>
      <c r="G3" s="960"/>
    </row>
    <row r="4" spans="1:10" ht="12.75" customHeight="1">
      <c r="A4" s="959" t="s">
        <v>51</v>
      </c>
      <c r="B4" s="960"/>
      <c r="C4" s="960"/>
      <c r="D4" s="960"/>
      <c r="E4" s="960"/>
      <c r="F4" s="960"/>
      <c r="G4" s="960"/>
    </row>
    <row r="5" spans="1:10" ht="12.75" customHeight="1">
      <c r="A5" s="961" t="str">
        <f>'Page 12b - A&amp;G Exp'!A4:H4</f>
        <v>Actual Year 2013</v>
      </c>
      <c r="B5" s="962"/>
      <c r="C5" s="962"/>
      <c r="D5" s="962"/>
      <c r="E5" s="962"/>
      <c r="F5" s="962"/>
      <c r="G5" s="962"/>
      <c r="H5" s="891"/>
    </row>
    <row r="6" spans="1:10">
      <c r="B6" s="262"/>
      <c r="C6" s="261"/>
      <c r="D6" s="739"/>
      <c r="E6" s="739"/>
      <c r="F6" s="739"/>
      <c r="G6" s="504"/>
    </row>
    <row r="7" spans="1:10">
      <c r="B7" s="503" t="s">
        <v>1</v>
      </c>
      <c r="D7" s="709" t="s">
        <v>3</v>
      </c>
      <c r="E7" s="709" t="s">
        <v>4</v>
      </c>
      <c r="F7" s="709" t="s">
        <v>5</v>
      </c>
      <c r="G7" s="709" t="s">
        <v>2</v>
      </c>
    </row>
    <row r="8" spans="1:10">
      <c r="C8" s="739"/>
      <c r="D8" s="739"/>
      <c r="E8" s="739"/>
      <c r="F8" s="739"/>
      <c r="G8" s="739"/>
      <c r="I8" s="738"/>
      <c r="J8" s="60"/>
    </row>
    <row r="9" spans="1:10" ht="25.5">
      <c r="A9" s="684" t="s">
        <v>38</v>
      </c>
      <c r="B9" s="894" t="s">
        <v>51</v>
      </c>
      <c r="C9" s="260" t="s">
        <v>52</v>
      </c>
      <c r="D9" s="260" t="s">
        <v>53</v>
      </c>
      <c r="E9" s="260" t="s">
        <v>54</v>
      </c>
      <c r="F9" s="260" t="s">
        <v>33</v>
      </c>
      <c r="G9" s="502" t="s">
        <v>16</v>
      </c>
    </row>
    <row r="10" spans="1:10">
      <c r="A10" s="711"/>
      <c r="B10" s="809" t="s">
        <v>529</v>
      </c>
      <c r="C10" s="693"/>
      <c r="D10" s="693"/>
      <c r="E10" s="693"/>
      <c r="F10" s="693"/>
      <c r="G10" s="259"/>
    </row>
    <row r="11" spans="1:10">
      <c r="A11" s="711">
        <v>1</v>
      </c>
      <c r="B11" s="852" t="s">
        <v>55</v>
      </c>
      <c r="C11" s="501">
        <v>5279571.7372788899</v>
      </c>
      <c r="D11" s="501">
        <v>3805249.8736278894</v>
      </c>
      <c r="E11" s="501">
        <v>974256.94715386385</v>
      </c>
      <c r="F11" s="501">
        <v>10411.441939357785</v>
      </c>
      <c r="G11" s="76">
        <v>9742847</v>
      </c>
    </row>
    <row r="12" spans="1:10">
      <c r="A12" s="711">
        <f>A11+1</f>
        <v>2</v>
      </c>
      <c r="B12" s="852" t="s">
        <v>56</v>
      </c>
      <c r="C12" s="501">
        <v>90406.06348097416</v>
      </c>
      <c r="D12" s="501">
        <v>64869.934770689913</v>
      </c>
      <c r="E12" s="501">
        <v>16656.719509689359</v>
      </c>
      <c r="F12" s="501">
        <v>178.28223864653518</v>
      </c>
      <c r="G12" s="76">
        <v>358433</v>
      </c>
    </row>
    <row r="13" spans="1:10">
      <c r="A13" s="711">
        <f t="shared" ref="A13:A24" si="0">A12+1</f>
        <v>3</v>
      </c>
      <c r="B13" s="852" t="s">
        <v>57</v>
      </c>
      <c r="C13" s="501">
        <v>561404.40810983384</v>
      </c>
      <c r="D13" s="501">
        <v>435528.4736946511</v>
      </c>
      <c r="E13" s="501">
        <v>103016.8397721525</v>
      </c>
      <c r="F13" s="501">
        <v>1458.2784233623474</v>
      </c>
      <c r="G13" s="76">
        <v>1111092</v>
      </c>
      <c r="H13" s="723"/>
    </row>
    <row r="14" spans="1:10">
      <c r="A14" s="711">
        <f t="shared" si="0"/>
        <v>4</v>
      </c>
      <c r="B14" s="852" t="s">
        <v>58</v>
      </c>
      <c r="C14" s="258">
        <v>5340297.9719731286</v>
      </c>
      <c r="D14" s="258">
        <v>4142916.9396894202</v>
      </c>
      <c r="E14" s="258">
        <v>979936.40298151551</v>
      </c>
      <c r="F14" s="258">
        <v>13871.685355934789</v>
      </c>
      <c r="G14" s="76">
        <v>10433073.949999999</v>
      </c>
      <c r="H14" s="723"/>
    </row>
    <row r="15" spans="1:10">
      <c r="A15" s="711">
        <f t="shared" si="0"/>
        <v>5</v>
      </c>
      <c r="B15" s="809" t="s">
        <v>59</v>
      </c>
      <c r="C15" s="500">
        <f>SUM(C11:C14)</f>
        <v>11271680.180842826</v>
      </c>
      <c r="D15" s="500">
        <f>SUM(D11:D14)</f>
        <v>8448565.2217826508</v>
      </c>
      <c r="E15" s="500">
        <f>SUM(E11:E14)</f>
        <v>2073866.9094172213</v>
      </c>
      <c r="F15" s="500">
        <f>SUM(F11:F14)</f>
        <v>25919.687957301459</v>
      </c>
      <c r="G15" s="257">
        <f>SUM(G11:G14)</f>
        <v>21645445.949999999</v>
      </c>
      <c r="H15" s="727"/>
    </row>
    <row r="16" spans="1:10">
      <c r="A16" s="711">
        <f t="shared" si="0"/>
        <v>6</v>
      </c>
      <c r="B16" s="703"/>
      <c r="C16" s="256"/>
      <c r="D16" s="256"/>
      <c r="E16" s="256"/>
      <c r="F16" s="256"/>
      <c r="G16" s="499"/>
      <c r="H16" s="727"/>
    </row>
    <row r="17" spans="1:13">
      <c r="A17" s="711">
        <f t="shared" si="0"/>
        <v>7</v>
      </c>
      <c r="B17" s="852" t="s">
        <v>60</v>
      </c>
      <c r="C17" s="501">
        <v>2363087.1248751907</v>
      </c>
      <c r="D17" s="501">
        <v>1833244.8501897487</v>
      </c>
      <c r="E17" s="501">
        <v>433622.84781532304</v>
      </c>
      <c r="F17" s="501">
        <v>52563.177119736836</v>
      </c>
      <c r="G17" s="255">
        <v>5271417</v>
      </c>
      <c r="H17" s="727"/>
    </row>
    <row r="18" spans="1:13">
      <c r="A18" s="711">
        <f t="shared" si="0"/>
        <v>8</v>
      </c>
      <c r="B18" s="852"/>
      <c r="C18" s="501"/>
      <c r="D18" s="501"/>
      <c r="E18" s="501"/>
      <c r="F18" s="501"/>
      <c r="G18" s="498"/>
      <c r="H18" s="727"/>
    </row>
    <row r="19" spans="1:13">
      <c r="A19" s="711">
        <f t="shared" si="0"/>
        <v>9</v>
      </c>
      <c r="B19" s="852" t="s">
        <v>61</v>
      </c>
      <c r="C19" s="501">
        <v>4664724.9140402405</v>
      </c>
      <c r="D19" s="501">
        <v>4533871.9184097052</v>
      </c>
      <c r="E19" s="501">
        <v>1006524.0474800207</v>
      </c>
      <c r="F19" s="501">
        <v>27123.120070034012</v>
      </c>
      <c r="G19" s="76">
        <v>10942847</v>
      </c>
      <c r="H19" s="727"/>
      <c r="M19" s="760"/>
    </row>
    <row r="20" spans="1:13">
      <c r="A20" s="711">
        <f t="shared" si="0"/>
        <v>10</v>
      </c>
      <c r="B20" s="703"/>
      <c r="C20" s="256"/>
      <c r="D20" s="256"/>
      <c r="E20" s="256"/>
      <c r="F20" s="256"/>
      <c r="G20" s="499"/>
      <c r="H20" s="727"/>
    </row>
    <row r="21" spans="1:13">
      <c r="A21" s="711">
        <f t="shared" si="0"/>
        <v>11</v>
      </c>
      <c r="C21" s="256"/>
      <c r="D21" s="256"/>
      <c r="E21" s="256"/>
      <c r="F21" s="256"/>
      <c r="G21" s="499"/>
      <c r="H21" s="727"/>
    </row>
    <row r="22" spans="1:13">
      <c r="A22" s="711">
        <f t="shared" si="0"/>
        <v>12</v>
      </c>
      <c r="B22" s="852" t="s">
        <v>660</v>
      </c>
      <c r="C22" s="254">
        <v>1097565.0879327203</v>
      </c>
      <c r="D22" s="254">
        <v>915483.08850403759</v>
      </c>
      <c r="E22" s="254">
        <v>212540.86927735357</v>
      </c>
      <c r="F22" s="254">
        <v>5891.9542858890118</v>
      </c>
      <c r="G22" s="255">
        <f>810698+2890820</f>
        <v>3701518</v>
      </c>
      <c r="H22" s="727"/>
    </row>
    <row r="23" spans="1:13">
      <c r="A23" s="711">
        <f t="shared" si="0"/>
        <v>13</v>
      </c>
      <c r="B23" s="703"/>
      <c r="C23" s="497"/>
      <c r="D23" s="497"/>
      <c r="E23" s="497"/>
      <c r="F23" s="497"/>
      <c r="G23" s="253"/>
      <c r="H23" s="727"/>
    </row>
    <row r="24" spans="1:13">
      <c r="A24" s="711">
        <f t="shared" si="0"/>
        <v>14</v>
      </c>
      <c r="B24" s="809" t="s">
        <v>62</v>
      </c>
      <c r="C24" s="500" t="e">
        <f>SUM(C15:C19)+#REF!</f>
        <v>#REF!</v>
      </c>
      <c r="D24" s="500" t="e">
        <f>SUM(D15:D19)+#REF!</f>
        <v>#REF!</v>
      </c>
      <c r="E24" s="500" t="e">
        <f>SUM(E15:E19)+#REF!</f>
        <v>#REF!</v>
      </c>
      <c r="F24" s="500" t="e">
        <f>SUM(F15:F19)+#REF!</f>
        <v>#REF!</v>
      </c>
      <c r="G24" s="76">
        <f>SUM(G15:G19)+G22</f>
        <v>41561227.950000003</v>
      </c>
      <c r="H24" s="727"/>
      <c r="K24" s="877"/>
    </row>
    <row r="25" spans="1:13">
      <c r="A25" s="712"/>
      <c r="B25" s="496"/>
      <c r="C25" s="252"/>
      <c r="D25" s="252"/>
      <c r="E25" s="252"/>
      <c r="F25" s="252"/>
      <c r="G25" s="495"/>
      <c r="K25" s="877"/>
    </row>
    <row r="26" spans="1:13">
      <c r="A26" s="696"/>
      <c r="G26" s="760"/>
    </row>
    <row r="27" spans="1:13">
      <c r="F27" s="693"/>
      <c r="G27" s="693"/>
    </row>
    <row r="28" spans="1:13">
      <c r="G28" s="727"/>
    </row>
  </sheetData>
  <mergeCells count="3">
    <mergeCell ref="A3:G3"/>
    <mergeCell ref="A4:G4"/>
    <mergeCell ref="A5:G5"/>
  </mergeCells>
  <printOptions horizontalCentered="1"/>
  <pageMargins left="0.75" right="0.75" top="0.75" bottom="0.75" header="0.5" footer="0.5"/>
  <pageSetup scale="80" orientation="portrait" r:id="rId1"/>
  <headerFooter alignWithMargins="0">
    <oddHeader>&amp;R&amp;"Arial,Regular"&amp;10Attachment O Work Paper
Page 13 of 22</oddHeader>
  </headerFooter>
  <ignoredErrors>
    <ignoredError sqref="G15:G24"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zoomScale="90" zoomScaleNormal="90" workbookViewId="0">
      <pane xSplit="3" ySplit="10" topLeftCell="D14" activePane="bottomRight" state="frozen"/>
      <selection activeCell="B28" sqref="B28"/>
      <selection pane="topRight" activeCell="B28" sqref="B28"/>
      <selection pane="bottomLeft" activeCell="B28" sqref="B28"/>
      <selection pane="bottomRight" activeCell="T47" sqref="T47"/>
    </sheetView>
  </sheetViews>
  <sheetFormatPr defaultRowHeight="15" outlineLevelCol="1"/>
  <cols>
    <col min="1" max="1" width="21.5546875" hidden="1" customWidth="1" outlineLevel="1"/>
    <col min="2" max="2" width="3.88671875" style="20" bestFit="1" customWidth="1" collapsed="1"/>
    <col min="3" max="3" width="30.109375" customWidth="1"/>
    <col min="4" max="7" width="6.77734375" style="20" customWidth="1"/>
    <col min="8" max="19" width="9.77734375" customWidth="1"/>
    <col min="20" max="20" width="11" bestFit="1" customWidth="1"/>
  </cols>
  <sheetData>
    <row r="1" spans="2:21">
      <c r="T1" s="96"/>
    </row>
    <row r="2" spans="2:21">
      <c r="U2" s="96"/>
    </row>
    <row r="3" spans="2:21">
      <c r="B3" s="955" t="s">
        <v>0</v>
      </c>
      <c r="C3" s="955"/>
      <c r="D3" s="955"/>
      <c r="E3" s="955"/>
      <c r="F3" s="955"/>
      <c r="G3" s="955"/>
      <c r="H3" s="955"/>
      <c r="I3" s="955"/>
      <c r="J3" s="955"/>
      <c r="K3" s="955"/>
      <c r="L3" s="955"/>
      <c r="M3" s="955"/>
      <c r="N3" s="955"/>
      <c r="O3" s="955"/>
      <c r="P3" s="955"/>
      <c r="Q3" s="955"/>
      <c r="R3" s="955"/>
      <c r="S3" s="955"/>
      <c r="T3" s="955"/>
    </row>
    <row r="4" spans="2:21">
      <c r="B4" s="955" t="s">
        <v>422</v>
      </c>
      <c r="C4" s="955"/>
      <c r="D4" s="955"/>
      <c r="E4" s="955"/>
      <c r="F4" s="955"/>
      <c r="G4" s="955"/>
      <c r="H4" s="955"/>
      <c r="I4" s="955"/>
      <c r="J4" s="955"/>
      <c r="K4" s="955"/>
      <c r="L4" s="955"/>
      <c r="M4" s="955"/>
      <c r="N4" s="955"/>
      <c r="O4" s="955"/>
      <c r="P4" s="955"/>
      <c r="Q4" s="955"/>
      <c r="R4" s="955"/>
      <c r="S4" s="955"/>
      <c r="T4" s="955"/>
    </row>
    <row r="5" spans="2:21">
      <c r="B5" s="963" t="s">
        <v>666</v>
      </c>
      <c r="C5" s="963"/>
      <c r="D5" s="963"/>
      <c r="E5" s="963"/>
      <c r="F5" s="963"/>
      <c r="G5" s="963"/>
      <c r="H5" s="963"/>
      <c r="I5" s="963"/>
      <c r="J5" s="963"/>
      <c r="K5" s="963"/>
      <c r="L5" s="963"/>
      <c r="M5" s="963"/>
      <c r="N5" s="963"/>
      <c r="O5" s="963"/>
      <c r="P5" s="963"/>
      <c r="Q5" s="963"/>
      <c r="R5" s="963"/>
      <c r="S5" s="963"/>
      <c r="T5" s="963"/>
    </row>
    <row r="6" spans="2:21">
      <c r="B6" s="35"/>
      <c r="C6" s="25"/>
      <c r="D6" s="35"/>
      <c r="E6" s="35"/>
      <c r="F6" s="35"/>
      <c r="G6" s="35"/>
      <c r="H6" s="25"/>
      <c r="I6" s="25"/>
      <c r="J6" s="25"/>
      <c r="K6" s="25"/>
      <c r="L6" s="25"/>
      <c r="M6" s="25"/>
      <c r="N6" s="25"/>
      <c r="O6" s="25"/>
      <c r="P6" s="25"/>
      <c r="Q6" s="25"/>
      <c r="R6" s="25"/>
      <c r="S6" s="25"/>
      <c r="T6" s="25"/>
    </row>
    <row r="7" spans="2:21">
      <c r="B7" s="35"/>
      <c r="C7" s="34" t="s">
        <v>1</v>
      </c>
      <c r="D7" s="35" t="s">
        <v>2</v>
      </c>
      <c r="E7" s="35" t="s">
        <v>3</v>
      </c>
      <c r="F7" s="35" t="s">
        <v>4</v>
      </c>
      <c r="G7" s="35" t="s">
        <v>5</v>
      </c>
      <c r="H7" s="35" t="s">
        <v>7</v>
      </c>
      <c r="I7" s="35" t="s">
        <v>6</v>
      </c>
      <c r="J7" s="35" t="s">
        <v>30</v>
      </c>
      <c r="K7" s="35" t="s">
        <v>31</v>
      </c>
      <c r="L7" s="35" t="s">
        <v>30</v>
      </c>
      <c r="M7" s="35" t="s">
        <v>31</v>
      </c>
      <c r="N7" s="35" t="s">
        <v>32</v>
      </c>
      <c r="O7" s="35" t="s">
        <v>74</v>
      </c>
      <c r="P7" s="35" t="s">
        <v>75</v>
      </c>
      <c r="Q7" s="35" t="s">
        <v>76</v>
      </c>
      <c r="R7" s="35" t="s">
        <v>77</v>
      </c>
      <c r="S7" s="35" t="s">
        <v>78</v>
      </c>
      <c r="T7" s="35" t="s">
        <v>79</v>
      </c>
    </row>
    <row r="8" spans="2:21">
      <c r="B8" s="35"/>
      <c r="C8" s="25"/>
      <c r="D8" s="35"/>
      <c r="E8" s="35"/>
      <c r="F8" s="35"/>
      <c r="G8" s="35"/>
      <c r="H8" s="25"/>
      <c r="I8" s="25"/>
      <c r="J8" s="25"/>
      <c r="K8" s="25"/>
      <c r="L8" s="25"/>
      <c r="M8" s="25"/>
      <c r="N8" s="25"/>
      <c r="O8" s="25"/>
      <c r="P8" s="25"/>
      <c r="Q8" s="25"/>
      <c r="R8" s="25"/>
      <c r="S8" s="25"/>
      <c r="T8" s="25"/>
    </row>
    <row r="9" spans="2:21" s="37" customFormat="1" ht="15.75">
      <c r="B9" s="21" t="s">
        <v>8</v>
      </c>
      <c r="C9" s="41"/>
      <c r="D9" s="46"/>
      <c r="E9" s="46"/>
      <c r="F9" s="46"/>
      <c r="G9" s="46"/>
      <c r="H9" s="46" t="s">
        <v>407</v>
      </c>
      <c r="I9" s="46" t="str">
        <f>$H9</f>
        <v>Forecast</v>
      </c>
      <c r="J9" s="46" t="str">
        <f t="shared" ref="J9:S9" si="0">$H9</f>
        <v>Forecast</v>
      </c>
      <c r="K9" s="46" t="str">
        <f t="shared" si="0"/>
        <v>Forecast</v>
      </c>
      <c r="L9" s="46" t="str">
        <f t="shared" si="0"/>
        <v>Forecast</v>
      </c>
      <c r="M9" s="46" t="str">
        <f t="shared" si="0"/>
        <v>Forecast</v>
      </c>
      <c r="N9" s="46" t="str">
        <f t="shared" si="0"/>
        <v>Forecast</v>
      </c>
      <c r="O9" s="46" t="str">
        <f t="shared" si="0"/>
        <v>Forecast</v>
      </c>
      <c r="P9" s="46" t="str">
        <f t="shared" si="0"/>
        <v>Forecast</v>
      </c>
      <c r="Q9" s="46" t="str">
        <f t="shared" si="0"/>
        <v>Forecast</v>
      </c>
      <c r="R9" s="46" t="str">
        <f t="shared" si="0"/>
        <v>Forecast</v>
      </c>
      <c r="S9" s="46" t="str">
        <f t="shared" si="0"/>
        <v>Forecast</v>
      </c>
      <c r="T9" s="47"/>
    </row>
    <row r="10" spans="2:21" s="37" customFormat="1" ht="15.75">
      <c r="B10" s="23" t="s">
        <v>10</v>
      </c>
      <c r="C10" s="45" t="s">
        <v>408</v>
      </c>
      <c r="D10" s="48" t="s">
        <v>381</v>
      </c>
      <c r="E10" s="48" t="s">
        <v>409</v>
      </c>
      <c r="F10" s="48" t="s">
        <v>410</v>
      </c>
      <c r="G10" s="48" t="s">
        <v>33</v>
      </c>
      <c r="H10" s="48" t="s">
        <v>411</v>
      </c>
      <c r="I10" s="48" t="s">
        <v>412</v>
      </c>
      <c r="J10" s="48" t="s">
        <v>413</v>
      </c>
      <c r="K10" s="48" t="s">
        <v>414</v>
      </c>
      <c r="L10" s="48" t="s">
        <v>20</v>
      </c>
      <c r="M10" s="48" t="s">
        <v>415</v>
      </c>
      <c r="N10" s="48" t="s">
        <v>416</v>
      </c>
      <c r="O10" s="48" t="s">
        <v>417</v>
      </c>
      <c r="P10" s="48" t="s">
        <v>418</v>
      </c>
      <c r="Q10" s="48" t="s">
        <v>419</v>
      </c>
      <c r="R10" s="48" t="s">
        <v>420</v>
      </c>
      <c r="S10" s="48" t="s">
        <v>421</v>
      </c>
      <c r="T10" s="49" t="s">
        <v>16</v>
      </c>
    </row>
    <row r="11" spans="2:21">
      <c r="B11" s="38">
        <v>1</v>
      </c>
      <c r="C11" s="52" t="s">
        <v>422</v>
      </c>
      <c r="D11" s="24"/>
      <c r="E11" s="22"/>
      <c r="F11" s="24"/>
      <c r="G11" s="24"/>
      <c r="H11" s="50"/>
      <c r="I11" s="50"/>
      <c r="J11" s="50"/>
      <c r="K11" s="50"/>
      <c r="L11" s="50"/>
      <c r="M11" s="50"/>
      <c r="N11" s="50"/>
      <c r="O11" s="50"/>
      <c r="P11" s="50"/>
      <c r="Q11" s="50"/>
      <c r="R11" s="50"/>
      <c r="S11" s="50"/>
      <c r="T11" s="51">
        <f>SUM(H11:S11)</f>
        <v>0</v>
      </c>
    </row>
    <row r="12" spans="2:21">
      <c r="B12" s="39">
        <f>+B11+1</f>
        <v>2</v>
      </c>
      <c r="C12" s="53" t="s">
        <v>423</v>
      </c>
      <c r="D12" s="22">
        <v>1020</v>
      </c>
      <c r="E12" s="22">
        <v>5230</v>
      </c>
      <c r="F12" s="24">
        <v>4081</v>
      </c>
      <c r="G12" s="24">
        <v>40801</v>
      </c>
      <c r="H12" s="99">
        <v>71605</v>
      </c>
      <c r="I12" s="99">
        <v>71605</v>
      </c>
      <c r="J12" s="99">
        <v>71605</v>
      </c>
      <c r="K12" s="99">
        <v>71605</v>
      </c>
      <c r="L12" s="99">
        <v>71605</v>
      </c>
      <c r="M12" s="99">
        <v>75185</v>
      </c>
      <c r="N12" s="99">
        <v>75185</v>
      </c>
      <c r="O12" s="99">
        <v>75185</v>
      </c>
      <c r="P12" s="99">
        <v>75185</v>
      </c>
      <c r="Q12" s="99">
        <v>75185</v>
      </c>
      <c r="R12" s="99">
        <v>75185</v>
      </c>
      <c r="S12" s="99">
        <v>75185</v>
      </c>
      <c r="T12" s="83">
        <f t="shared" ref="T12:T37" si="1">SUM(H12:S12)</f>
        <v>884320</v>
      </c>
    </row>
    <row r="13" spans="2:21">
      <c r="B13" s="39">
        <f>+B12+1</f>
        <v>3</v>
      </c>
      <c r="C13" s="53" t="s">
        <v>424</v>
      </c>
      <c r="D13" s="24">
        <v>1100</v>
      </c>
      <c r="E13" s="22">
        <v>5230</v>
      </c>
      <c r="F13" s="24">
        <v>4081</v>
      </c>
      <c r="G13" s="24">
        <v>40801</v>
      </c>
      <c r="H13" s="99">
        <v>65386</v>
      </c>
      <c r="I13" s="99">
        <v>65386</v>
      </c>
      <c r="J13" s="99">
        <v>65386</v>
      </c>
      <c r="K13" s="99">
        <v>65386</v>
      </c>
      <c r="L13" s="99">
        <v>65386</v>
      </c>
      <c r="M13" s="99">
        <v>68655</v>
      </c>
      <c r="N13" s="99">
        <v>68655</v>
      </c>
      <c r="O13" s="99">
        <v>68655</v>
      </c>
      <c r="P13" s="99">
        <v>68655</v>
      </c>
      <c r="Q13" s="99">
        <v>68655</v>
      </c>
      <c r="R13" s="99">
        <v>68655</v>
      </c>
      <c r="S13" s="99">
        <v>68655</v>
      </c>
      <c r="T13" s="83">
        <f t="shared" si="1"/>
        <v>807515</v>
      </c>
    </row>
    <row r="14" spans="2:21">
      <c r="B14" s="39">
        <f>+B13+1</f>
        <v>4</v>
      </c>
      <c r="C14" s="53" t="s">
        <v>425</v>
      </c>
      <c r="D14" s="24"/>
      <c r="E14" s="22"/>
      <c r="F14" s="24"/>
      <c r="G14" s="24">
        <v>40801</v>
      </c>
      <c r="H14" s="99">
        <v>709</v>
      </c>
      <c r="I14" s="99">
        <v>709</v>
      </c>
      <c r="J14" s="99">
        <v>709</v>
      </c>
      <c r="K14" s="99">
        <v>709</v>
      </c>
      <c r="L14" s="99">
        <v>709</v>
      </c>
      <c r="M14" s="99">
        <v>709</v>
      </c>
      <c r="N14" s="99">
        <v>709</v>
      </c>
      <c r="O14" s="99">
        <v>709</v>
      </c>
      <c r="P14" s="99">
        <v>709</v>
      </c>
      <c r="Q14" s="99">
        <v>709</v>
      </c>
      <c r="R14" s="99">
        <v>709</v>
      </c>
      <c r="S14" s="99">
        <v>709</v>
      </c>
      <c r="T14" s="83">
        <f>SUM(H14:S14)</f>
        <v>8508</v>
      </c>
    </row>
    <row r="15" spans="2:21">
      <c r="B15" s="39">
        <f t="shared" ref="B15:B40" si="2">+B14+1</f>
        <v>5</v>
      </c>
      <c r="C15" s="53" t="s">
        <v>426</v>
      </c>
      <c r="D15" s="24"/>
      <c r="E15" s="22"/>
      <c r="F15" s="24"/>
      <c r="G15" s="24">
        <v>40801</v>
      </c>
      <c r="H15" s="99">
        <v>42104</v>
      </c>
      <c r="I15" s="99">
        <v>48795</v>
      </c>
      <c r="J15" s="99">
        <v>67570</v>
      </c>
      <c r="K15" s="99">
        <v>61973</v>
      </c>
      <c r="L15" s="99">
        <v>60491</v>
      </c>
      <c r="M15" s="99">
        <v>57350</v>
      </c>
      <c r="N15" s="99">
        <v>67248</v>
      </c>
      <c r="O15" s="99">
        <v>65164</v>
      </c>
      <c r="P15" s="99">
        <v>57189</v>
      </c>
      <c r="Q15" s="99">
        <v>64121.86</v>
      </c>
      <c r="R15" s="99">
        <v>63419</v>
      </c>
      <c r="S15" s="99">
        <v>60273.94</v>
      </c>
      <c r="T15" s="83">
        <f>SUM(H15:S15)</f>
        <v>715698.8</v>
      </c>
    </row>
    <row r="16" spans="2:21">
      <c r="B16" s="39">
        <f t="shared" si="2"/>
        <v>6</v>
      </c>
      <c r="C16" s="53" t="s">
        <v>427</v>
      </c>
      <c r="D16" s="24">
        <v>1310</v>
      </c>
      <c r="E16" s="22">
        <v>5230</v>
      </c>
      <c r="F16" s="24">
        <v>4081</v>
      </c>
      <c r="G16" s="24">
        <v>40801</v>
      </c>
      <c r="H16" s="99">
        <v>1072</v>
      </c>
      <c r="I16" s="99">
        <v>1072</v>
      </c>
      <c r="J16" s="99">
        <v>1072</v>
      </c>
      <c r="K16" s="99">
        <v>1072</v>
      </c>
      <c r="L16" s="99">
        <v>1072</v>
      </c>
      <c r="M16" s="99">
        <v>1126</v>
      </c>
      <c r="N16" s="99">
        <v>1126</v>
      </c>
      <c r="O16" s="99">
        <v>1126</v>
      </c>
      <c r="P16" s="99">
        <v>1126</v>
      </c>
      <c r="Q16" s="99">
        <v>1126</v>
      </c>
      <c r="R16" s="99">
        <v>1126</v>
      </c>
      <c r="S16" s="99">
        <v>1126</v>
      </c>
      <c r="T16" s="83">
        <f t="shared" si="1"/>
        <v>13242</v>
      </c>
    </row>
    <row r="17" spans="2:20">
      <c r="B17" s="39">
        <f t="shared" si="2"/>
        <v>7</v>
      </c>
      <c r="C17" s="53" t="s">
        <v>428</v>
      </c>
      <c r="D17" s="24">
        <v>1320</v>
      </c>
      <c r="E17" s="22">
        <v>5230</v>
      </c>
      <c r="F17" s="24">
        <v>4081</v>
      </c>
      <c r="G17" s="24">
        <v>40801</v>
      </c>
      <c r="H17" s="99">
        <v>1481</v>
      </c>
      <c r="I17" s="99">
        <v>1481</v>
      </c>
      <c r="J17" s="99">
        <v>1481</v>
      </c>
      <c r="K17" s="99">
        <v>1481</v>
      </c>
      <c r="L17" s="99">
        <v>1481</v>
      </c>
      <c r="M17" s="99">
        <v>1555</v>
      </c>
      <c r="N17" s="99">
        <v>1555</v>
      </c>
      <c r="O17" s="99">
        <v>1555</v>
      </c>
      <c r="P17" s="99">
        <v>1555</v>
      </c>
      <c r="Q17" s="99">
        <v>1555</v>
      </c>
      <c r="R17" s="99">
        <v>1555</v>
      </c>
      <c r="S17" s="99">
        <v>1555</v>
      </c>
      <c r="T17" s="83">
        <f t="shared" si="1"/>
        <v>18290</v>
      </c>
    </row>
    <row r="18" spans="2:20">
      <c r="B18" s="39">
        <f t="shared" si="2"/>
        <v>8</v>
      </c>
      <c r="C18" s="53" t="s">
        <v>429</v>
      </c>
      <c r="D18" s="24">
        <v>1330</v>
      </c>
      <c r="E18" s="22">
        <v>5230</v>
      </c>
      <c r="F18" s="24">
        <v>4081</v>
      </c>
      <c r="G18" s="24">
        <v>40801</v>
      </c>
      <c r="H18" s="99">
        <v>720</v>
      </c>
      <c r="I18" s="99">
        <v>720</v>
      </c>
      <c r="J18" s="99">
        <v>720</v>
      </c>
      <c r="K18" s="99">
        <v>720</v>
      </c>
      <c r="L18" s="99">
        <v>720</v>
      </c>
      <c r="M18" s="99">
        <v>756</v>
      </c>
      <c r="N18" s="99">
        <v>756</v>
      </c>
      <c r="O18" s="99">
        <v>756</v>
      </c>
      <c r="P18" s="99">
        <v>756</v>
      </c>
      <c r="Q18" s="99">
        <v>756</v>
      </c>
      <c r="R18" s="99">
        <v>756</v>
      </c>
      <c r="S18" s="99">
        <v>756</v>
      </c>
      <c r="T18" s="83">
        <f t="shared" si="1"/>
        <v>8892</v>
      </c>
    </row>
    <row r="19" spans="2:20">
      <c r="B19" s="39">
        <f t="shared" si="2"/>
        <v>9</v>
      </c>
      <c r="C19" s="53" t="s">
        <v>430</v>
      </c>
      <c r="D19" s="24">
        <v>1340</v>
      </c>
      <c r="E19" s="22">
        <v>5230</v>
      </c>
      <c r="F19" s="24">
        <v>4081</v>
      </c>
      <c r="G19" s="24">
        <v>40801</v>
      </c>
      <c r="H19" s="99">
        <v>1483</v>
      </c>
      <c r="I19" s="99">
        <v>1483</v>
      </c>
      <c r="J19" s="99">
        <v>1483</v>
      </c>
      <c r="K19" s="99">
        <v>1483</v>
      </c>
      <c r="L19" s="99">
        <v>1483</v>
      </c>
      <c r="M19" s="99">
        <v>1557</v>
      </c>
      <c r="N19" s="99">
        <v>1557</v>
      </c>
      <c r="O19" s="99">
        <v>1557</v>
      </c>
      <c r="P19" s="99">
        <v>1557</v>
      </c>
      <c r="Q19" s="99">
        <v>1557</v>
      </c>
      <c r="R19" s="99">
        <v>1557</v>
      </c>
      <c r="S19" s="99">
        <v>1557</v>
      </c>
      <c r="T19" s="83">
        <f t="shared" si="1"/>
        <v>18314</v>
      </c>
    </row>
    <row r="20" spans="2:20">
      <c r="B20" s="39">
        <f t="shared" si="2"/>
        <v>10</v>
      </c>
      <c r="C20" s="53" t="s">
        <v>431</v>
      </c>
      <c r="D20" s="24">
        <v>1350</v>
      </c>
      <c r="E20" s="22">
        <v>5230</v>
      </c>
      <c r="F20" s="24">
        <v>4081</v>
      </c>
      <c r="G20" s="24">
        <v>40801</v>
      </c>
      <c r="H20" s="99">
        <v>1079</v>
      </c>
      <c r="I20" s="99">
        <v>1079</v>
      </c>
      <c r="J20" s="99">
        <v>1079</v>
      </c>
      <c r="K20" s="99">
        <v>1079</v>
      </c>
      <c r="L20" s="99">
        <v>1079</v>
      </c>
      <c r="M20" s="99">
        <v>1133</v>
      </c>
      <c r="N20" s="99">
        <v>1133</v>
      </c>
      <c r="O20" s="99">
        <v>1133</v>
      </c>
      <c r="P20" s="99">
        <v>1133</v>
      </c>
      <c r="Q20" s="99">
        <v>1133</v>
      </c>
      <c r="R20" s="99">
        <v>1133</v>
      </c>
      <c r="S20" s="99">
        <v>1133</v>
      </c>
      <c r="T20" s="83">
        <f t="shared" si="1"/>
        <v>13326</v>
      </c>
    </row>
    <row r="21" spans="2:20">
      <c r="B21" s="39">
        <f t="shared" si="2"/>
        <v>11</v>
      </c>
      <c r="C21" s="53" t="s">
        <v>432</v>
      </c>
      <c r="D21" s="24">
        <v>1380</v>
      </c>
      <c r="E21" s="22">
        <v>5230</v>
      </c>
      <c r="F21" s="24">
        <v>4081</v>
      </c>
      <c r="G21" s="24">
        <v>40801</v>
      </c>
      <c r="H21" s="99">
        <v>1027</v>
      </c>
      <c r="I21" s="99">
        <v>1027</v>
      </c>
      <c r="J21" s="99">
        <v>1027</v>
      </c>
      <c r="K21" s="99">
        <v>1027</v>
      </c>
      <c r="L21" s="99">
        <v>1027</v>
      </c>
      <c r="M21" s="99">
        <v>1078</v>
      </c>
      <c r="N21" s="99">
        <v>1078</v>
      </c>
      <c r="O21" s="99">
        <v>1078</v>
      </c>
      <c r="P21" s="99">
        <v>1078</v>
      </c>
      <c r="Q21" s="99">
        <v>1078</v>
      </c>
      <c r="R21" s="99">
        <v>1078</v>
      </c>
      <c r="S21" s="99">
        <v>1078</v>
      </c>
      <c r="T21" s="83">
        <f t="shared" si="1"/>
        <v>12681</v>
      </c>
    </row>
    <row r="22" spans="2:20">
      <c r="B22" s="39">
        <f t="shared" si="2"/>
        <v>12</v>
      </c>
      <c r="C22" s="53" t="s">
        <v>433</v>
      </c>
      <c r="D22" s="24">
        <v>1400</v>
      </c>
      <c r="E22" s="22">
        <v>5230</v>
      </c>
      <c r="F22" s="24">
        <v>4081</v>
      </c>
      <c r="G22" s="24">
        <v>40801</v>
      </c>
      <c r="H22" s="99">
        <v>5449</v>
      </c>
      <c r="I22" s="99">
        <v>5449</v>
      </c>
      <c r="J22" s="99">
        <v>5449</v>
      </c>
      <c r="K22" s="99">
        <v>5449</v>
      </c>
      <c r="L22" s="99">
        <v>5449</v>
      </c>
      <c r="M22" s="99">
        <v>5449</v>
      </c>
      <c r="N22" s="99">
        <v>5449</v>
      </c>
      <c r="O22" s="99">
        <v>5449</v>
      </c>
      <c r="P22" s="99">
        <v>5449</v>
      </c>
      <c r="Q22" s="99">
        <v>5449</v>
      </c>
      <c r="R22" s="99">
        <v>5449</v>
      </c>
      <c r="S22" s="99">
        <v>5449</v>
      </c>
      <c r="T22" s="83">
        <f t="shared" si="1"/>
        <v>65388</v>
      </c>
    </row>
    <row r="23" spans="2:20">
      <c r="B23" s="39">
        <f t="shared" si="2"/>
        <v>13</v>
      </c>
      <c r="C23" s="53" t="s">
        <v>434</v>
      </c>
      <c r="D23" s="24">
        <v>1410</v>
      </c>
      <c r="E23" s="22">
        <v>5230</v>
      </c>
      <c r="F23" s="24">
        <v>4081</v>
      </c>
      <c r="G23" s="24">
        <v>40801</v>
      </c>
      <c r="H23" s="99">
        <v>2726</v>
      </c>
      <c r="I23" s="99">
        <v>2726</v>
      </c>
      <c r="J23" s="99">
        <v>2726</v>
      </c>
      <c r="K23" s="99">
        <v>2726</v>
      </c>
      <c r="L23" s="99">
        <v>2726</v>
      </c>
      <c r="M23" s="99">
        <v>2862</v>
      </c>
      <c r="N23" s="99">
        <v>2862</v>
      </c>
      <c r="O23" s="99">
        <v>2862</v>
      </c>
      <c r="P23" s="99">
        <v>2862</v>
      </c>
      <c r="Q23" s="99">
        <v>2862</v>
      </c>
      <c r="R23" s="99">
        <v>2862</v>
      </c>
      <c r="S23" s="99">
        <v>2862</v>
      </c>
      <c r="T23" s="83">
        <f t="shared" si="1"/>
        <v>33664</v>
      </c>
    </row>
    <row r="24" spans="2:20">
      <c r="B24" s="39">
        <f t="shared" si="2"/>
        <v>14</v>
      </c>
      <c r="C24" s="53" t="s">
        <v>435</v>
      </c>
      <c r="D24" s="24">
        <v>1430</v>
      </c>
      <c r="E24" s="22">
        <v>5230</v>
      </c>
      <c r="F24" s="24">
        <v>4081</v>
      </c>
      <c r="G24" s="24">
        <v>40801</v>
      </c>
      <c r="H24" s="99">
        <v>1090</v>
      </c>
      <c r="I24" s="99">
        <v>1090</v>
      </c>
      <c r="J24" s="99">
        <v>1090</v>
      </c>
      <c r="K24" s="99">
        <v>1090</v>
      </c>
      <c r="L24" s="99">
        <v>1090</v>
      </c>
      <c r="M24" s="99">
        <v>1145</v>
      </c>
      <c r="N24" s="99">
        <v>1145</v>
      </c>
      <c r="O24" s="99">
        <v>1145</v>
      </c>
      <c r="P24" s="99">
        <v>1145</v>
      </c>
      <c r="Q24" s="99">
        <v>1145</v>
      </c>
      <c r="R24" s="99">
        <v>1145</v>
      </c>
      <c r="S24" s="99">
        <v>1145</v>
      </c>
      <c r="T24" s="83">
        <f t="shared" si="1"/>
        <v>13465</v>
      </c>
    </row>
    <row r="25" spans="2:20">
      <c r="B25" s="39">
        <f t="shared" si="2"/>
        <v>15</v>
      </c>
      <c r="C25" s="53" t="s">
        <v>436</v>
      </c>
      <c r="D25" s="24">
        <v>1440</v>
      </c>
      <c r="E25" s="22">
        <v>5230</v>
      </c>
      <c r="F25" s="24">
        <v>4081</v>
      </c>
      <c r="G25" s="24">
        <v>40801</v>
      </c>
      <c r="H25" s="99">
        <v>5392</v>
      </c>
      <c r="I25" s="99">
        <v>5392</v>
      </c>
      <c r="J25" s="99">
        <v>5392</v>
      </c>
      <c r="K25" s="99">
        <v>5392</v>
      </c>
      <c r="L25" s="99">
        <v>5392</v>
      </c>
      <c r="M25" s="99">
        <v>5662</v>
      </c>
      <c r="N25" s="99">
        <v>5662</v>
      </c>
      <c r="O25" s="99">
        <v>5662</v>
      </c>
      <c r="P25" s="99">
        <v>5662</v>
      </c>
      <c r="Q25" s="99">
        <v>5662</v>
      </c>
      <c r="R25" s="99">
        <v>5662</v>
      </c>
      <c r="S25" s="99">
        <v>5662</v>
      </c>
      <c r="T25" s="83">
        <f t="shared" si="1"/>
        <v>66594</v>
      </c>
    </row>
    <row r="26" spans="2:20" hidden="1">
      <c r="B26" s="39">
        <f t="shared" si="2"/>
        <v>16</v>
      </c>
      <c r="C26" s="53" t="s">
        <v>576</v>
      </c>
      <c r="D26" s="24">
        <v>1500</v>
      </c>
      <c r="E26" s="22">
        <v>5230</v>
      </c>
      <c r="F26" s="24">
        <v>4081</v>
      </c>
      <c r="G26" s="24">
        <v>40801</v>
      </c>
      <c r="H26" s="99" t="s">
        <v>698</v>
      </c>
      <c r="I26" s="99" t="s">
        <v>698</v>
      </c>
      <c r="J26" s="99" t="s">
        <v>698</v>
      </c>
      <c r="K26" s="99" t="s">
        <v>698</v>
      </c>
      <c r="L26" s="99" t="s">
        <v>698</v>
      </c>
      <c r="M26" s="99" t="s">
        <v>698</v>
      </c>
      <c r="N26" s="99" t="s">
        <v>698</v>
      </c>
      <c r="O26" s="99" t="s">
        <v>698</v>
      </c>
      <c r="P26" s="99" t="s">
        <v>698</v>
      </c>
      <c r="Q26" s="99" t="s">
        <v>698</v>
      </c>
      <c r="R26" s="99" t="s">
        <v>698</v>
      </c>
      <c r="S26" s="99" t="s">
        <v>698</v>
      </c>
      <c r="T26" s="83">
        <f>SUM(H26:S26)</f>
        <v>0</v>
      </c>
    </row>
    <row r="27" spans="2:20" hidden="1">
      <c r="B27" s="39">
        <f t="shared" si="2"/>
        <v>17</v>
      </c>
      <c r="C27" s="53" t="s">
        <v>577</v>
      </c>
      <c r="D27" s="54" t="s">
        <v>397</v>
      </c>
      <c r="E27" s="22">
        <v>5230</v>
      </c>
      <c r="F27" s="24">
        <v>4081</v>
      </c>
      <c r="G27" s="24">
        <v>40801</v>
      </c>
      <c r="H27" s="99" t="s">
        <v>698</v>
      </c>
      <c r="I27" s="99" t="s">
        <v>698</v>
      </c>
      <c r="J27" s="99" t="s">
        <v>698</v>
      </c>
      <c r="K27" s="99" t="s">
        <v>698</v>
      </c>
      <c r="L27" s="99" t="s">
        <v>698</v>
      </c>
      <c r="M27" s="99" t="s">
        <v>698</v>
      </c>
      <c r="N27" s="99" t="s">
        <v>698</v>
      </c>
      <c r="O27" s="99" t="s">
        <v>698</v>
      </c>
      <c r="P27" s="99" t="s">
        <v>698</v>
      </c>
      <c r="Q27" s="99" t="s">
        <v>698</v>
      </c>
      <c r="R27" s="99" t="s">
        <v>698</v>
      </c>
      <c r="S27" s="99" t="s">
        <v>698</v>
      </c>
      <c r="T27" s="83">
        <f t="shared" ref="T27:T29" si="3">SUM(H27:S27)</f>
        <v>0</v>
      </c>
    </row>
    <row r="28" spans="2:20" hidden="1">
      <c r="B28" s="39">
        <f t="shared" si="2"/>
        <v>18</v>
      </c>
      <c r="C28" s="53" t="s">
        <v>578</v>
      </c>
      <c r="D28" s="54" t="s">
        <v>397</v>
      </c>
      <c r="E28" s="22">
        <v>5230</v>
      </c>
      <c r="F28" s="24">
        <v>4081</v>
      </c>
      <c r="G28" s="24">
        <v>40801</v>
      </c>
      <c r="H28" s="99" t="s">
        <v>698</v>
      </c>
      <c r="I28" s="99" t="s">
        <v>698</v>
      </c>
      <c r="J28" s="99" t="s">
        <v>698</v>
      </c>
      <c r="K28" s="99" t="s">
        <v>698</v>
      </c>
      <c r="L28" s="99" t="s">
        <v>698</v>
      </c>
      <c r="M28" s="99" t="s">
        <v>698</v>
      </c>
      <c r="N28" s="99" t="s">
        <v>698</v>
      </c>
      <c r="O28" s="99" t="s">
        <v>698</v>
      </c>
      <c r="P28" s="99" t="s">
        <v>698</v>
      </c>
      <c r="Q28" s="99" t="s">
        <v>698</v>
      </c>
      <c r="R28" s="99" t="s">
        <v>698</v>
      </c>
      <c r="S28" s="99" t="s">
        <v>698</v>
      </c>
      <c r="T28" s="83">
        <f t="shared" si="3"/>
        <v>0</v>
      </c>
    </row>
    <row r="29" spans="2:20">
      <c r="B29" s="39">
        <f t="shared" si="2"/>
        <v>19</v>
      </c>
      <c r="C29" s="53" t="s">
        <v>437</v>
      </c>
      <c r="D29" s="24">
        <v>1600</v>
      </c>
      <c r="E29" s="22">
        <v>5230</v>
      </c>
      <c r="F29" s="24">
        <v>4081</v>
      </c>
      <c r="G29" s="24">
        <v>40801</v>
      </c>
      <c r="H29" s="99">
        <v>18000</v>
      </c>
      <c r="I29" s="99">
        <v>18000</v>
      </c>
      <c r="J29" s="99">
        <v>18000</v>
      </c>
      <c r="K29" s="99">
        <v>18000</v>
      </c>
      <c r="L29" s="99">
        <v>18000</v>
      </c>
      <c r="M29" s="99">
        <v>18000</v>
      </c>
      <c r="N29" s="99">
        <v>18000</v>
      </c>
      <c r="O29" s="99">
        <v>18000</v>
      </c>
      <c r="P29" s="99">
        <v>18000</v>
      </c>
      <c r="Q29" s="99">
        <v>18000</v>
      </c>
      <c r="R29" s="99">
        <v>18000</v>
      </c>
      <c r="S29" s="99">
        <v>-51709</v>
      </c>
      <c r="T29" s="83">
        <f t="shared" si="3"/>
        <v>146291</v>
      </c>
    </row>
    <row r="30" spans="2:20">
      <c r="B30" s="39">
        <f t="shared" si="2"/>
        <v>20</v>
      </c>
      <c r="C30" s="53" t="s">
        <v>438</v>
      </c>
      <c r="D30" s="24">
        <v>1610</v>
      </c>
      <c r="E30" s="22">
        <v>5230</v>
      </c>
      <c r="F30" s="24">
        <v>4081</v>
      </c>
      <c r="G30" s="24">
        <v>40801</v>
      </c>
      <c r="H30" s="99">
        <v>29000</v>
      </c>
      <c r="I30" s="99">
        <v>29000</v>
      </c>
      <c r="J30" s="99">
        <v>29000</v>
      </c>
      <c r="K30" s="99">
        <v>29000</v>
      </c>
      <c r="L30" s="99">
        <v>29000</v>
      </c>
      <c r="M30" s="99">
        <v>29000</v>
      </c>
      <c r="N30" s="99">
        <v>29000</v>
      </c>
      <c r="O30" s="99">
        <v>29000</v>
      </c>
      <c r="P30" s="99">
        <v>29000</v>
      </c>
      <c r="Q30" s="99">
        <v>29000</v>
      </c>
      <c r="R30" s="99">
        <v>29000</v>
      </c>
      <c r="S30" s="99">
        <v>-86597</v>
      </c>
      <c r="T30" s="83">
        <f t="shared" si="1"/>
        <v>232403</v>
      </c>
    </row>
    <row r="31" spans="2:20">
      <c r="B31" s="39">
        <f t="shared" si="2"/>
        <v>21</v>
      </c>
      <c r="C31" s="53" t="s">
        <v>439</v>
      </c>
      <c r="D31" s="24">
        <v>1620</v>
      </c>
      <c r="E31" s="22">
        <v>5230</v>
      </c>
      <c r="F31" s="24">
        <v>4081</v>
      </c>
      <c r="G31" s="24">
        <v>40801</v>
      </c>
      <c r="H31" s="99">
        <v>17000</v>
      </c>
      <c r="I31" s="99">
        <v>17000</v>
      </c>
      <c r="J31" s="99">
        <v>17000</v>
      </c>
      <c r="K31" s="99">
        <v>17000</v>
      </c>
      <c r="L31" s="99">
        <v>17000</v>
      </c>
      <c r="M31" s="99">
        <v>17000</v>
      </c>
      <c r="N31" s="99">
        <v>17000</v>
      </c>
      <c r="O31" s="99">
        <v>17000</v>
      </c>
      <c r="P31" s="99">
        <v>17000</v>
      </c>
      <c r="Q31" s="99">
        <v>17000</v>
      </c>
      <c r="R31" s="99">
        <v>17000</v>
      </c>
      <c r="S31" s="99">
        <v>-37194</v>
      </c>
      <c r="T31" s="83">
        <f t="shared" si="1"/>
        <v>149806</v>
      </c>
    </row>
    <row r="32" spans="2:20">
      <c r="B32" s="39">
        <f t="shared" si="2"/>
        <v>22</v>
      </c>
      <c r="C32" s="53" t="s">
        <v>440</v>
      </c>
      <c r="D32" s="54" t="s">
        <v>397</v>
      </c>
      <c r="E32" s="690">
        <v>5230</v>
      </c>
      <c r="F32" s="695">
        <v>4081</v>
      </c>
      <c r="G32" s="24">
        <v>40801</v>
      </c>
      <c r="H32" s="99">
        <v>643914</v>
      </c>
      <c r="I32" s="99">
        <v>643914</v>
      </c>
      <c r="J32" s="99">
        <v>643914</v>
      </c>
      <c r="K32" s="99">
        <v>643914</v>
      </c>
      <c r="L32" s="99">
        <v>643914</v>
      </c>
      <c r="M32" s="99">
        <v>705667</v>
      </c>
      <c r="N32" s="99">
        <v>705668</v>
      </c>
      <c r="O32" s="99">
        <v>705668</v>
      </c>
      <c r="P32" s="99">
        <v>705668</v>
      </c>
      <c r="Q32" s="99">
        <v>705668</v>
      </c>
      <c r="R32" s="99">
        <v>705668</v>
      </c>
      <c r="S32" s="99">
        <v>7170</v>
      </c>
      <c r="T32" s="83">
        <f t="shared" si="1"/>
        <v>7460747</v>
      </c>
    </row>
    <row r="33" spans="2:21" hidden="1">
      <c r="B33" s="39">
        <f t="shared" si="2"/>
        <v>23</v>
      </c>
      <c r="C33" s="53" t="s">
        <v>441</v>
      </c>
      <c r="D33" s="54" t="s">
        <v>397</v>
      </c>
      <c r="E33" s="690">
        <v>5230</v>
      </c>
      <c r="F33" s="695">
        <v>4081</v>
      </c>
      <c r="G33" s="24">
        <v>40801</v>
      </c>
      <c r="H33" s="99" t="s">
        <v>698</v>
      </c>
      <c r="I33" s="99" t="s">
        <v>698</v>
      </c>
      <c r="J33" s="99" t="s">
        <v>698</v>
      </c>
      <c r="K33" s="99" t="s">
        <v>698</v>
      </c>
      <c r="L33" s="99" t="s">
        <v>698</v>
      </c>
      <c r="M33" s="99" t="s">
        <v>698</v>
      </c>
      <c r="N33" s="99" t="s">
        <v>698</v>
      </c>
      <c r="O33" s="99" t="s">
        <v>698</v>
      </c>
      <c r="P33" s="99" t="s">
        <v>698</v>
      </c>
      <c r="Q33" s="99" t="s">
        <v>698</v>
      </c>
      <c r="R33" s="99" t="s">
        <v>698</v>
      </c>
      <c r="S33" s="99" t="s">
        <v>698</v>
      </c>
      <c r="T33" s="83">
        <f t="shared" si="1"/>
        <v>0</v>
      </c>
    </row>
    <row r="34" spans="2:21" hidden="1">
      <c r="B34" s="39">
        <f t="shared" si="2"/>
        <v>24</v>
      </c>
      <c r="C34" s="53" t="s">
        <v>579</v>
      </c>
      <c r="D34" s="54" t="s">
        <v>397</v>
      </c>
      <c r="E34" s="690">
        <v>5230</v>
      </c>
      <c r="F34" s="695">
        <v>4081</v>
      </c>
      <c r="G34" s="24">
        <v>40801</v>
      </c>
      <c r="H34" s="99" t="s">
        <v>698</v>
      </c>
      <c r="I34" s="99" t="s">
        <v>698</v>
      </c>
      <c r="J34" s="99" t="s">
        <v>698</v>
      </c>
      <c r="K34" s="99" t="s">
        <v>698</v>
      </c>
      <c r="L34" s="99" t="s">
        <v>698</v>
      </c>
      <c r="M34" s="99" t="s">
        <v>698</v>
      </c>
      <c r="N34" s="99" t="s">
        <v>698</v>
      </c>
      <c r="O34" s="99" t="s">
        <v>698</v>
      </c>
      <c r="P34" s="99" t="s">
        <v>698</v>
      </c>
      <c r="Q34" s="99" t="s">
        <v>698</v>
      </c>
      <c r="R34" s="99" t="s">
        <v>698</v>
      </c>
      <c r="S34" s="99" t="s">
        <v>698</v>
      </c>
      <c r="T34" s="83">
        <f>SUM(H34:S34)</f>
        <v>0</v>
      </c>
    </row>
    <row r="35" spans="2:21" hidden="1">
      <c r="B35" s="39">
        <f t="shared" si="2"/>
        <v>25</v>
      </c>
      <c r="C35" s="53" t="s">
        <v>484</v>
      </c>
      <c r="D35" s="54" t="s">
        <v>397</v>
      </c>
      <c r="E35" s="690">
        <v>5230</v>
      </c>
      <c r="F35" s="695">
        <v>4081</v>
      </c>
      <c r="G35" s="24">
        <v>40801</v>
      </c>
      <c r="H35" s="99" t="s">
        <v>698</v>
      </c>
      <c r="I35" s="99" t="s">
        <v>698</v>
      </c>
      <c r="J35" s="99" t="s">
        <v>698</v>
      </c>
      <c r="K35" s="99" t="s">
        <v>698</v>
      </c>
      <c r="L35" s="99" t="s">
        <v>698</v>
      </c>
      <c r="M35" s="99" t="s">
        <v>698</v>
      </c>
      <c r="N35" s="99" t="s">
        <v>698</v>
      </c>
      <c r="O35" s="99" t="s">
        <v>698</v>
      </c>
      <c r="P35" s="99" t="s">
        <v>698</v>
      </c>
      <c r="Q35" s="99" t="s">
        <v>698</v>
      </c>
      <c r="R35" s="99" t="s">
        <v>698</v>
      </c>
      <c r="S35" s="99" t="s">
        <v>698</v>
      </c>
      <c r="T35" s="83">
        <f>SUM(H35:S35)</f>
        <v>0</v>
      </c>
    </row>
    <row r="36" spans="2:21">
      <c r="B36" s="39">
        <f t="shared" si="2"/>
        <v>26</v>
      </c>
      <c r="C36" s="53" t="s">
        <v>442</v>
      </c>
      <c r="D36" s="54" t="s">
        <v>397</v>
      </c>
      <c r="E36" s="690">
        <v>5230</v>
      </c>
      <c r="F36" s="695">
        <v>4081</v>
      </c>
      <c r="G36" s="24">
        <v>40801</v>
      </c>
      <c r="H36" s="99">
        <v>50345</v>
      </c>
      <c r="I36" s="99">
        <v>50345</v>
      </c>
      <c r="J36" s="99">
        <v>50345</v>
      </c>
      <c r="K36" s="99">
        <v>50345</v>
      </c>
      <c r="L36" s="99">
        <v>50345</v>
      </c>
      <c r="M36" s="99">
        <v>52862</v>
      </c>
      <c r="N36" s="99">
        <v>52862</v>
      </c>
      <c r="O36" s="99">
        <v>52862</v>
      </c>
      <c r="P36" s="99">
        <v>52862</v>
      </c>
      <c r="Q36" s="99">
        <v>52862</v>
      </c>
      <c r="R36" s="99">
        <v>52862</v>
      </c>
      <c r="S36" s="99">
        <v>52862</v>
      </c>
      <c r="T36" s="83">
        <f>SUM(H36:S36)</f>
        <v>621759</v>
      </c>
    </row>
    <row r="37" spans="2:21">
      <c r="B37" s="137">
        <f t="shared" si="2"/>
        <v>27</v>
      </c>
      <c r="C37" s="53" t="s">
        <v>443</v>
      </c>
      <c r="D37" s="24">
        <v>1990</v>
      </c>
      <c r="E37" s="22">
        <v>5230</v>
      </c>
      <c r="F37" s="24">
        <v>4081</v>
      </c>
      <c r="G37" s="24">
        <v>40801</v>
      </c>
      <c r="H37" s="99">
        <v>1162</v>
      </c>
      <c r="I37" s="99">
        <v>1162</v>
      </c>
      <c r="J37" s="99">
        <v>1162</v>
      </c>
      <c r="K37" s="99">
        <v>1162</v>
      </c>
      <c r="L37" s="99">
        <v>1162</v>
      </c>
      <c r="M37" s="99">
        <v>1220</v>
      </c>
      <c r="N37" s="99">
        <v>1220</v>
      </c>
      <c r="O37" s="99">
        <v>1220</v>
      </c>
      <c r="P37" s="99">
        <v>1220</v>
      </c>
      <c r="Q37" s="99">
        <v>1220</v>
      </c>
      <c r="R37" s="99">
        <v>1220</v>
      </c>
      <c r="S37" s="99">
        <v>1220</v>
      </c>
      <c r="T37" s="83">
        <f t="shared" si="1"/>
        <v>14350</v>
      </c>
    </row>
    <row r="38" spans="2:21">
      <c r="B38" s="39">
        <f t="shared" si="2"/>
        <v>28</v>
      </c>
      <c r="C38" s="36" t="s">
        <v>697</v>
      </c>
      <c r="D38" s="42"/>
      <c r="E38" s="22"/>
      <c r="F38" s="22"/>
      <c r="H38" s="100">
        <f t="shared" ref="H38:T38" si="4">SUM(H12:H37)</f>
        <v>960744</v>
      </c>
      <c r="I38" s="100">
        <f t="shared" si="4"/>
        <v>967435</v>
      </c>
      <c r="J38" s="100">
        <f t="shared" si="4"/>
        <v>986210</v>
      </c>
      <c r="K38" s="100">
        <f t="shared" si="4"/>
        <v>980613</v>
      </c>
      <c r="L38" s="100">
        <f t="shared" si="4"/>
        <v>979131</v>
      </c>
      <c r="M38" s="100">
        <f t="shared" si="4"/>
        <v>1047971</v>
      </c>
      <c r="N38" s="100">
        <f t="shared" si="4"/>
        <v>1057870</v>
      </c>
      <c r="O38" s="100">
        <f t="shared" si="4"/>
        <v>1055786</v>
      </c>
      <c r="P38" s="100">
        <f t="shared" si="4"/>
        <v>1047811</v>
      </c>
      <c r="Q38" s="100">
        <f t="shared" si="4"/>
        <v>1054743.8599999999</v>
      </c>
      <c r="R38" s="100">
        <f t="shared" si="4"/>
        <v>1054041</v>
      </c>
      <c r="S38" s="100">
        <f t="shared" si="4"/>
        <v>112897.94</v>
      </c>
      <c r="T38" s="100">
        <f t="shared" si="4"/>
        <v>11305253.800000001</v>
      </c>
      <c r="U38" s="141"/>
    </row>
    <row r="39" spans="2:21">
      <c r="B39" s="39">
        <f t="shared" si="2"/>
        <v>29</v>
      </c>
      <c r="C39" s="26" t="s">
        <v>468</v>
      </c>
      <c r="D39" s="42"/>
      <c r="E39" s="22"/>
      <c r="F39" s="22"/>
      <c r="G39" s="36"/>
      <c r="H39" s="101"/>
      <c r="I39" s="101"/>
      <c r="J39" s="101"/>
      <c r="K39" s="101"/>
      <c r="L39" s="101"/>
      <c r="M39" s="101"/>
      <c r="N39" s="101"/>
      <c r="O39" s="101"/>
      <c r="P39" s="101"/>
      <c r="Q39" s="101"/>
      <c r="R39" s="101"/>
      <c r="S39" s="101"/>
      <c r="T39" s="102">
        <f>+T15</f>
        <v>715698.8</v>
      </c>
    </row>
    <row r="40" spans="2:21" ht="15.75" thickBot="1">
      <c r="B40" s="39">
        <f t="shared" si="2"/>
        <v>30</v>
      </c>
      <c r="C40" s="27" t="s">
        <v>469</v>
      </c>
      <c r="D40" s="42"/>
      <c r="E40" s="22"/>
      <c r="F40" s="22"/>
      <c r="G40" s="36"/>
      <c r="H40" s="101"/>
      <c r="I40" s="101"/>
      <c r="J40" s="101"/>
      <c r="K40" s="101"/>
      <c r="L40" s="101"/>
      <c r="M40" s="101"/>
      <c r="N40" s="101"/>
      <c r="O40" s="101"/>
      <c r="P40" s="101"/>
      <c r="Q40" s="101"/>
      <c r="R40" s="101"/>
      <c r="S40" s="101"/>
      <c r="T40" s="140">
        <f>+T38-T39</f>
        <v>10589555</v>
      </c>
    </row>
    <row r="41" spans="2:21" ht="15.75" thickTop="1">
      <c r="B41" s="40"/>
      <c r="C41" s="31"/>
      <c r="D41" s="44"/>
      <c r="E41" s="44"/>
      <c r="F41" s="44"/>
      <c r="G41" s="44"/>
      <c r="H41" s="103"/>
      <c r="I41" s="103"/>
      <c r="J41" s="103"/>
      <c r="K41" s="103"/>
      <c r="L41" s="103"/>
      <c r="M41" s="103"/>
      <c r="N41" s="103"/>
      <c r="O41" s="103"/>
      <c r="P41" s="103"/>
      <c r="Q41" s="103"/>
      <c r="R41" s="103"/>
      <c r="S41" s="103"/>
      <c r="T41" s="55"/>
    </row>
    <row r="42" spans="2:21">
      <c r="B42" s="42"/>
      <c r="C42" s="28"/>
      <c r="D42" s="42"/>
      <c r="E42" s="42"/>
      <c r="F42" s="42"/>
      <c r="G42" s="42"/>
      <c r="H42" s="28"/>
      <c r="I42" s="28"/>
      <c r="J42" s="28"/>
      <c r="K42" s="28"/>
      <c r="L42" s="28"/>
      <c r="M42" s="28"/>
      <c r="N42" s="28"/>
      <c r="O42" s="28"/>
      <c r="P42" s="28"/>
      <c r="Q42" s="28"/>
      <c r="R42" s="28"/>
      <c r="S42" s="28"/>
      <c r="T42" s="28"/>
    </row>
    <row r="43" spans="2:21">
      <c r="S43" s="898" t="s">
        <v>699</v>
      </c>
      <c r="T43" s="900">
        <v>7006653</v>
      </c>
    </row>
    <row r="44" spans="2:21">
      <c r="S44" s="898" t="s">
        <v>700</v>
      </c>
      <c r="T44" s="900">
        <v>1997853</v>
      </c>
    </row>
    <row r="45" spans="2:21">
      <c r="S45" s="898" t="s">
        <v>701</v>
      </c>
      <c r="T45" s="897">
        <v>1590929</v>
      </c>
    </row>
    <row r="46" spans="2:21">
      <c r="S46" s="896"/>
      <c r="T46" s="895">
        <f>SUM(T43:T45)</f>
        <v>10595435</v>
      </c>
    </row>
    <row r="47" spans="2:21">
      <c r="S47" s="898" t="s">
        <v>703</v>
      </c>
      <c r="T47" s="899">
        <f>T46-T40</f>
        <v>5880</v>
      </c>
    </row>
    <row r="48" spans="2:21">
      <c r="S48" s="896"/>
      <c r="T48" s="896"/>
    </row>
  </sheetData>
  <mergeCells count="3">
    <mergeCell ref="B3:T3"/>
    <mergeCell ref="B4:T4"/>
    <mergeCell ref="B5:T5"/>
  </mergeCells>
  <printOptions horizontalCentered="1"/>
  <pageMargins left="0.75" right="0.75" top="0.75" bottom="0.75" header="0.5" footer="0.5"/>
  <pageSetup scale="51" orientation="landscape" r:id="rId1"/>
  <headerFooter>
    <oddHeader>&amp;R&amp;"Arial,Regular"&amp;10Attachment O Work Paper
Page 14 of 22</oddHeader>
  </headerFooter>
  <ignoredErrors>
    <ignoredError sqref="T12:T38" formulaRange="1"/>
    <ignoredError sqref="D32:D3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D16"/>
  <sheetViews>
    <sheetView showGridLines="0" zoomScaleNormal="100" workbookViewId="0">
      <selection activeCell="C20" sqref="C20"/>
    </sheetView>
  </sheetViews>
  <sheetFormatPr defaultColWidth="11.77734375" defaultRowHeight="12.75"/>
  <cols>
    <col min="1" max="1" width="3.44140625" style="709" bestFit="1" customWidth="1"/>
    <col min="2" max="2" width="29.21875" style="696" customWidth="1"/>
    <col min="3" max="3" width="11.77734375" style="696" customWidth="1"/>
    <col min="4" max="250" width="8.88671875" style="696" customWidth="1"/>
    <col min="251" max="251" width="3.44140625" style="696" bestFit="1" customWidth="1"/>
    <col min="252" max="252" width="29.21875" style="696" customWidth="1"/>
    <col min="253" max="16384" width="11.77734375" style="696"/>
  </cols>
  <sheetData>
    <row r="1" spans="1:4">
      <c r="B1" s="766"/>
      <c r="C1" s="263"/>
      <c r="D1" s="386"/>
    </row>
    <row r="2" spans="1:4">
      <c r="B2" s="759"/>
      <c r="C2" s="263"/>
    </row>
    <row r="3" spans="1:4" ht="12.75" customHeight="1">
      <c r="A3" s="959" t="s">
        <v>0</v>
      </c>
      <c r="B3" s="960"/>
      <c r="C3" s="960"/>
    </row>
    <row r="4" spans="1:4" ht="12.75" customHeight="1">
      <c r="A4" s="959" t="s">
        <v>337</v>
      </c>
      <c r="B4" s="960"/>
      <c r="C4" s="960"/>
      <c r="D4" s="891"/>
    </row>
    <row r="5" spans="1:4" ht="12.75" customHeight="1">
      <c r="A5" s="962" t="str">
        <f>'Page 13 - Depr Exp'!A5:G5</f>
        <v>Actual Year 2013</v>
      </c>
      <c r="B5" s="962"/>
      <c r="C5" s="962"/>
      <c r="D5" s="386"/>
    </row>
    <row r="6" spans="1:4">
      <c r="B6" s="262"/>
      <c r="C6" s="504"/>
    </row>
    <row r="7" spans="1:4">
      <c r="B7" s="503" t="s">
        <v>1</v>
      </c>
      <c r="C7" s="709" t="s">
        <v>2</v>
      </c>
    </row>
    <row r="8" spans="1:4">
      <c r="C8" s="739"/>
    </row>
    <row r="9" spans="1:4" ht="25.5">
      <c r="A9" s="684" t="s">
        <v>38</v>
      </c>
      <c r="B9" s="894" t="s">
        <v>337</v>
      </c>
      <c r="C9" s="502" t="s">
        <v>338</v>
      </c>
    </row>
    <row r="10" spans="1:4">
      <c r="A10" s="711">
        <v>1</v>
      </c>
      <c r="B10" s="493" t="s">
        <v>339</v>
      </c>
      <c r="C10" s="76">
        <v>596954</v>
      </c>
      <c r="D10" s="723"/>
    </row>
    <row r="11" spans="1:4">
      <c r="A11" s="711">
        <f>A10+1</f>
        <v>2</v>
      </c>
      <c r="B11" s="852"/>
      <c r="C11" s="76"/>
    </row>
    <row r="12" spans="1:4">
      <c r="A12" s="711">
        <f>A11+1</f>
        <v>3</v>
      </c>
      <c r="B12" s="852" t="s">
        <v>340</v>
      </c>
      <c r="C12" s="76">
        <v>1328356</v>
      </c>
      <c r="D12" s="723"/>
    </row>
    <row r="13" spans="1:4">
      <c r="A13" s="711">
        <f>A12+1</f>
        <v>4</v>
      </c>
      <c r="B13" s="852"/>
      <c r="C13" s="499"/>
    </row>
    <row r="14" spans="1:4" ht="13.5" thickBot="1">
      <c r="A14" s="711">
        <f>A13+1</f>
        <v>5</v>
      </c>
      <c r="B14" s="809" t="s">
        <v>16</v>
      </c>
      <c r="C14" s="250">
        <f>+C10+C12</f>
        <v>1925310</v>
      </c>
    </row>
    <row r="15" spans="1:4" ht="13.5" thickTop="1">
      <c r="A15" s="712"/>
      <c r="B15" s="496"/>
      <c r="C15" s="495"/>
    </row>
    <row r="16" spans="1:4">
      <c r="A16" s="696"/>
      <c r="C16" s="760"/>
    </row>
  </sheetData>
  <mergeCells count="3">
    <mergeCell ref="A3:C3"/>
    <mergeCell ref="A4:C4"/>
    <mergeCell ref="A5:C5"/>
  </mergeCells>
  <printOptions horizontalCentered="1"/>
  <pageMargins left="0.75" right="0.75" top="0.75" bottom="0.75" header="0.5" footer="0.5"/>
  <pageSetup scale="80" orientation="portrait" r:id="rId1"/>
  <headerFooter alignWithMargins="0">
    <oddHeader>&amp;R&amp;"Arial,Regular"&amp;10Attachment O Work Paper
Page 15 of 22</oddHeader>
  </headerFooter>
  <ignoredErrors>
    <ignoredError sqref="A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showGridLines="0" workbookViewId="0">
      <pane ySplit="9" topLeftCell="A55" activePane="bottomLeft" state="frozen"/>
      <selection pane="bottomLeft" activeCell="I45" sqref="I45"/>
    </sheetView>
  </sheetViews>
  <sheetFormatPr defaultRowHeight="12.75"/>
  <cols>
    <col min="1" max="1" width="3.44140625" style="709" bestFit="1" customWidth="1"/>
    <col min="2" max="2" width="10.6640625" style="709" customWidth="1"/>
    <col min="3" max="6" width="6.77734375" style="709" customWidth="1"/>
    <col min="7" max="7" width="10" style="696" bestFit="1" customWidth="1"/>
    <col min="8" max="8" width="2.44140625" style="696" bestFit="1" customWidth="1"/>
    <col min="9" max="9" width="10" style="696" bestFit="1" customWidth="1"/>
    <col min="10" max="16384" width="8.88671875" style="696"/>
  </cols>
  <sheetData>
    <row r="1" spans="1:9">
      <c r="G1" s="386"/>
    </row>
    <row r="2" spans="1:9">
      <c r="A2" s="959" t="s">
        <v>0</v>
      </c>
      <c r="B2" s="959"/>
      <c r="C2" s="959"/>
      <c r="D2" s="959"/>
      <c r="E2" s="959"/>
      <c r="F2" s="959"/>
      <c r="G2" s="959"/>
    </row>
    <row r="3" spans="1:9">
      <c r="A3" s="959" t="s">
        <v>457</v>
      </c>
      <c r="B3" s="959"/>
      <c r="C3" s="959"/>
      <c r="D3" s="959"/>
      <c r="E3" s="959"/>
      <c r="F3" s="959"/>
      <c r="G3" s="959"/>
      <c r="I3" s="891"/>
    </row>
    <row r="4" spans="1:9">
      <c r="A4" s="962" t="str">
        <f>'Page 13 - Depr Exp'!A5:G5</f>
        <v>Actual Year 2013</v>
      </c>
      <c r="B4" s="962"/>
      <c r="C4" s="962"/>
      <c r="D4" s="962"/>
      <c r="E4" s="962"/>
      <c r="F4" s="962"/>
      <c r="G4" s="962"/>
      <c r="I4" s="386"/>
    </row>
    <row r="6" spans="1:9">
      <c r="B6" s="708" t="s">
        <v>1</v>
      </c>
      <c r="C6" s="709" t="s">
        <v>2</v>
      </c>
      <c r="D6" s="709" t="s">
        <v>3</v>
      </c>
      <c r="E6" s="709" t="s">
        <v>4</v>
      </c>
      <c r="F6" s="709" t="s">
        <v>5</v>
      </c>
      <c r="G6" s="709" t="s">
        <v>7</v>
      </c>
    </row>
    <row r="8" spans="1:9">
      <c r="A8" s="710" t="s">
        <v>8</v>
      </c>
      <c r="B8" s="713"/>
      <c r="C8" s="716"/>
      <c r="D8" s="716"/>
      <c r="E8" s="716"/>
      <c r="F8" s="716"/>
      <c r="G8" s="724"/>
    </row>
    <row r="9" spans="1:9">
      <c r="A9" s="712" t="s">
        <v>10</v>
      </c>
      <c r="B9" s="390" t="s">
        <v>446</v>
      </c>
      <c r="C9" s="249" t="s">
        <v>381</v>
      </c>
      <c r="D9" s="249" t="s">
        <v>447</v>
      </c>
      <c r="E9" s="249" t="s">
        <v>382</v>
      </c>
      <c r="F9" s="249" t="s">
        <v>33</v>
      </c>
      <c r="G9" s="248" t="s">
        <v>16</v>
      </c>
    </row>
    <row r="10" spans="1:9">
      <c r="A10" s="710">
        <v>1</v>
      </c>
      <c r="B10" s="247" t="str">
        <f>"Actual "&amp;Info!B3</f>
        <v>Actual 2013</v>
      </c>
      <c r="C10" s="246" t="s">
        <v>444</v>
      </c>
      <c r="D10" s="492">
        <v>5100</v>
      </c>
      <c r="E10" s="492">
        <v>1100</v>
      </c>
      <c r="F10" s="492">
        <v>5611</v>
      </c>
      <c r="G10" s="245">
        <v>75041.600000000006</v>
      </c>
    </row>
    <row r="11" spans="1:9">
      <c r="A11" s="711">
        <f>A10+1</f>
        <v>2</v>
      </c>
      <c r="B11" s="244" t="str">
        <f>$B$10</f>
        <v>Actual 2013</v>
      </c>
      <c r="C11" s="243" t="s">
        <v>646</v>
      </c>
      <c r="D11" s="242">
        <v>5100</v>
      </c>
      <c r="E11" s="242">
        <v>1100</v>
      </c>
      <c r="F11" s="242">
        <v>5611</v>
      </c>
      <c r="G11" s="125">
        <v>334</v>
      </c>
    </row>
    <row r="12" spans="1:9">
      <c r="A12" s="711">
        <f t="shared" ref="A12:A73" si="0">A11+1</f>
        <v>3</v>
      </c>
      <c r="B12" s="244" t="str">
        <f>$B$10</f>
        <v>Actual 2013</v>
      </c>
      <c r="C12" s="243" t="s">
        <v>444</v>
      </c>
      <c r="D12" s="242">
        <v>5101</v>
      </c>
      <c r="E12" s="242">
        <v>2500</v>
      </c>
      <c r="F12" s="242">
        <v>5611</v>
      </c>
      <c r="G12" s="125"/>
    </row>
    <row r="13" spans="1:9">
      <c r="A13" s="711">
        <f t="shared" si="0"/>
        <v>4</v>
      </c>
      <c r="B13" s="244" t="str">
        <f>$B$10</f>
        <v>Actual 2013</v>
      </c>
      <c r="C13" s="243" t="s">
        <v>444</v>
      </c>
      <c r="D13" s="242">
        <v>5101</v>
      </c>
      <c r="E13" s="242">
        <v>2600</v>
      </c>
      <c r="F13" s="242">
        <v>5611</v>
      </c>
      <c r="G13" s="125">
        <v>-2.06</v>
      </c>
    </row>
    <row r="14" spans="1:9">
      <c r="A14" s="711">
        <f t="shared" si="0"/>
        <v>5</v>
      </c>
      <c r="B14" s="244" t="str">
        <f>$B$10</f>
        <v>Actual 2013</v>
      </c>
      <c r="C14" s="243" t="s">
        <v>444</v>
      </c>
      <c r="D14" s="242">
        <v>5103</v>
      </c>
      <c r="E14" s="243" t="s">
        <v>397</v>
      </c>
      <c r="F14" s="242">
        <v>5611</v>
      </c>
      <c r="G14" s="125">
        <v>536.77</v>
      </c>
    </row>
    <row r="15" spans="1:9">
      <c r="A15" s="711">
        <f t="shared" si="0"/>
        <v>6</v>
      </c>
      <c r="B15" s="244" t="str">
        <f>$B$10</f>
        <v>Actual 2013</v>
      </c>
      <c r="C15" s="243" t="s">
        <v>444</v>
      </c>
      <c r="D15" s="242">
        <v>5116</v>
      </c>
      <c r="E15" s="243" t="s">
        <v>397</v>
      </c>
      <c r="F15" s="242">
        <v>5611</v>
      </c>
      <c r="G15" s="125">
        <v>-0.74</v>
      </c>
    </row>
    <row r="16" spans="1:9">
      <c r="A16" s="711">
        <f t="shared" si="0"/>
        <v>7</v>
      </c>
      <c r="B16" s="244"/>
      <c r="C16" s="242"/>
      <c r="D16" s="242"/>
      <c r="E16" s="242"/>
      <c r="F16" s="242"/>
      <c r="G16" s="880">
        <f>SUM(G10:G15)</f>
        <v>75909.570000000007</v>
      </c>
      <c r="I16" s="720"/>
    </row>
    <row r="17" spans="1:7">
      <c r="A17" s="711">
        <f t="shared" si="0"/>
        <v>8</v>
      </c>
      <c r="B17" s="244"/>
      <c r="C17" s="242"/>
      <c r="D17" s="242"/>
      <c r="E17" s="242"/>
      <c r="F17" s="242"/>
      <c r="G17" s="125"/>
    </row>
    <row r="18" spans="1:7">
      <c r="A18" s="711">
        <f t="shared" si="0"/>
        <v>9</v>
      </c>
      <c r="B18" s="244" t="str">
        <f t="shared" ref="B18:B34" si="1">$B$10</f>
        <v>Actual 2013</v>
      </c>
      <c r="C18" s="243" t="s">
        <v>444</v>
      </c>
      <c r="D18" s="242">
        <v>5100</v>
      </c>
      <c r="E18" s="242">
        <v>1120</v>
      </c>
      <c r="F18" s="242">
        <v>5612</v>
      </c>
      <c r="G18" s="125">
        <v>2564.09</v>
      </c>
    </row>
    <row r="19" spans="1:7">
      <c r="A19" s="711">
        <f t="shared" si="0"/>
        <v>10</v>
      </c>
      <c r="B19" s="244" t="str">
        <f t="shared" si="1"/>
        <v>Actual 2013</v>
      </c>
      <c r="C19" s="243" t="s">
        <v>444</v>
      </c>
      <c r="D19" s="242">
        <v>5100</v>
      </c>
      <c r="E19" s="242">
        <v>1100</v>
      </c>
      <c r="F19" s="242">
        <v>5612</v>
      </c>
      <c r="G19" s="125">
        <v>2553730.4300000002</v>
      </c>
    </row>
    <row r="20" spans="1:7">
      <c r="A20" s="711">
        <f t="shared" si="0"/>
        <v>11</v>
      </c>
      <c r="B20" s="244" t="str">
        <f t="shared" si="1"/>
        <v>Actual 2013</v>
      </c>
      <c r="C20" s="243" t="s">
        <v>646</v>
      </c>
      <c r="D20" s="242">
        <v>5100</v>
      </c>
      <c r="E20" s="242">
        <v>1100</v>
      </c>
      <c r="F20" s="242">
        <v>5612</v>
      </c>
      <c r="G20" s="241">
        <v>22434</v>
      </c>
    </row>
    <row r="21" spans="1:7">
      <c r="A21" s="711">
        <f t="shared" si="0"/>
        <v>12</v>
      </c>
      <c r="B21" s="244" t="str">
        <f t="shared" si="1"/>
        <v>Actual 2013</v>
      </c>
      <c r="C21" s="243" t="s">
        <v>445</v>
      </c>
      <c r="D21" s="242">
        <v>5100</v>
      </c>
      <c r="E21" s="242">
        <v>1100</v>
      </c>
      <c r="F21" s="242">
        <v>5612</v>
      </c>
      <c r="G21" s="241"/>
    </row>
    <row r="22" spans="1:7">
      <c r="A22" s="711">
        <f t="shared" si="0"/>
        <v>13</v>
      </c>
      <c r="B22" s="244" t="str">
        <f t="shared" si="1"/>
        <v>Actual 2013</v>
      </c>
      <c r="C22" s="242">
        <v>1690</v>
      </c>
      <c r="D22" s="242">
        <v>5100</v>
      </c>
      <c r="E22" s="242">
        <v>1100</v>
      </c>
      <c r="F22" s="242">
        <v>5612</v>
      </c>
      <c r="G22" s="241"/>
    </row>
    <row r="23" spans="1:7">
      <c r="A23" s="711">
        <f t="shared" si="0"/>
        <v>14</v>
      </c>
      <c r="B23" s="244" t="str">
        <f t="shared" si="1"/>
        <v>Actual 2013</v>
      </c>
      <c r="C23" s="243" t="s">
        <v>444</v>
      </c>
      <c r="D23" s="242">
        <v>5101</v>
      </c>
      <c r="E23" s="242">
        <v>2500</v>
      </c>
      <c r="F23" s="242">
        <v>5612</v>
      </c>
      <c r="G23" s="241">
        <v>16453.55</v>
      </c>
    </row>
    <row r="24" spans="1:7">
      <c r="A24" s="711">
        <f t="shared" si="0"/>
        <v>15</v>
      </c>
      <c r="B24" s="244" t="str">
        <f t="shared" si="1"/>
        <v>Actual 2013</v>
      </c>
      <c r="C24" s="242" t="s">
        <v>444</v>
      </c>
      <c r="D24" s="242">
        <v>5101</v>
      </c>
      <c r="E24" s="242">
        <v>2600</v>
      </c>
      <c r="F24" s="242">
        <v>5612</v>
      </c>
      <c r="G24" s="241">
        <v>15544.15</v>
      </c>
    </row>
    <row r="25" spans="1:7">
      <c r="A25" s="711">
        <f t="shared" si="0"/>
        <v>16</v>
      </c>
      <c r="B25" s="244" t="str">
        <f t="shared" si="1"/>
        <v>Actual 2013</v>
      </c>
      <c r="C25" s="243" t="s">
        <v>444</v>
      </c>
      <c r="D25" s="242">
        <v>5101</v>
      </c>
      <c r="E25" s="242">
        <v>2700</v>
      </c>
      <c r="F25" s="242">
        <v>5612</v>
      </c>
      <c r="G25" s="241">
        <v>2988.04</v>
      </c>
    </row>
    <row r="26" spans="1:7">
      <c r="A26" s="711">
        <f t="shared" si="0"/>
        <v>17</v>
      </c>
      <c r="B26" s="244" t="str">
        <f t="shared" si="1"/>
        <v>Actual 2013</v>
      </c>
      <c r="C26" s="242" t="s">
        <v>444</v>
      </c>
      <c r="D26" s="242">
        <v>5102</v>
      </c>
      <c r="E26" s="243" t="s">
        <v>397</v>
      </c>
      <c r="F26" s="242">
        <v>5612</v>
      </c>
      <c r="G26" s="241">
        <v>56671.91</v>
      </c>
    </row>
    <row r="27" spans="1:7">
      <c r="A27" s="711">
        <f t="shared" si="0"/>
        <v>18</v>
      </c>
      <c r="B27" s="244" t="str">
        <f t="shared" si="1"/>
        <v>Actual 2013</v>
      </c>
      <c r="C27" s="243" t="s">
        <v>444</v>
      </c>
      <c r="D27" s="242">
        <v>5103</v>
      </c>
      <c r="E27" s="243" t="s">
        <v>397</v>
      </c>
      <c r="F27" s="242">
        <v>5612</v>
      </c>
      <c r="G27" s="241">
        <v>13644.84</v>
      </c>
    </row>
    <row r="28" spans="1:7">
      <c r="A28" s="711">
        <f t="shared" si="0"/>
        <v>19</v>
      </c>
      <c r="B28" s="244" t="str">
        <f t="shared" si="1"/>
        <v>Actual 2013</v>
      </c>
      <c r="C28" s="242" t="s">
        <v>444</v>
      </c>
      <c r="D28" s="242">
        <v>5105</v>
      </c>
      <c r="E28" s="243" t="s">
        <v>397</v>
      </c>
      <c r="F28" s="242">
        <v>5612</v>
      </c>
      <c r="G28" s="241">
        <v>16765.79</v>
      </c>
    </row>
    <row r="29" spans="1:7">
      <c r="A29" s="711">
        <f t="shared" si="0"/>
        <v>20</v>
      </c>
      <c r="B29" s="244" t="str">
        <f t="shared" si="1"/>
        <v>Actual 2013</v>
      </c>
      <c r="C29" s="243" t="s">
        <v>444</v>
      </c>
      <c r="D29" s="242">
        <v>5106</v>
      </c>
      <c r="E29" s="242">
        <v>4000</v>
      </c>
      <c r="F29" s="242">
        <v>5612</v>
      </c>
      <c r="G29" s="241">
        <v>662.42</v>
      </c>
    </row>
    <row r="30" spans="1:7">
      <c r="A30" s="711">
        <f t="shared" si="0"/>
        <v>21</v>
      </c>
      <c r="B30" s="244" t="str">
        <f t="shared" si="1"/>
        <v>Actual 2013</v>
      </c>
      <c r="C30" s="242" t="s">
        <v>444</v>
      </c>
      <c r="D30" s="242">
        <v>5107</v>
      </c>
      <c r="E30" s="243" t="s">
        <v>397</v>
      </c>
      <c r="F30" s="242">
        <v>5612</v>
      </c>
      <c r="G30" s="241">
        <v>3493.17</v>
      </c>
    </row>
    <row r="31" spans="1:7">
      <c r="A31" s="711">
        <f t="shared" si="0"/>
        <v>22</v>
      </c>
      <c r="B31" s="244" t="str">
        <f t="shared" si="1"/>
        <v>Actual 2013</v>
      </c>
      <c r="C31" s="243" t="s">
        <v>444</v>
      </c>
      <c r="D31" s="242">
        <v>5109</v>
      </c>
      <c r="E31" s="243" t="s">
        <v>397</v>
      </c>
      <c r="F31" s="242">
        <v>5612</v>
      </c>
      <c r="G31" s="241">
        <v>-300593.76</v>
      </c>
    </row>
    <row r="32" spans="1:7">
      <c r="A32" s="711">
        <f t="shared" si="0"/>
        <v>23</v>
      </c>
      <c r="B32" s="244" t="str">
        <f t="shared" si="1"/>
        <v>Actual 2013</v>
      </c>
      <c r="C32" s="242" t="s">
        <v>444</v>
      </c>
      <c r="D32" s="242">
        <v>5110</v>
      </c>
      <c r="E32" s="242">
        <v>1000</v>
      </c>
      <c r="F32" s="242">
        <v>5612</v>
      </c>
      <c r="G32" s="241">
        <v>127090.89</v>
      </c>
    </row>
    <row r="33" spans="1:7">
      <c r="A33" s="711">
        <f t="shared" si="0"/>
        <v>24</v>
      </c>
      <c r="B33" s="244" t="str">
        <f t="shared" si="1"/>
        <v>Actual 2013</v>
      </c>
      <c r="C33" s="242" t="s">
        <v>444</v>
      </c>
      <c r="D33" s="242">
        <v>5116</v>
      </c>
      <c r="E33" s="243" t="s">
        <v>397</v>
      </c>
      <c r="F33" s="242">
        <v>5612</v>
      </c>
      <c r="G33" s="241">
        <v>11103.02</v>
      </c>
    </row>
    <row r="34" spans="1:7">
      <c r="A34" s="711">
        <f t="shared" si="0"/>
        <v>25</v>
      </c>
      <c r="B34" s="244" t="str">
        <f t="shared" si="1"/>
        <v>Actual 2013</v>
      </c>
      <c r="C34" s="243" t="s">
        <v>444</v>
      </c>
      <c r="D34" s="242">
        <v>5240</v>
      </c>
      <c r="E34" s="242">
        <v>3000</v>
      </c>
      <c r="F34" s="242">
        <v>5612</v>
      </c>
      <c r="G34" s="241">
        <v>220.81</v>
      </c>
    </row>
    <row r="35" spans="1:7">
      <c r="A35" s="711">
        <f t="shared" si="0"/>
        <v>26</v>
      </c>
      <c r="G35" s="729">
        <f>+SUM(G18:G34)</f>
        <v>2542773.35</v>
      </c>
    </row>
    <row r="36" spans="1:7">
      <c r="A36" s="711">
        <f t="shared" si="0"/>
        <v>27</v>
      </c>
      <c r="G36" s="56"/>
    </row>
    <row r="37" spans="1:7">
      <c r="A37" s="711">
        <f t="shared" si="0"/>
        <v>28</v>
      </c>
      <c r="B37" s="244" t="str">
        <f>$B$10</f>
        <v>Actual 2013</v>
      </c>
      <c r="C37" s="242" t="s">
        <v>451</v>
      </c>
      <c r="D37" s="242" t="s">
        <v>389</v>
      </c>
      <c r="E37" s="242" t="s">
        <v>390</v>
      </c>
      <c r="F37" s="242" t="s">
        <v>452</v>
      </c>
      <c r="G37" s="241">
        <v>351805.55</v>
      </c>
    </row>
    <row r="38" spans="1:7">
      <c r="A38" s="711">
        <f t="shared" si="0"/>
        <v>29</v>
      </c>
      <c r="B38" s="244" t="str">
        <f t="shared" ref="B38:B43" si="2">$B$10</f>
        <v>Actual 2013</v>
      </c>
      <c r="C38" s="243" t="s">
        <v>453</v>
      </c>
      <c r="D38" s="242" t="s">
        <v>389</v>
      </c>
      <c r="E38" s="242" t="s">
        <v>390</v>
      </c>
      <c r="F38" s="242" t="s">
        <v>452</v>
      </c>
      <c r="G38" s="241">
        <v>80873.17</v>
      </c>
    </row>
    <row r="39" spans="1:7">
      <c r="A39" s="711">
        <f t="shared" si="0"/>
        <v>30</v>
      </c>
      <c r="B39" s="244" t="str">
        <f t="shared" si="2"/>
        <v>Actual 2013</v>
      </c>
      <c r="C39" s="243" t="s">
        <v>445</v>
      </c>
      <c r="D39" s="242" t="s">
        <v>389</v>
      </c>
      <c r="E39" s="242" t="s">
        <v>390</v>
      </c>
      <c r="F39" s="242" t="s">
        <v>452</v>
      </c>
      <c r="G39" s="241">
        <v>16672.080000000002</v>
      </c>
    </row>
    <row r="40" spans="1:7">
      <c r="A40" s="711">
        <f t="shared" si="0"/>
        <v>31</v>
      </c>
      <c r="B40" s="244" t="str">
        <f t="shared" si="2"/>
        <v>Actual 2013</v>
      </c>
      <c r="C40" s="243" t="s">
        <v>534</v>
      </c>
      <c r="D40" s="242" t="s">
        <v>389</v>
      </c>
      <c r="E40" s="242" t="s">
        <v>390</v>
      </c>
      <c r="F40" s="242" t="s">
        <v>452</v>
      </c>
      <c r="G40" s="241">
        <v>2590.7600000000002</v>
      </c>
    </row>
    <row r="41" spans="1:7">
      <c r="A41" s="711">
        <f t="shared" si="0"/>
        <v>32</v>
      </c>
      <c r="B41" s="244" t="str">
        <f t="shared" si="2"/>
        <v>Actual 2013</v>
      </c>
      <c r="C41" s="243" t="s">
        <v>646</v>
      </c>
      <c r="D41" s="242" t="s">
        <v>389</v>
      </c>
      <c r="E41" s="242" t="s">
        <v>390</v>
      </c>
      <c r="F41" s="242" t="s">
        <v>452</v>
      </c>
      <c r="G41" s="241">
        <v>3440</v>
      </c>
    </row>
    <row r="42" spans="1:7">
      <c r="A42" s="711">
        <f t="shared" si="0"/>
        <v>33</v>
      </c>
      <c r="B42" s="244" t="str">
        <f t="shared" si="2"/>
        <v>Actual 2013</v>
      </c>
      <c r="C42" s="243" t="s">
        <v>451</v>
      </c>
      <c r="D42" s="242" t="s">
        <v>389</v>
      </c>
      <c r="E42" s="242">
        <v>1120</v>
      </c>
      <c r="F42" s="242" t="s">
        <v>452</v>
      </c>
      <c r="G42" s="241">
        <v>3362.05</v>
      </c>
    </row>
    <row r="43" spans="1:7">
      <c r="A43" s="711">
        <f t="shared" si="0"/>
        <v>34</v>
      </c>
      <c r="B43" s="244" t="str">
        <f t="shared" si="2"/>
        <v>Actual 2013</v>
      </c>
      <c r="C43" s="243" t="s">
        <v>445</v>
      </c>
      <c r="D43" s="242" t="s">
        <v>389</v>
      </c>
      <c r="E43" s="242">
        <v>1120</v>
      </c>
      <c r="F43" s="242" t="s">
        <v>452</v>
      </c>
      <c r="G43" s="241">
        <v>2278.34</v>
      </c>
    </row>
    <row r="44" spans="1:7">
      <c r="A44" s="711">
        <f t="shared" si="0"/>
        <v>35</v>
      </c>
      <c r="B44" s="244" t="str">
        <f>$B$10</f>
        <v>Actual 2013</v>
      </c>
      <c r="C44" s="242" t="s">
        <v>451</v>
      </c>
      <c r="D44" s="242">
        <v>5101</v>
      </c>
      <c r="E44" s="242">
        <v>2500</v>
      </c>
      <c r="F44" s="242" t="s">
        <v>452</v>
      </c>
      <c r="G44" s="241">
        <v>1842.43</v>
      </c>
    </row>
    <row r="45" spans="1:7">
      <c r="A45" s="711">
        <f t="shared" si="0"/>
        <v>36</v>
      </c>
      <c r="B45" s="244" t="str">
        <f t="shared" ref="B45:B53" si="3">$B$10</f>
        <v>Actual 2013</v>
      </c>
      <c r="C45" s="243" t="s">
        <v>445</v>
      </c>
      <c r="D45" s="242">
        <v>5101</v>
      </c>
      <c r="E45" s="242">
        <v>2500</v>
      </c>
      <c r="F45" s="242" t="s">
        <v>452</v>
      </c>
      <c r="G45" s="241"/>
    </row>
    <row r="46" spans="1:7">
      <c r="A46" s="711">
        <f t="shared" si="0"/>
        <v>37</v>
      </c>
      <c r="B46" s="244" t="str">
        <f t="shared" si="3"/>
        <v>Actual 2013</v>
      </c>
      <c r="C46" s="243" t="s">
        <v>534</v>
      </c>
      <c r="D46" s="242">
        <v>5101</v>
      </c>
      <c r="E46" s="242">
        <v>2500</v>
      </c>
      <c r="F46" s="242" t="s">
        <v>452</v>
      </c>
      <c r="G46" s="241"/>
    </row>
    <row r="47" spans="1:7">
      <c r="A47" s="711">
        <f t="shared" si="0"/>
        <v>38</v>
      </c>
      <c r="B47" s="244" t="str">
        <f t="shared" si="3"/>
        <v>Actual 2013</v>
      </c>
      <c r="C47" s="243" t="s">
        <v>451</v>
      </c>
      <c r="D47" s="242">
        <v>5101</v>
      </c>
      <c r="E47" s="242">
        <v>2600</v>
      </c>
      <c r="F47" s="242">
        <v>5615</v>
      </c>
      <c r="G47" s="241">
        <v>333.69</v>
      </c>
    </row>
    <row r="48" spans="1:7">
      <c r="A48" s="711">
        <f t="shared" si="0"/>
        <v>39</v>
      </c>
      <c r="B48" s="244" t="str">
        <f t="shared" si="3"/>
        <v>Actual 2013</v>
      </c>
      <c r="C48" s="243" t="s">
        <v>451</v>
      </c>
      <c r="D48" s="242">
        <v>5101</v>
      </c>
      <c r="E48" s="242">
        <v>2700</v>
      </c>
      <c r="F48" s="242" t="s">
        <v>452</v>
      </c>
      <c r="G48" s="241">
        <v>754.3</v>
      </c>
    </row>
    <row r="49" spans="1:7">
      <c r="A49" s="711">
        <f t="shared" si="0"/>
        <v>40</v>
      </c>
      <c r="B49" s="244" t="str">
        <f t="shared" si="3"/>
        <v>Actual 2013</v>
      </c>
      <c r="C49" s="243" t="s">
        <v>534</v>
      </c>
      <c r="D49" s="242">
        <v>5101</v>
      </c>
      <c r="E49" s="242">
        <v>2600</v>
      </c>
      <c r="F49" s="242" t="s">
        <v>452</v>
      </c>
      <c r="G49" s="241"/>
    </row>
    <row r="50" spans="1:7">
      <c r="A50" s="711">
        <f t="shared" si="0"/>
        <v>41</v>
      </c>
      <c r="B50" s="244" t="str">
        <f t="shared" si="3"/>
        <v>Actual 2013</v>
      </c>
      <c r="C50" s="243" t="s">
        <v>445</v>
      </c>
      <c r="D50" s="242">
        <v>5102</v>
      </c>
      <c r="E50" s="243" t="s">
        <v>397</v>
      </c>
      <c r="F50" s="242" t="s">
        <v>452</v>
      </c>
      <c r="G50" s="241">
        <v>794.99</v>
      </c>
    </row>
    <row r="51" spans="1:7">
      <c r="A51" s="711">
        <f t="shared" si="0"/>
        <v>42</v>
      </c>
      <c r="B51" s="244" t="str">
        <f t="shared" si="3"/>
        <v>Actual 2013</v>
      </c>
      <c r="C51" s="243" t="s">
        <v>451</v>
      </c>
      <c r="D51" s="242">
        <v>5103</v>
      </c>
      <c r="E51" s="243" t="s">
        <v>397</v>
      </c>
      <c r="F51" s="242" t="s">
        <v>452</v>
      </c>
      <c r="G51" s="241">
        <v>4577.79</v>
      </c>
    </row>
    <row r="52" spans="1:7">
      <c r="A52" s="711">
        <f t="shared" si="0"/>
        <v>43</v>
      </c>
      <c r="B52" s="244" t="str">
        <f t="shared" si="3"/>
        <v>Actual 2013</v>
      </c>
      <c r="C52" s="243" t="s">
        <v>445</v>
      </c>
      <c r="D52" s="242">
        <v>5103</v>
      </c>
      <c r="E52" s="243" t="s">
        <v>397</v>
      </c>
      <c r="F52" s="242" t="s">
        <v>452</v>
      </c>
      <c r="G52" s="241"/>
    </row>
    <row r="53" spans="1:7">
      <c r="A53" s="711">
        <f t="shared" si="0"/>
        <v>44</v>
      </c>
      <c r="B53" s="244" t="str">
        <f t="shared" si="3"/>
        <v>Actual 2013</v>
      </c>
      <c r="C53" s="243" t="s">
        <v>534</v>
      </c>
      <c r="D53" s="242">
        <v>5103</v>
      </c>
      <c r="E53" s="243" t="s">
        <v>397</v>
      </c>
      <c r="F53" s="242" t="s">
        <v>452</v>
      </c>
      <c r="G53" s="241"/>
    </row>
    <row r="54" spans="1:7">
      <c r="A54" s="711">
        <f t="shared" si="0"/>
        <v>45</v>
      </c>
      <c r="B54" s="244" t="str">
        <f>$B$10</f>
        <v>Actual 2013</v>
      </c>
      <c r="C54" s="242" t="s">
        <v>451</v>
      </c>
      <c r="D54" s="242">
        <v>5105</v>
      </c>
      <c r="E54" s="243" t="s">
        <v>397</v>
      </c>
      <c r="F54" s="242" t="s">
        <v>452</v>
      </c>
      <c r="G54" s="241">
        <v>4216.6099999999997</v>
      </c>
    </row>
    <row r="55" spans="1:7">
      <c r="A55" s="711">
        <f t="shared" si="0"/>
        <v>46</v>
      </c>
      <c r="B55" s="244" t="str">
        <f>$B$10</f>
        <v>Actual 2013</v>
      </c>
      <c r="C55" s="243" t="s">
        <v>451</v>
      </c>
      <c r="D55" s="242">
        <v>5106</v>
      </c>
      <c r="E55" s="242">
        <v>4000</v>
      </c>
      <c r="F55" s="242" t="s">
        <v>452</v>
      </c>
      <c r="G55" s="241">
        <v>464.43</v>
      </c>
    </row>
    <row r="56" spans="1:7">
      <c r="A56" s="711">
        <f t="shared" si="0"/>
        <v>47</v>
      </c>
      <c r="B56" s="244" t="str">
        <f t="shared" ref="B56:B57" si="4">$B$10</f>
        <v>Actual 2013</v>
      </c>
      <c r="C56" s="243" t="s">
        <v>451</v>
      </c>
      <c r="D56" s="242">
        <v>5110</v>
      </c>
      <c r="E56" s="242">
        <v>1000</v>
      </c>
      <c r="F56" s="242">
        <v>5615</v>
      </c>
      <c r="G56" s="241">
        <v>7500</v>
      </c>
    </row>
    <row r="57" spans="1:7">
      <c r="A57" s="711">
        <f t="shared" si="0"/>
        <v>48</v>
      </c>
      <c r="B57" s="244" t="str">
        <f t="shared" si="4"/>
        <v>Actual 2013</v>
      </c>
      <c r="C57" s="243" t="s">
        <v>385</v>
      </c>
      <c r="D57" s="242">
        <v>5110</v>
      </c>
      <c r="E57" s="242">
        <v>1000</v>
      </c>
      <c r="F57" s="242">
        <v>5615</v>
      </c>
      <c r="G57" s="241">
        <v>20000</v>
      </c>
    </row>
    <row r="58" spans="1:7">
      <c r="A58" s="711">
        <f t="shared" si="0"/>
        <v>49</v>
      </c>
      <c r="B58" s="244" t="str">
        <f>$B$10</f>
        <v>Actual 2013</v>
      </c>
      <c r="C58" s="243" t="s">
        <v>451</v>
      </c>
      <c r="D58" s="242">
        <v>5116</v>
      </c>
      <c r="E58" s="243" t="s">
        <v>397</v>
      </c>
      <c r="F58" s="242" t="s">
        <v>452</v>
      </c>
      <c r="G58" s="240"/>
    </row>
    <row r="59" spans="1:7">
      <c r="A59" s="711">
        <f t="shared" si="0"/>
        <v>50</v>
      </c>
      <c r="G59" s="729">
        <f>+SUM(G37:G58)</f>
        <v>501506.18999999994</v>
      </c>
    </row>
    <row r="60" spans="1:7">
      <c r="A60" s="711">
        <f t="shared" si="0"/>
        <v>51</v>
      </c>
      <c r="G60" s="56"/>
    </row>
    <row r="61" spans="1:7">
      <c r="A61" s="711">
        <f t="shared" si="0"/>
        <v>52</v>
      </c>
      <c r="B61" s="244" t="str">
        <f>$B$10</f>
        <v>Actual 2013</v>
      </c>
      <c r="C61" s="243" t="s">
        <v>445</v>
      </c>
      <c r="D61" s="242">
        <v>5100</v>
      </c>
      <c r="E61" s="242">
        <v>1100</v>
      </c>
      <c r="F61" s="242">
        <v>5616</v>
      </c>
      <c r="G61" s="241">
        <v>3805.54</v>
      </c>
    </row>
    <row r="62" spans="1:7">
      <c r="A62" s="711">
        <f t="shared" si="0"/>
        <v>53</v>
      </c>
      <c r="B62" s="244" t="str">
        <f>$B$10</f>
        <v>Actual 2013</v>
      </c>
      <c r="C62" s="243" t="s">
        <v>646</v>
      </c>
      <c r="D62" s="242">
        <v>5100</v>
      </c>
      <c r="E62" s="242">
        <v>1100</v>
      </c>
      <c r="F62" s="242">
        <v>5616</v>
      </c>
      <c r="G62" s="491">
        <v>37</v>
      </c>
    </row>
    <row r="63" spans="1:7">
      <c r="A63" s="711">
        <f t="shared" si="0"/>
        <v>54</v>
      </c>
      <c r="B63" s="244"/>
      <c r="C63" s="243"/>
      <c r="D63" s="242"/>
      <c r="E63" s="242"/>
      <c r="F63" s="242"/>
      <c r="G63" s="880">
        <f>SUM(G61:G62)</f>
        <v>3842.54</v>
      </c>
    </row>
    <row r="64" spans="1:7">
      <c r="A64" s="711">
        <f t="shared" si="0"/>
        <v>55</v>
      </c>
      <c r="B64" s="244"/>
      <c r="C64" s="243"/>
      <c r="D64" s="242"/>
      <c r="E64" s="242"/>
      <c r="F64" s="242"/>
      <c r="G64" s="125"/>
    </row>
    <row r="65" spans="1:8">
      <c r="A65" s="711">
        <f t="shared" si="0"/>
        <v>56</v>
      </c>
      <c r="B65" s="244" t="str">
        <f t="shared" ref="B65:B66" si="5">$B$10</f>
        <v>Actual 2013</v>
      </c>
      <c r="C65" s="243" t="s">
        <v>445</v>
      </c>
      <c r="D65" s="242">
        <v>5100</v>
      </c>
      <c r="E65" s="242">
        <v>1100</v>
      </c>
      <c r="F65" s="242">
        <v>5617</v>
      </c>
      <c r="G65" s="125">
        <v>132.16</v>
      </c>
    </row>
    <row r="66" spans="1:8">
      <c r="A66" s="711">
        <f t="shared" si="0"/>
        <v>57</v>
      </c>
      <c r="B66" s="244" t="str">
        <f t="shared" si="5"/>
        <v>Actual 2013</v>
      </c>
      <c r="C66" s="243" t="s">
        <v>646</v>
      </c>
      <c r="D66" s="242">
        <v>5100</v>
      </c>
      <c r="E66" s="242">
        <v>1100</v>
      </c>
      <c r="F66" s="242">
        <v>5617</v>
      </c>
      <c r="G66" s="125">
        <v>1</v>
      </c>
    </row>
    <row r="67" spans="1:8">
      <c r="A67" s="711">
        <f t="shared" si="0"/>
        <v>58</v>
      </c>
      <c r="G67" s="879">
        <f>SUM(G65:G66)</f>
        <v>133.16</v>
      </c>
    </row>
    <row r="68" spans="1:8">
      <c r="A68" s="711">
        <f t="shared" si="0"/>
        <v>59</v>
      </c>
      <c r="G68" s="56"/>
    </row>
    <row r="69" spans="1:8" ht="15" customHeight="1">
      <c r="A69" s="711">
        <f t="shared" si="0"/>
        <v>60</v>
      </c>
      <c r="B69" s="721"/>
      <c r="E69" s="736"/>
      <c r="F69" s="736" t="s">
        <v>454</v>
      </c>
      <c r="G69" s="729">
        <f>+G16+G35+G59+G63+G67</f>
        <v>3124164.81</v>
      </c>
    </row>
    <row r="70" spans="1:8">
      <c r="A70" s="711">
        <f t="shared" si="0"/>
        <v>61</v>
      </c>
      <c r="G70" s="56"/>
    </row>
    <row r="71" spans="1:8" ht="15" customHeight="1">
      <c r="A71" s="711">
        <f t="shared" si="0"/>
        <v>62</v>
      </c>
      <c r="D71" s="736"/>
      <c r="E71" s="887"/>
      <c r="F71" s="887" t="s">
        <v>667</v>
      </c>
      <c r="G71" s="139">
        <f>G63+G67+G59</f>
        <v>505481.88999999996</v>
      </c>
      <c r="H71" s="723" t="s">
        <v>372</v>
      </c>
    </row>
    <row r="72" spans="1:8">
      <c r="A72" s="711">
        <f t="shared" si="0"/>
        <v>63</v>
      </c>
      <c r="G72" s="56"/>
    </row>
    <row r="73" spans="1:8" ht="13.5" thickBot="1">
      <c r="A73" s="711">
        <f t="shared" si="0"/>
        <v>64</v>
      </c>
      <c r="G73" s="733">
        <f>+G69-G71</f>
        <v>2618682.92</v>
      </c>
    </row>
    <row r="74" spans="1:8" ht="13.5" thickTop="1">
      <c r="A74" s="712"/>
      <c r="B74" s="722"/>
      <c r="C74" s="44"/>
      <c r="D74" s="44"/>
      <c r="E74" s="44"/>
      <c r="F74" s="44"/>
      <c r="G74" s="55"/>
    </row>
    <row r="75" spans="1:8">
      <c r="G75" s="727"/>
    </row>
    <row r="76" spans="1:8">
      <c r="B76" s="964" t="s">
        <v>456</v>
      </c>
      <c r="C76" s="964"/>
      <c r="D76" s="964"/>
      <c r="E76" s="964"/>
      <c r="F76" s="964"/>
      <c r="G76" s="964"/>
    </row>
  </sheetData>
  <mergeCells count="4">
    <mergeCell ref="A2:G2"/>
    <mergeCell ref="A3:G3"/>
    <mergeCell ref="A4:G4"/>
    <mergeCell ref="B76:G76"/>
  </mergeCells>
  <printOptions horizontalCentered="1"/>
  <pageMargins left="0.75" right="0.75" top="0.75" bottom="0.75" header="0.5" footer="0.5"/>
  <pageSetup scale="71" orientation="portrait" r:id="rId1"/>
  <headerFooter>
    <oddHeader>&amp;R&amp;"Arial,Regular"&amp;10Attachment O Work Paper
Page 16 of 22</oddHeader>
  </headerFooter>
  <ignoredErrors>
    <ignoredError sqref="H71 C10:G7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J30"/>
  <sheetViews>
    <sheetView showGridLines="0" zoomScaleNormal="100" workbookViewId="0">
      <selection activeCell="J16" sqref="J16"/>
    </sheetView>
  </sheetViews>
  <sheetFormatPr defaultColWidth="27" defaultRowHeight="12.75"/>
  <cols>
    <col min="1" max="1" width="3.44140625" style="589" bestFit="1" customWidth="1"/>
    <col min="2" max="2" width="29.77734375" style="584" customWidth="1"/>
    <col min="3" max="3" width="14" style="584" hidden="1" customWidth="1"/>
    <col min="4" max="4" width="8.5546875" style="584" hidden="1" customWidth="1"/>
    <col min="5" max="6" width="13.77734375" style="584" customWidth="1"/>
    <col min="7" max="7" width="3.21875" style="584" customWidth="1"/>
    <col min="8" max="8" width="12.33203125" style="584" customWidth="1"/>
    <col min="9" max="9" width="11.5546875" style="584" customWidth="1"/>
    <col min="10" max="10" width="10" style="584" customWidth="1"/>
    <col min="11" max="254" width="8.5546875" style="584" customWidth="1"/>
    <col min="255" max="255" width="3.44140625" style="584" bestFit="1" customWidth="1"/>
    <col min="256" max="16384" width="27" style="584"/>
  </cols>
  <sheetData>
    <row r="1" spans="1:10">
      <c r="B1" s="523"/>
      <c r="F1" s="386"/>
    </row>
    <row r="2" spans="1:10">
      <c r="B2" s="239"/>
      <c r="F2" s="238"/>
    </row>
    <row r="3" spans="1:10" ht="12.75" customHeight="1">
      <c r="A3" s="940" t="s">
        <v>0</v>
      </c>
      <c r="B3" s="965"/>
      <c r="C3" s="965"/>
      <c r="D3" s="965"/>
      <c r="E3" s="965"/>
      <c r="F3" s="965"/>
    </row>
    <row r="4" spans="1:10" ht="12.75" customHeight="1">
      <c r="A4" s="940" t="s">
        <v>63</v>
      </c>
      <c r="B4" s="965"/>
      <c r="C4" s="965"/>
      <c r="D4" s="965"/>
      <c r="E4" s="965"/>
      <c r="F4" s="965"/>
      <c r="H4" s="891"/>
    </row>
    <row r="5" spans="1:10" ht="12.75" customHeight="1">
      <c r="A5" s="966" t="str">
        <f>'Page 9-11 - Funct'!A4:D4</f>
        <v>Actual Year 2013</v>
      </c>
      <c r="B5" s="965"/>
      <c r="C5" s="965"/>
      <c r="D5" s="965"/>
      <c r="E5" s="965"/>
      <c r="F5" s="965"/>
      <c r="H5" s="386"/>
    </row>
    <row r="6" spans="1:10">
      <c r="C6" s="865"/>
      <c r="D6" s="865"/>
      <c r="E6" s="865"/>
      <c r="F6" s="865"/>
    </row>
    <row r="7" spans="1:10">
      <c r="B7" s="237" t="s">
        <v>1</v>
      </c>
      <c r="E7" s="589" t="s">
        <v>2</v>
      </c>
      <c r="F7" s="589" t="s">
        <v>3</v>
      </c>
      <c r="G7" s="236"/>
      <c r="H7" s="589"/>
      <c r="I7" s="589"/>
      <c r="J7" s="589"/>
    </row>
    <row r="9" spans="1:10" ht="12.75" customHeight="1">
      <c r="A9" s="235"/>
      <c r="B9" s="234"/>
      <c r="C9" s="967" t="s">
        <v>71</v>
      </c>
      <c r="D9" s="968"/>
      <c r="E9" s="967" t="str">
        <f>'Page 16 - FERC Acct 561'!B10</f>
        <v>Actual 2013</v>
      </c>
      <c r="F9" s="968"/>
    </row>
    <row r="10" spans="1:10" ht="25.5">
      <c r="A10" s="233" t="s">
        <v>38</v>
      </c>
      <c r="B10" s="490" t="s">
        <v>64</v>
      </c>
      <c r="C10" s="232" t="s">
        <v>65</v>
      </c>
      <c r="D10" s="232" t="s">
        <v>66</v>
      </c>
      <c r="E10" s="232" t="s">
        <v>65</v>
      </c>
      <c r="F10" s="232" t="s">
        <v>66</v>
      </c>
    </row>
    <row r="11" spans="1:10">
      <c r="A11" s="235"/>
      <c r="B11" s="231"/>
      <c r="C11" s="230"/>
      <c r="D11" s="230"/>
      <c r="E11" s="230"/>
      <c r="F11" s="229"/>
      <c r="G11" s="523" t="s">
        <v>67</v>
      </c>
    </row>
    <row r="12" spans="1:10">
      <c r="A12" s="228">
        <v>1</v>
      </c>
      <c r="B12" s="227" t="s">
        <v>11</v>
      </c>
      <c r="C12" s="226">
        <v>15642742.080000002</v>
      </c>
      <c r="D12" s="225">
        <f>1-SUM(D16:D23)</f>
        <v>0.38540000000000008</v>
      </c>
      <c r="E12" s="224">
        <v>16384777.550000001</v>
      </c>
      <c r="F12" s="225"/>
    </row>
    <row r="13" spans="1:10">
      <c r="A13" s="228">
        <f>A12+1</f>
        <v>2</v>
      </c>
      <c r="B13" s="223" t="s">
        <v>580</v>
      </c>
      <c r="C13" s="222"/>
      <c r="D13" s="221"/>
      <c r="E13" s="224">
        <v>1460677.94</v>
      </c>
      <c r="F13" s="225"/>
    </row>
    <row r="14" spans="1:10">
      <c r="A14" s="228">
        <f>A13+1</f>
        <v>3</v>
      </c>
      <c r="B14" s="220" t="s">
        <v>72</v>
      </c>
      <c r="C14" s="219">
        <f>+C12-C13</f>
        <v>15642742.080000002</v>
      </c>
      <c r="D14" s="218"/>
      <c r="E14" s="217">
        <f>+E12-E13</f>
        <v>14924099.610000001</v>
      </c>
      <c r="F14" s="216">
        <f>E14/E25</f>
        <v>0.33300842714105172</v>
      </c>
    </row>
    <row r="15" spans="1:10">
      <c r="A15" s="228">
        <f>A14+1</f>
        <v>4</v>
      </c>
      <c r="B15" s="227"/>
      <c r="C15" s="222"/>
      <c r="D15" s="221"/>
      <c r="E15" s="215"/>
      <c r="F15" s="225"/>
    </row>
    <row r="16" spans="1:10">
      <c r="A16" s="228">
        <f>A15+1</f>
        <v>5</v>
      </c>
      <c r="B16" s="227" t="s">
        <v>12</v>
      </c>
      <c r="C16" s="222">
        <v>5597348.9699999997</v>
      </c>
      <c r="D16" s="225">
        <f>ROUND(C16/C$25,4)</f>
        <v>0.13789999999999999</v>
      </c>
      <c r="E16" s="214">
        <v>6227531.8099999996</v>
      </c>
      <c r="F16" s="225">
        <f>ROUND(E16/E$25,4)</f>
        <v>0.13900000000000001</v>
      </c>
    </row>
    <row r="17" spans="1:7">
      <c r="A17" s="228">
        <f t="shared" ref="A17:A25" si="0">A16+1</f>
        <v>6</v>
      </c>
      <c r="B17" s="227"/>
      <c r="C17" s="222"/>
      <c r="D17" s="221"/>
      <c r="E17" s="222"/>
      <c r="F17" s="225"/>
    </row>
    <row r="18" spans="1:7">
      <c r="A18" s="228">
        <f t="shared" si="0"/>
        <v>7</v>
      </c>
      <c r="B18" s="227" t="s">
        <v>13</v>
      </c>
      <c r="C18" s="226">
        <v>9715532.8300000001</v>
      </c>
      <c r="D18" s="225">
        <f>ROUND(C18/C$25,4)</f>
        <v>0.2394</v>
      </c>
      <c r="E18" s="214">
        <v>12521161.670000004</v>
      </c>
      <c r="F18" s="225">
        <f>ROUND(E18/E$25,4)</f>
        <v>0.27939999999999998</v>
      </c>
    </row>
    <row r="19" spans="1:7">
      <c r="A19" s="228">
        <f t="shared" si="0"/>
        <v>8</v>
      </c>
      <c r="B19" s="227"/>
      <c r="C19" s="222"/>
      <c r="D19" s="221"/>
      <c r="E19" s="222"/>
      <c r="F19" s="225"/>
    </row>
    <row r="20" spans="1:7">
      <c r="A20" s="228">
        <f t="shared" si="0"/>
        <v>9</v>
      </c>
      <c r="B20" s="227" t="s">
        <v>355</v>
      </c>
      <c r="C20" s="222"/>
      <c r="D20" s="221"/>
      <c r="E20" s="222"/>
      <c r="F20" s="225"/>
    </row>
    <row r="21" spans="1:7">
      <c r="A21" s="228">
        <f t="shared" si="0"/>
        <v>10</v>
      </c>
      <c r="B21" s="223" t="s">
        <v>68</v>
      </c>
      <c r="C21" s="226">
        <v>7086030.0099999998</v>
      </c>
      <c r="D21" s="225">
        <f>ROUND(C21/C$25,4)</f>
        <v>0.17460000000000001</v>
      </c>
      <c r="E21" s="224">
        <v>9024144.8199999984</v>
      </c>
      <c r="F21" s="225">
        <f>ROUND(E21/E$25,4)</f>
        <v>0.2014</v>
      </c>
    </row>
    <row r="22" spans="1:7">
      <c r="A22" s="228">
        <f t="shared" si="0"/>
        <v>11</v>
      </c>
      <c r="B22" s="213" t="s">
        <v>69</v>
      </c>
      <c r="C22" s="212">
        <v>2545336.13</v>
      </c>
      <c r="D22" s="211">
        <f>ROUND(C22/C$25,4)</f>
        <v>6.2700000000000006E-2</v>
      </c>
      <c r="E22" s="224">
        <v>2119043.89</v>
      </c>
      <c r="F22" s="211">
        <f>ROUND(E22/E$25,4)</f>
        <v>4.7300000000000002E-2</v>
      </c>
    </row>
    <row r="23" spans="1:7">
      <c r="A23" s="228">
        <f t="shared" si="0"/>
        <v>12</v>
      </c>
      <c r="B23" s="227" t="s">
        <v>354</v>
      </c>
      <c r="C23" s="222"/>
      <c r="D23" s="221"/>
      <c r="E23" s="210">
        <f>+E21+E22</f>
        <v>11143188.709999999</v>
      </c>
      <c r="F23" s="225">
        <f>ROUND(E23/E$25,4)</f>
        <v>0.24859999999999999</v>
      </c>
    </row>
    <row r="24" spans="1:7">
      <c r="A24" s="228">
        <f>A23+1</f>
        <v>13</v>
      </c>
      <c r="B24" s="227"/>
      <c r="C24" s="226"/>
      <c r="D24" s="225"/>
      <c r="E24" s="226"/>
      <c r="F24" s="221"/>
      <c r="G24" s="523" t="s">
        <v>67</v>
      </c>
    </row>
    <row r="25" spans="1:7" ht="13.5" thickBot="1">
      <c r="A25" s="228">
        <f t="shared" si="0"/>
        <v>14</v>
      </c>
      <c r="B25" s="227" t="s">
        <v>16</v>
      </c>
      <c r="C25" s="209">
        <f>SUM(C14:C23)</f>
        <v>40586990.020000003</v>
      </c>
      <c r="D25" s="208">
        <f>SUM(D12:D23)</f>
        <v>1.0000000000000002</v>
      </c>
      <c r="E25" s="207">
        <f>SUM(E14:E19)+E23</f>
        <v>44815981.800000004</v>
      </c>
      <c r="F25" s="208">
        <f>SUM(F12:F19)+F23</f>
        <v>1.0000084271410516</v>
      </c>
    </row>
    <row r="26" spans="1:7" ht="13.5" thickTop="1">
      <c r="A26" s="206"/>
      <c r="B26" s="205"/>
      <c r="C26" s="204"/>
      <c r="D26" s="203"/>
      <c r="E26" s="204"/>
      <c r="F26" s="203"/>
    </row>
    <row r="27" spans="1:7">
      <c r="B27" s="202"/>
      <c r="C27" s="201"/>
      <c r="D27" s="201"/>
      <c r="E27" s="201"/>
      <c r="F27" s="201"/>
    </row>
    <row r="28" spans="1:7">
      <c r="C28" s="200"/>
      <c r="D28" s="200"/>
      <c r="E28" s="200"/>
      <c r="F28" s="200"/>
    </row>
    <row r="29" spans="1:7">
      <c r="C29" s="865"/>
      <c r="D29" s="865"/>
      <c r="E29" s="865"/>
      <c r="F29" s="865"/>
    </row>
    <row r="30" spans="1:7">
      <c r="C30" s="865"/>
      <c r="D30" s="865"/>
      <c r="E30" s="865"/>
      <c r="F30" s="865"/>
    </row>
  </sheetData>
  <mergeCells count="5">
    <mergeCell ref="A3:F3"/>
    <mergeCell ref="A4:F4"/>
    <mergeCell ref="A5:F5"/>
    <mergeCell ref="C9:D9"/>
    <mergeCell ref="E9:F9"/>
  </mergeCells>
  <printOptions horizontalCentered="1"/>
  <pageMargins left="0.75" right="0.75" top="0.75" bottom="0.75" header="0.5" footer="0.5"/>
  <pageSetup scale="80" orientation="portrait" r:id="rId1"/>
  <headerFooter alignWithMargins="0">
    <oddHeader>&amp;R&amp;"Arial,Regular"&amp;10Attachment O Work Paper
Page 17 of 22</oddHeader>
  </headerFooter>
  <ignoredErrors>
    <ignoredError sqref="E9:F27"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pageSetUpPr fitToPage="1"/>
  </sheetPr>
  <dimension ref="A1:Q27"/>
  <sheetViews>
    <sheetView showGridLines="0" defaultGridColor="0" colorId="22" zoomScaleNormal="100" workbookViewId="0">
      <pane xSplit="2" topLeftCell="C1" activePane="topRight" state="frozen"/>
      <selection activeCell="B28" sqref="B28"/>
      <selection pane="topRight" activeCell="M34" sqref="M34"/>
    </sheetView>
  </sheetViews>
  <sheetFormatPr defaultColWidth="3.5546875" defaultRowHeight="12.75"/>
  <cols>
    <col min="1" max="1" width="3.5546875" style="696" bestFit="1" customWidth="1"/>
    <col min="2" max="2" width="39.44140625" style="696" customWidth="1"/>
    <col min="3" max="5" width="12.109375" style="696" customWidth="1"/>
    <col min="6" max="13" width="13.109375" style="696" customWidth="1"/>
    <col min="14" max="16" width="13.109375" style="696" bestFit="1" customWidth="1"/>
    <col min="17" max="255" width="9.77734375" style="696" customWidth="1"/>
    <col min="256" max="256" width="3.5546875" style="696" bestFit="1"/>
    <col min="257" max="16384" width="3.5546875" style="696"/>
  </cols>
  <sheetData>
    <row r="1" spans="1:17">
      <c r="B1" s="766"/>
      <c r="O1" s="704"/>
      <c r="P1" s="386"/>
    </row>
    <row r="2" spans="1:17">
      <c r="B2" s="759"/>
      <c r="O2" s="704"/>
      <c r="P2" s="704"/>
    </row>
    <row r="3" spans="1:17" ht="15">
      <c r="A3" s="955"/>
      <c r="B3" s="969"/>
      <c r="C3" s="969"/>
      <c r="D3" s="969"/>
      <c r="E3" s="969"/>
      <c r="F3" s="969"/>
      <c r="G3" s="969"/>
      <c r="H3" s="969"/>
      <c r="I3" s="969"/>
      <c r="J3" s="969"/>
      <c r="K3" s="969"/>
      <c r="L3" s="969"/>
      <c r="M3" s="969"/>
      <c r="N3" s="969"/>
      <c r="O3" s="969"/>
    </row>
    <row r="4" spans="1:17" ht="15">
      <c r="A4" s="970"/>
      <c r="B4" s="969"/>
      <c r="C4" s="969"/>
      <c r="D4" s="969"/>
      <c r="E4" s="969"/>
      <c r="F4" s="969"/>
      <c r="G4" s="969"/>
      <c r="H4" s="969"/>
      <c r="I4" s="969"/>
      <c r="J4" s="969"/>
      <c r="K4" s="969"/>
      <c r="L4" s="969"/>
      <c r="M4" s="969"/>
      <c r="N4" s="969"/>
      <c r="O4" s="969"/>
    </row>
    <row r="5" spans="1:17" ht="15">
      <c r="A5" s="971" t="s">
        <v>0</v>
      </c>
      <c r="B5" s="969"/>
      <c r="C5" s="969"/>
      <c r="D5" s="969"/>
      <c r="E5" s="969"/>
      <c r="F5" s="969"/>
      <c r="G5" s="969"/>
      <c r="H5" s="969"/>
      <c r="I5" s="969"/>
      <c r="J5" s="969"/>
      <c r="K5" s="969"/>
      <c r="L5" s="969"/>
      <c r="M5" s="969"/>
      <c r="N5" s="969"/>
      <c r="O5" s="969"/>
      <c r="P5" s="891"/>
    </row>
    <row r="6" spans="1:17" ht="12.75" customHeight="1">
      <c r="A6" s="971" t="s">
        <v>95</v>
      </c>
      <c r="B6" s="969"/>
      <c r="C6" s="969"/>
      <c r="D6" s="969"/>
      <c r="E6" s="969"/>
      <c r="F6" s="969"/>
      <c r="G6" s="969"/>
      <c r="H6" s="969"/>
      <c r="I6" s="969"/>
      <c r="J6" s="969"/>
      <c r="K6" s="969"/>
      <c r="L6" s="969"/>
      <c r="M6" s="969"/>
      <c r="N6" s="969"/>
      <c r="O6" s="969"/>
      <c r="P6" s="386"/>
    </row>
    <row r="7" spans="1:17" ht="12.75" customHeight="1">
      <c r="A7" s="959" t="str">
        <f>'Page 13 - Depr Exp'!A5:G5</f>
        <v>Actual Year 2013</v>
      </c>
      <c r="B7" s="972"/>
      <c r="C7" s="972"/>
      <c r="D7" s="972"/>
      <c r="E7" s="972"/>
      <c r="F7" s="972"/>
      <c r="G7" s="972"/>
      <c r="H7" s="972"/>
      <c r="I7" s="972"/>
      <c r="J7" s="972"/>
      <c r="K7" s="972"/>
      <c r="L7" s="972"/>
      <c r="M7" s="972"/>
      <c r="N7" s="972"/>
      <c r="O7" s="972"/>
    </row>
    <row r="9" spans="1:17">
      <c r="C9" s="760"/>
    </row>
    <row r="10" spans="1:17" s="709" customFormat="1">
      <c r="B10" s="747" t="s">
        <v>1</v>
      </c>
      <c r="C10" s="747" t="s">
        <v>2</v>
      </c>
      <c r="D10" s="747" t="s">
        <v>3</v>
      </c>
      <c r="E10" s="747" t="s">
        <v>4</v>
      </c>
      <c r="F10" s="747" t="s">
        <v>5</v>
      </c>
      <c r="G10" s="747" t="s">
        <v>7</v>
      </c>
      <c r="H10" s="747" t="s">
        <v>6</v>
      </c>
      <c r="I10" s="747" t="s">
        <v>30</v>
      </c>
      <c r="J10" s="747" t="s">
        <v>31</v>
      </c>
      <c r="K10" s="747" t="s">
        <v>32</v>
      </c>
      <c r="L10" s="747" t="s">
        <v>74</v>
      </c>
      <c r="M10" s="747" t="s">
        <v>75</v>
      </c>
      <c r="N10" s="747" t="s">
        <v>76</v>
      </c>
      <c r="O10" s="747" t="s">
        <v>77</v>
      </c>
      <c r="P10" s="747" t="s">
        <v>78</v>
      </c>
      <c r="Q10" s="747"/>
    </row>
    <row r="11" spans="1:17">
      <c r="D11" s="709"/>
      <c r="E11" s="709"/>
      <c r="F11" s="709"/>
      <c r="G11" s="709"/>
      <c r="H11" s="709"/>
      <c r="I11" s="709"/>
      <c r="J11" s="709"/>
      <c r="N11" s="735"/>
    </row>
    <row r="12" spans="1:17">
      <c r="A12" s="714"/>
      <c r="B12" s="753" t="s">
        <v>86</v>
      </c>
      <c r="D12" s="564"/>
      <c r="E12" s="753"/>
      <c r="F12" s="756"/>
      <c r="G12" s="586"/>
      <c r="H12" s="586"/>
      <c r="I12" s="586"/>
      <c r="J12" s="586"/>
      <c r="K12" s="586"/>
      <c r="L12" s="753"/>
      <c r="M12" s="753"/>
      <c r="N12" s="753"/>
      <c r="O12" s="753"/>
      <c r="P12" s="753"/>
    </row>
    <row r="13" spans="1:17" ht="25.5">
      <c r="A13" s="749" t="s">
        <v>38</v>
      </c>
      <c r="B13" s="750" t="s">
        <v>96</v>
      </c>
      <c r="C13" s="588" t="s">
        <v>27</v>
      </c>
      <c r="D13" s="588" t="s">
        <v>34</v>
      </c>
      <c r="E13" s="588" t="s">
        <v>17</v>
      </c>
      <c r="F13" s="588" t="s">
        <v>18</v>
      </c>
      <c r="G13" s="588" t="s">
        <v>19</v>
      </c>
      <c r="H13" s="588" t="s">
        <v>20</v>
      </c>
      <c r="I13" s="588" t="s">
        <v>21</v>
      </c>
      <c r="J13" s="588" t="s">
        <v>22</v>
      </c>
      <c r="K13" s="588" t="s">
        <v>23</v>
      </c>
      <c r="L13" s="588" t="s">
        <v>24</v>
      </c>
      <c r="M13" s="588" t="s">
        <v>25</v>
      </c>
      <c r="N13" s="588" t="s">
        <v>26</v>
      </c>
      <c r="O13" s="588" t="s">
        <v>27</v>
      </c>
      <c r="P13" s="746" t="s">
        <v>28</v>
      </c>
    </row>
    <row r="14" spans="1:17" ht="19.899999999999999" customHeight="1">
      <c r="A14" s="754">
        <v>1</v>
      </c>
      <c r="B14" s="762" t="s">
        <v>694</v>
      </c>
      <c r="C14" s="748">
        <v>229861890.81</v>
      </c>
      <c r="D14" s="748">
        <v>237261890.80000001</v>
      </c>
      <c r="E14" s="748">
        <v>237261890.81</v>
      </c>
      <c r="F14" s="748">
        <v>237261890.81</v>
      </c>
      <c r="G14" s="748">
        <v>237261890.80000001</v>
      </c>
      <c r="H14" s="748">
        <v>237261890.81</v>
      </c>
      <c r="I14" s="748">
        <v>237261890.81</v>
      </c>
      <c r="J14" s="748">
        <v>237261890.81</v>
      </c>
      <c r="K14" s="748">
        <v>237261890.81</v>
      </c>
      <c r="L14" s="748">
        <v>237261890.81</v>
      </c>
      <c r="M14" s="748">
        <v>237261890.81</v>
      </c>
      <c r="N14" s="748">
        <v>252261890.80000001</v>
      </c>
      <c r="O14" s="748">
        <v>252261890.80000001</v>
      </c>
      <c r="P14" s="748">
        <f>SUM(C14:O14)/13</f>
        <v>239000352.34538463</v>
      </c>
    </row>
    <row r="15" spans="1:17" ht="19.899999999999999" customHeight="1">
      <c r="A15" s="754">
        <v>2</v>
      </c>
      <c r="B15" s="762"/>
      <c r="C15" s="748"/>
      <c r="D15" s="748"/>
      <c r="E15" s="748"/>
      <c r="F15" s="748"/>
      <c r="G15" s="748"/>
      <c r="H15" s="748"/>
      <c r="I15" s="748"/>
      <c r="J15" s="748"/>
      <c r="K15" s="748"/>
      <c r="L15" s="748"/>
      <c r="M15" s="748"/>
      <c r="N15" s="748"/>
      <c r="O15" s="748"/>
      <c r="P15" s="748"/>
    </row>
    <row r="16" spans="1:17" ht="19.899999999999999" customHeight="1">
      <c r="A16" s="754">
        <v>3</v>
      </c>
      <c r="B16" s="762" t="s">
        <v>97</v>
      </c>
      <c r="C16" s="748"/>
      <c r="D16" s="748"/>
      <c r="E16" s="748"/>
      <c r="F16" s="748"/>
      <c r="G16" s="748"/>
      <c r="H16" s="748"/>
      <c r="I16" s="748"/>
      <c r="J16" s="748"/>
      <c r="K16" s="748"/>
      <c r="L16" s="748"/>
      <c r="M16" s="765"/>
      <c r="N16" s="748"/>
      <c r="O16" s="765"/>
      <c r="P16" s="748">
        <f>SUM(C16:O16)/13</f>
        <v>0</v>
      </c>
    </row>
    <row r="17" spans="1:16" ht="19.899999999999999" customHeight="1">
      <c r="A17" s="754">
        <v>4</v>
      </c>
      <c r="C17" s="748"/>
      <c r="D17" s="748"/>
      <c r="E17" s="748"/>
      <c r="F17" s="748"/>
      <c r="G17" s="748"/>
      <c r="H17" s="748"/>
      <c r="I17" s="748"/>
      <c r="J17" s="748"/>
      <c r="K17" s="748"/>
      <c r="L17" s="748"/>
      <c r="M17" s="748"/>
      <c r="N17" s="748"/>
      <c r="O17" s="748"/>
      <c r="P17" s="748"/>
    </row>
    <row r="18" spans="1:16" ht="24" customHeight="1">
      <c r="A18" s="754">
        <v>5</v>
      </c>
      <c r="B18" s="587" t="s">
        <v>98</v>
      </c>
      <c r="C18" s="743">
        <f t="shared" ref="C18:O18" si="0">SUM(C14:C17)</f>
        <v>229861890.81</v>
      </c>
      <c r="D18" s="743">
        <f t="shared" si="0"/>
        <v>237261890.80000001</v>
      </c>
      <c r="E18" s="743">
        <f t="shared" si="0"/>
        <v>237261890.81</v>
      </c>
      <c r="F18" s="743">
        <f t="shared" si="0"/>
        <v>237261890.81</v>
      </c>
      <c r="G18" s="743">
        <f t="shared" si="0"/>
        <v>237261890.80000001</v>
      </c>
      <c r="H18" s="743">
        <f t="shared" si="0"/>
        <v>237261890.81</v>
      </c>
      <c r="I18" s="743">
        <f t="shared" si="0"/>
        <v>237261890.81</v>
      </c>
      <c r="J18" s="743">
        <f t="shared" si="0"/>
        <v>237261890.81</v>
      </c>
      <c r="K18" s="743">
        <f t="shared" si="0"/>
        <v>237261890.81</v>
      </c>
      <c r="L18" s="743">
        <f t="shared" si="0"/>
        <v>237261890.81</v>
      </c>
      <c r="M18" s="743">
        <f t="shared" si="0"/>
        <v>237261890.81</v>
      </c>
      <c r="N18" s="743">
        <f t="shared" si="0"/>
        <v>252261890.80000001</v>
      </c>
      <c r="O18" s="743">
        <f t="shared" si="0"/>
        <v>252261890.80000001</v>
      </c>
      <c r="P18" s="743">
        <f>SUM(P14:P17)</f>
        <v>239000352.34538463</v>
      </c>
    </row>
    <row r="19" spans="1:16" ht="22.9" customHeight="1">
      <c r="A19" s="754">
        <v>6</v>
      </c>
      <c r="B19" s="745" t="s">
        <v>99</v>
      </c>
      <c r="C19" s="761"/>
      <c r="D19" s="761"/>
      <c r="E19" s="761"/>
      <c r="F19" s="761"/>
      <c r="G19" s="761"/>
      <c r="H19" s="761"/>
      <c r="I19" s="761"/>
      <c r="J19" s="761"/>
      <c r="K19" s="761"/>
      <c r="L19" s="761"/>
      <c r="M19" s="761"/>
      <c r="N19" s="761"/>
      <c r="O19" s="761"/>
      <c r="P19" s="761"/>
    </row>
    <row r="20" spans="1:16" ht="19.899999999999999" customHeight="1">
      <c r="A20" s="754">
        <v>7</v>
      </c>
      <c r="B20" s="762" t="s">
        <v>693</v>
      </c>
      <c r="C20" s="761">
        <v>137527907.36000001</v>
      </c>
      <c r="D20" s="761">
        <f>C24</f>
        <v>135107683.72000003</v>
      </c>
      <c r="E20" s="761">
        <f t="shared" ref="E20:O20" si="1">D24</f>
        <v>139677606.28000003</v>
      </c>
      <c r="F20" s="761">
        <f t="shared" si="1"/>
        <v>143781855.75000003</v>
      </c>
      <c r="G20" s="761">
        <f t="shared" si="1"/>
        <v>138429993.18000004</v>
      </c>
      <c r="H20" s="761">
        <f t="shared" si="1"/>
        <v>140382519.43000004</v>
      </c>
      <c r="I20" s="761">
        <f t="shared" si="1"/>
        <v>140372153.54000002</v>
      </c>
      <c r="J20" s="761">
        <f t="shared" si="1"/>
        <v>133381361.31000002</v>
      </c>
      <c r="K20" s="761">
        <f t="shared" si="1"/>
        <v>136883439.38</v>
      </c>
      <c r="L20" s="761">
        <f t="shared" si="1"/>
        <v>140089793.17999998</v>
      </c>
      <c r="M20" s="761">
        <f t="shared" si="1"/>
        <v>133536014.13</v>
      </c>
      <c r="N20" s="761">
        <f t="shared" si="1"/>
        <v>137080546.22999999</v>
      </c>
      <c r="O20" s="761">
        <f t="shared" si="1"/>
        <v>141584423.77999997</v>
      </c>
      <c r="P20" s="748">
        <f t="shared" ref="P20:P24" si="2">SUM(C20:O20)/13</f>
        <v>138295022.86692309</v>
      </c>
    </row>
    <row r="21" spans="1:16" ht="19.899999999999999" customHeight="1">
      <c r="A21" s="754">
        <v>8</v>
      </c>
      <c r="B21" s="762" t="s">
        <v>692</v>
      </c>
      <c r="C21" s="765">
        <v>6187425.6199999973</v>
      </c>
      <c r="D21" s="765">
        <v>4569922.5599999987</v>
      </c>
      <c r="E21" s="765">
        <v>4104249.4699999951</v>
      </c>
      <c r="F21" s="765">
        <v>3256480.5000000075</v>
      </c>
      <c r="G21" s="765">
        <v>1952526.25</v>
      </c>
      <c r="H21" s="765">
        <v>-10365.890000011772</v>
      </c>
      <c r="I21" s="765">
        <v>1641466.070000004</v>
      </c>
      <c r="J21" s="765">
        <v>3502078.0699999928</v>
      </c>
      <c r="K21" s="765">
        <v>3206353.7999999933</v>
      </c>
      <c r="L21" s="765">
        <v>2078312.8300000019</v>
      </c>
      <c r="M21" s="765">
        <v>3544532.1000000015</v>
      </c>
      <c r="N21" s="765">
        <v>4503877.5499999933</v>
      </c>
      <c r="O21" s="765">
        <v>5886922.8800000027</v>
      </c>
      <c r="P21" s="748">
        <f t="shared" si="2"/>
        <v>3417213.9853846137</v>
      </c>
    </row>
    <row r="22" spans="1:16" ht="19.899999999999999" customHeight="1">
      <c r="A22" s="754">
        <v>9</v>
      </c>
      <c r="B22" s="762" t="s">
        <v>691</v>
      </c>
      <c r="C22" s="765">
        <v>-8607650.2599999979</v>
      </c>
      <c r="D22" s="765">
        <v>0</v>
      </c>
      <c r="E22" s="765">
        <v>0</v>
      </c>
      <c r="F22" s="765">
        <v>-8608343.0700000003</v>
      </c>
      <c r="G22" s="765">
        <v>0</v>
      </c>
      <c r="H22" s="765">
        <v>0</v>
      </c>
      <c r="I22" s="765">
        <v>-8632258.3000000007</v>
      </c>
      <c r="J22" s="765">
        <v>0</v>
      </c>
      <c r="K22" s="765">
        <v>0</v>
      </c>
      <c r="L22" s="765">
        <v>-8632091.879999999</v>
      </c>
      <c r="M22" s="765">
        <v>0</v>
      </c>
      <c r="N22" s="765">
        <v>0</v>
      </c>
      <c r="O22" s="765">
        <v>-8632670.9399999976</v>
      </c>
      <c r="P22" s="748">
        <f t="shared" si="2"/>
        <v>-3316385.7269230764</v>
      </c>
    </row>
    <row r="23" spans="1:16" ht="19.899999999999999" customHeight="1">
      <c r="A23" s="754">
        <v>10</v>
      </c>
      <c r="B23" s="762" t="s">
        <v>102</v>
      </c>
      <c r="C23" s="765">
        <v>1</v>
      </c>
      <c r="D23" s="765">
        <v>0</v>
      </c>
      <c r="E23" s="765">
        <v>0</v>
      </c>
      <c r="F23" s="765">
        <v>32071.14000000013</v>
      </c>
      <c r="G23" s="765">
        <v>0</v>
      </c>
      <c r="H23" s="765">
        <v>0</v>
      </c>
      <c r="I23" s="765">
        <v>32074.139999999898</v>
      </c>
      <c r="J23" s="765">
        <v>0</v>
      </c>
      <c r="K23" s="765">
        <v>0</v>
      </c>
      <c r="L23" s="765">
        <v>32074.14000000013</v>
      </c>
      <c r="M23" s="765">
        <v>0</v>
      </c>
      <c r="N23" s="765">
        <v>0</v>
      </c>
      <c r="O23" s="765">
        <v>370585.1399999999</v>
      </c>
      <c r="P23" s="748">
        <f t="shared" si="2"/>
        <v>35908.120000000003</v>
      </c>
    </row>
    <row r="24" spans="1:16" ht="26.25" customHeight="1">
      <c r="A24" s="754">
        <v>11</v>
      </c>
      <c r="B24" s="762" t="s">
        <v>100</v>
      </c>
      <c r="C24" s="761">
        <f>SUM(C20:C23)</f>
        <v>135107683.72000003</v>
      </c>
      <c r="D24" s="761">
        <f>SUM(D20:D23)</f>
        <v>139677606.28000003</v>
      </c>
      <c r="E24" s="761">
        <f t="shared" ref="E24" si="3">SUM(E20:E23)</f>
        <v>143781855.75000003</v>
      </c>
      <c r="F24" s="761">
        <f>SUM(F20:F22)</f>
        <v>138429993.18000004</v>
      </c>
      <c r="G24" s="761">
        <f t="shared" ref="G24:O24" si="4">SUM(G20:G22)</f>
        <v>140382519.43000004</v>
      </c>
      <c r="H24" s="761">
        <f t="shared" si="4"/>
        <v>140372153.54000002</v>
      </c>
      <c r="I24" s="761">
        <f t="shared" si="4"/>
        <v>133381361.31000002</v>
      </c>
      <c r="J24" s="761">
        <f t="shared" si="4"/>
        <v>136883439.38</v>
      </c>
      <c r="K24" s="761">
        <f t="shared" si="4"/>
        <v>140089793.17999998</v>
      </c>
      <c r="L24" s="761">
        <f t="shared" si="4"/>
        <v>133536014.13</v>
      </c>
      <c r="M24" s="761">
        <f t="shared" si="4"/>
        <v>137080546.22999999</v>
      </c>
      <c r="N24" s="761">
        <f t="shared" si="4"/>
        <v>141584423.77999997</v>
      </c>
      <c r="O24" s="761">
        <f t="shared" si="4"/>
        <v>138838675.71999997</v>
      </c>
      <c r="P24" s="748">
        <f t="shared" si="2"/>
        <v>138395851.20230773</v>
      </c>
    </row>
    <row r="25" spans="1:16" ht="20.25" customHeight="1">
      <c r="A25" s="754">
        <v>12</v>
      </c>
      <c r="B25" s="762" t="s">
        <v>690</v>
      </c>
      <c r="C25" s="199">
        <v>-1627095.1</v>
      </c>
      <c r="D25" s="761">
        <f>C25-D23</f>
        <v>-1627095.1</v>
      </c>
      <c r="E25" s="761">
        <f t="shared" ref="E25" si="5">D25-E23</f>
        <v>-1627095.1</v>
      </c>
      <c r="F25" s="761">
        <f>E25+F23</f>
        <v>-1595023.96</v>
      </c>
      <c r="G25" s="761">
        <f t="shared" ref="G25:O25" si="6">F25+G23</f>
        <v>-1595023.96</v>
      </c>
      <c r="H25" s="761">
        <f t="shared" si="6"/>
        <v>-1595023.96</v>
      </c>
      <c r="I25" s="761">
        <f t="shared" si="6"/>
        <v>-1562949.82</v>
      </c>
      <c r="J25" s="761">
        <f t="shared" si="6"/>
        <v>-1562949.82</v>
      </c>
      <c r="K25" s="761">
        <f t="shared" si="6"/>
        <v>-1562949.82</v>
      </c>
      <c r="L25" s="761">
        <f t="shared" si="6"/>
        <v>-1530875.68</v>
      </c>
      <c r="M25" s="761">
        <f t="shared" si="6"/>
        <v>-1530875.68</v>
      </c>
      <c r="N25" s="761">
        <f t="shared" si="6"/>
        <v>-1530875.68</v>
      </c>
      <c r="O25" s="761">
        <f t="shared" si="6"/>
        <v>-1160290.54</v>
      </c>
      <c r="P25" s="761">
        <f>AVERAGE(C25:O25)</f>
        <v>-1546778.786153846</v>
      </c>
    </row>
    <row r="26" spans="1:16" ht="33" customHeight="1">
      <c r="A26" s="63">
        <v>13</v>
      </c>
      <c r="B26" s="587" t="s">
        <v>101</v>
      </c>
      <c r="C26" s="743">
        <f>C18+C24+C25</f>
        <v>363342479.43000001</v>
      </c>
      <c r="D26" s="743">
        <f t="shared" ref="D26:O26" si="7">D18+D24+D25</f>
        <v>375312401.98000002</v>
      </c>
      <c r="E26" s="743">
        <f t="shared" si="7"/>
        <v>379416651.46000004</v>
      </c>
      <c r="F26" s="743">
        <f t="shared" si="7"/>
        <v>374096860.03000003</v>
      </c>
      <c r="G26" s="743">
        <f t="shared" si="7"/>
        <v>376049386.27000004</v>
      </c>
      <c r="H26" s="743">
        <f t="shared" si="7"/>
        <v>376039020.39000005</v>
      </c>
      <c r="I26" s="743">
        <f t="shared" si="7"/>
        <v>369080302.30000001</v>
      </c>
      <c r="J26" s="743">
        <f t="shared" si="7"/>
        <v>372582380.37</v>
      </c>
      <c r="K26" s="743">
        <f t="shared" si="7"/>
        <v>375788734.17000002</v>
      </c>
      <c r="L26" s="743">
        <f t="shared" si="7"/>
        <v>369267029.25999999</v>
      </c>
      <c r="M26" s="743">
        <f t="shared" si="7"/>
        <v>372811561.35999995</v>
      </c>
      <c r="N26" s="743">
        <f t="shared" si="7"/>
        <v>392315438.89999998</v>
      </c>
      <c r="O26" s="758">
        <f t="shared" si="7"/>
        <v>389940275.97999996</v>
      </c>
      <c r="P26" s="751">
        <f>P18+P24+P25</f>
        <v>375849424.76153851</v>
      </c>
    </row>
    <row r="27" spans="1:16">
      <c r="A27" s="709"/>
      <c r="C27" s="766"/>
    </row>
  </sheetData>
  <mergeCells count="5">
    <mergeCell ref="A3:O3"/>
    <mergeCell ref="A4:O4"/>
    <mergeCell ref="A5:O5"/>
    <mergeCell ref="A6:O6"/>
    <mergeCell ref="A7:O7"/>
  </mergeCells>
  <printOptions horizontalCentered="1"/>
  <pageMargins left="0.5" right="0.5" top="0.75" bottom="0.5" header="0.5" footer="0.5"/>
  <pageSetup scale="47" orientation="landscape" horizontalDpi="300" verticalDpi="300" r:id="rId1"/>
  <headerFooter alignWithMargins="0">
    <oddHeader>&amp;R&amp;"Arial,Regular"&amp;10Attachment O Work Paper
Page 18 of 22</oddHeader>
  </headerFooter>
  <ignoredErrors>
    <ignoredError sqref="C15:O15 C26:O27 D24:E24 C17:O19 C16:I16 K16:O16 P14:P26"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V57"/>
  <sheetViews>
    <sheetView showGridLines="0" zoomScale="96" zoomScaleNormal="96" workbookViewId="0">
      <pane xSplit="6" ySplit="13" topLeftCell="H14" activePane="bottomRight" state="frozen"/>
      <selection pane="topRight" activeCell="G1" sqref="G1"/>
      <selection pane="bottomLeft" activeCell="A14" sqref="A14"/>
      <selection pane="bottomRight" activeCell="T30" sqref="T30"/>
    </sheetView>
  </sheetViews>
  <sheetFormatPr defaultColWidth="3.5546875" defaultRowHeight="12.75" customHeight="1"/>
  <cols>
    <col min="1" max="1" width="3.5546875" style="696" bestFit="1" customWidth="1"/>
    <col min="2" max="2" width="6.21875" style="696" customWidth="1"/>
    <col min="3" max="3" width="10.77734375" style="696" customWidth="1"/>
    <col min="4" max="4" width="11.88671875" style="696" customWidth="1"/>
    <col min="5" max="5" width="2.88671875" style="696" customWidth="1"/>
    <col min="6" max="18" width="11.88671875" style="696" customWidth="1"/>
    <col min="19" max="19" width="11.21875" style="696" customWidth="1"/>
    <col min="20" max="25" width="15.77734375" style="696" customWidth="1"/>
    <col min="26" max="26" width="7.77734375" style="696" customWidth="1"/>
    <col min="27" max="30" width="15.77734375" style="696" customWidth="1"/>
    <col min="31" max="255" width="9.77734375" style="696" customWidth="1"/>
    <col min="256" max="256" width="3.5546875" style="696" bestFit="1"/>
    <col min="257" max="16384" width="3.5546875" style="696"/>
  </cols>
  <sheetData>
    <row r="1" spans="1:22" ht="12.75" customHeight="1">
      <c r="B1" s="766"/>
      <c r="C1" s="585"/>
      <c r="D1" s="585"/>
      <c r="E1" s="585"/>
      <c r="F1" s="585"/>
      <c r="G1" s="585"/>
      <c r="H1" s="585"/>
      <c r="I1" s="585"/>
      <c r="J1" s="585"/>
      <c r="K1" s="585"/>
      <c r="L1" s="585"/>
      <c r="M1" s="585"/>
      <c r="N1" s="585"/>
      <c r="O1" s="585"/>
      <c r="P1" s="585"/>
      <c r="Q1" s="585"/>
      <c r="R1" s="770"/>
      <c r="U1" s="386"/>
    </row>
    <row r="2" spans="1:22" ht="12.75" customHeight="1">
      <c r="B2" s="766"/>
      <c r="C2" s="585"/>
      <c r="D2" s="585"/>
      <c r="E2" s="585"/>
      <c r="F2" s="585"/>
      <c r="G2" s="585"/>
      <c r="H2" s="585"/>
      <c r="I2" s="585"/>
      <c r="J2" s="585"/>
      <c r="K2" s="585"/>
      <c r="L2" s="585"/>
      <c r="M2" s="585"/>
      <c r="N2" s="585"/>
      <c r="O2" s="585"/>
      <c r="P2" s="585"/>
      <c r="Q2" s="585"/>
      <c r="R2" s="770"/>
    </row>
    <row r="3" spans="1:22" ht="12.75" customHeight="1">
      <c r="A3" s="955"/>
      <c r="B3" s="969"/>
      <c r="C3" s="969"/>
      <c r="D3" s="969"/>
      <c r="E3" s="969"/>
      <c r="F3" s="969"/>
      <c r="G3" s="969"/>
      <c r="H3" s="969"/>
      <c r="I3" s="969"/>
      <c r="J3" s="969"/>
      <c r="K3" s="969"/>
      <c r="L3" s="969"/>
      <c r="M3" s="969"/>
      <c r="N3" s="969"/>
      <c r="O3" s="969"/>
      <c r="P3" s="969"/>
      <c r="Q3" s="969"/>
      <c r="R3" s="969"/>
    </row>
    <row r="4" spans="1:22" ht="12.75" customHeight="1">
      <c r="B4" s="820"/>
      <c r="C4" s="585"/>
      <c r="D4" s="821"/>
      <c r="E4" s="585"/>
      <c r="F4" s="585"/>
      <c r="G4" s="585"/>
      <c r="H4" s="585"/>
      <c r="I4" s="585"/>
      <c r="J4" s="585"/>
      <c r="K4" s="585"/>
      <c r="L4" s="585"/>
      <c r="M4" s="585"/>
      <c r="N4" s="585"/>
      <c r="O4" s="585"/>
      <c r="P4" s="585"/>
      <c r="U4" s="891"/>
    </row>
    <row r="5" spans="1:22" ht="12.75" customHeight="1">
      <c r="A5" s="971" t="s">
        <v>0</v>
      </c>
      <c r="B5" s="971"/>
      <c r="C5" s="971"/>
      <c r="D5" s="971"/>
      <c r="E5" s="971"/>
      <c r="F5" s="971"/>
      <c r="G5" s="971"/>
      <c r="H5" s="971"/>
      <c r="I5" s="971"/>
      <c r="J5" s="971"/>
      <c r="K5" s="971"/>
      <c r="L5" s="971"/>
      <c r="M5" s="971"/>
      <c r="N5" s="971"/>
      <c r="O5" s="971"/>
      <c r="P5" s="971"/>
      <c r="Q5" s="971"/>
      <c r="R5" s="971"/>
      <c r="S5" s="971"/>
      <c r="U5" s="386"/>
    </row>
    <row r="6" spans="1:22" ht="12.75" customHeight="1">
      <c r="A6" s="955" t="s">
        <v>73</v>
      </c>
      <c r="B6" s="955"/>
      <c r="C6" s="955"/>
      <c r="D6" s="955"/>
      <c r="E6" s="955"/>
      <c r="F6" s="955"/>
      <c r="G6" s="955"/>
      <c r="H6" s="955"/>
      <c r="I6" s="955"/>
      <c r="J6" s="955"/>
      <c r="K6" s="955"/>
      <c r="L6" s="955"/>
      <c r="M6" s="955"/>
      <c r="N6" s="955"/>
      <c r="O6" s="955"/>
      <c r="P6" s="955"/>
      <c r="Q6" s="955"/>
      <c r="R6" s="955"/>
      <c r="S6" s="955"/>
    </row>
    <row r="7" spans="1:22" ht="12.75" customHeight="1">
      <c r="A7" s="971" t="s">
        <v>655</v>
      </c>
      <c r="B7" s="971"/>
      <c r="C7" s="971"/>
      <c r="D7" s="971"/>
      <c r="E7" s="971"/>
      <c r="F7" s="971"/>
      <c r="G7" s="971"/>
      <c r="H7" s="971"/>
      <c r="I7" s="971"/>
      <c r="J7" s="971"/>
      <c r="K7" s="971"/>
      <c r="L7" s="971"/>
      <c r="M7" s="971"/>
      <c r="N7" s="971"/>
      <c r="O7" s="971"/>
      <c r="P7" s="971"/>
      <c r="Q7" s="971"/>
      <c r="R7" s="971"/>
      <c r="S7" s="971"/>
    </row>
    <row r="8" spans="1:22" ht="12.75" customHeight="1">
      <c r="B8" s="822"/>
      <c r="C8" s="586"/>
      <c r="D8" s="586"/>
      <c r="E8" s="586"/>
      <c r="F8" s="586"/>
      <c r="G8" s="771"/>
      <c r="H8" s="771"/>
      <c r="I8" s="771"/>
      <c r="J8" s="771"/>
      <c r="K8" s="771"/>
      <c r="L8" s="771"/>
      <c r="M8" s="586"/>
      <c r="N8" s="586"/>
      <c r="O8" s="586"/>
      <c r="P8" s="586"/>
      <c r="Q8" s="586"/>
      <c r="R8" s="586"/>
    </row>
    <row r="9" spans="1:22" ht="12.75" customHeight="1">
      <c r="A9" s="709"/>
      <c r="B9" s="978" t="s">
        <v>1</v>
      </c>
      <c r="C9" s="978"/>
      <c r="D9" s="978"/>
      <c r="E9" s="978"/>
      <c r="F9" s="747" t="s">
        <v>2</v>
      </c>
      <c r="G9" s="747" t="s">
        <v>3</v>
      </c>
      <c r="H9" s="747" t="s">
        <v>4</v>
      </c>
      <c r="I9" s="747" t="s">
        <v>5</v>
      </c>
      <c r="J9" s="747" t="s">
        <v>7</v>
      </c>
      <c r="K9" s="747" t="s">
        <v>6</v>
      </c>
      <c r="L9" s="747" t="s">
        <v>30</v>
      </c>
      <c r="M9" s="747" t="s">
        <v>31</v>
      </c>
      <c r="N9" s="747" t="s">
        <v>32</v>
      </c>
      <c r="O9" s="747" t="s">
        <v>74</v>
      </c>
      <c r="P9" s="747" t="s">
        <v>75</v>
      </c>
      <c r="Q9" s="747" t="s">
        <v>76</v>
      </c>
      <c r="R9" s="747" t="s">
        <v>77</v>
      </c>
      <c r="S9" s="747" t="s">
        <v>78</v>
      </c>
      <c r="T9" s="747" t="s">
        <v>79</v>
      </c>
      <c r="U9" s="747" t="s">
        <v>80</v>
      </c>
    </row>
    <row r="10" spans="1:22" ht="12.75" customHeight="1">
      <c r="B10" s="585"/>
      <c r="C10" s="831"/>
      <c r="D10" s="585"/>
      <c r="E10" s="585"/>
      <c r="F10" s="585"/>
      <c r="G10" s="585"/>
      <c r="H10" s="585"/>
      <c r="I10" s="585"/>
      <c r="J10" s="585"/>
      <c r="K10" s="585"/>
      <c r="L10" s="585"/>
      <c r="M10" s="585"/>
      <c r="N10" s="585"/>
      <c r="O10" s="585"/>
      <c r="P10" s="585"/>
      <c r="Q10" s="744"/>
      <c r="R10" s="744"/>
    </row>
    <row r="11" spans="1:22" ht="12.75" customHeight="1">
      <c r="A11" s="823"/>
      <c r="B11" s="585"/>
      <c r="C11" s="741"/>
      <c r="D11" s="741"/>
      <c r="E11" s="741"/>
      <c r="F11" s="769" t="s">
        <v>81</v>
      </c>
      <c r="G11" s="585"/>
      <c r="H11" s="585"/>
      <c r="I11" s="585"/>
      <c r="J11" s="585"/>
      <c r="K11" s="585"/>
      <c r="L11" s="585"/>
      <c r="M11" s="585"/>
      <c r="N11" s="585"/>
      <c r="O11" s="585"/>
      <c r="P11" s="585"/>
      <c r="Q11" s="585"/>
      <c r="R11" s="585"/>
      <c r="S11" s="585"/>
      <c r="T11" s="772" t="s">
        <v>488</v>
      </c>
      <c r="U11" s="772" t="s">
        <v>82</v>
      </c>
    </row>
    <row r="12" spans="1:22" ht="12.75" customHeight="1">
      <c r="A12" s="710" t="s">
        <v>8</v>
      </c>
      <c r="B12" s="808"/>
      <c r="C12" s="810"/>
      <c r="D12" s="810"/>
      <c r="E12" s="797"/>
      <c r="F12" s="796" t="s">
        <v>83</v>
      </c>
      <c r="G12" s="999" t="s">
        <v>86</v>
      </c>
      <c r="H12" s="1000"/>
      <c r="I12" s="1000"/>
      <c r="J12" s="1000"/>
      <c r="K12" s="1000"/>
      <c r="L12" s="1000"/>
      <c r="M12" s="1000"/>
      <c r="N12" s="1000"/>
      <c r="O12" s="1000"/>
      <c r="P12" s="1000"/>
      <c r="Q12" s="1000"/>
      <c r="R12" s="1000"/>
      <c r="S12" s="1001"/>
      <c r="T12" s="773" t="s">
        <v>84</v>
      </c>
      <c r="U12" s="773" t="s">
        <v>85</v>
      </c>
    </row>
    <row r="13" spans="1:22" ht="12.75" customHeight="1">
      <c r="A13" s="712" t="s">
        <v>10</v>
      </c>
      <c r="B13" s="988" t="s">
        <v>35</v>
      </c>
      <c r="C13" s="989"/>
      <c r="D13" s="989"/>
      <c r="E13" s="990"/>
      <c r="F13" s="72" t="s">
        <v>82</v>
      </c>
      <c r="G13" s="772" t="s">
        <v>27</v>
      </c>
      <c r="H13" s="772" t="s">
        <v>34</v>
      </c>
      <c r="I13" s="772" t="s">
        <v>17</v>
      </c>
      <c r="J13" s="772" t="s">
        <v>18</v>
      </c>
      <c r="K13" s="772" t="s">
        <v>19</v>
      </c>
      <c r="L13" s="772" t="s">
        <v>20</v>
      </c>
      <c r="M13" s="772" t="s">
        <v>21</v>
      </c>
      <c r="N13" s="772" t="s">
        <v>22</v>
      </c>
      <c r="O13" s="772" t="s">
        <v>23</v>
      </c>
      <c r="P13" s="772" t="s">
        <v>24</v>
      </c>
      <c r="Q13" s="772" t="s">
        <v>25</v>
      </c>
      <c r="R13" s="772" t="s">
        <v>26</v>
      </c>
      <c r="S13" s="772" t="s">
        <v>27</v>
      </c>
      <c r="T13" s="65" t="s">
        <v>87</v>
      </c>
      <c r="U13" s="65" t="s">
        <v>548</v>
      </c>
    </row>
    <row r="14" spans="1:22" ht="12.75" customHeight="1">
      <c r="A14" s="711"/>
      <c r="B14" s="697"/>
      <c r="C14" s="698"/>
      <c r="D14" s="698"/>
      <c r="E14" s="699"/>
      <c r="F14" s="814"/>
      <c r="G14" s="785"/>
      <c r="H14" s="786"/>
      <c r="I14" s="780"/>
      <c r="J14" s="780"/>
      <c r="K14" s="780"/>
      <c r="L14" s="780"/>
      <c r="M14" s="780"/>
      <c r="N14" s="780"/>
      <c r="O14" s="780"/>
      <c r="P14" s="780"/>
      <c r="Q14" s="780"/>
      <c r="R14" s="780"/>
      <c r="S14" s="780"/>
      <c r="T14" s="780"/>
      <c r="U14" s="785"/>
    </row>
    <row r="15" spans="1:22" ht="12.75" customHeight="1">
      <c r="A15" s="711"/>
      <c r="B15" s="975" t="s">
        <v>88</v>
      </c>
      <c r="C15" s="976"/>
      <c r="D15" s="976"/>
      <c r="E15" s="977"/>
      <c r="F15" s="80"/>
      <c r="G15" s="824"/>
      <c r="H15" s="791"/>
      <c r="I15" s="791"/>
      <c r="J15" s="791"/>
      <c r="K15" s="791"/>
      <c r="L15" s="791"/>
      <c r="M15" s="791"/>
      <c r="N15" s="791"/>
      <c r="O15" s="791"/>
      <c r="P15" s="791"/>
      <c r="Q15" s="791"/>
      <c r="R15" s="791"/>
      <c r="S15" s="791"/>
      <c r="T15" s="791"/>
      <c r="U15" s="791"/>
    </row>
    <row r="16" spans="1:22" ht="12.75" customHeight="1">
      <c r="A16" s="711">
        <v>1</v>
      </c>
      <c r="B16" s="803">
        <v>5.9499999999999997E-2</v>
      </c>
      <c r="C16" s="806" t="s">
        <v>489</v>
      </c>
      <c r="D16" s="806"/>
      <c r="E16" s="74"/>
      <c r="F16" s="81">
        <v>5.9499999999999997E-2</v>
      </c>
      <c r="G16" s="776">
        <v>33000000</v>
      </c>
      <c r="H16" s="776">
        <v>33000000</v>
      </c>
      <c r="I16" s="776">
        <v>33000000</v>
      </c>
      <c r="J16" s="776">
        <v>33000000</v>
      </c>
      <c r="K16" s="776">
        <v>33000000</v>
      </c>
      <c r="L16" s="776">
        <v>33000000</v>
      </c>
      <c r="M16" s="776">
        <v>33000000</v>
      </c>
      <c r="N16" s="776">
        <v>33000000</v>
      </c>
      <c r="O16" s="776">
        <v>33000000</v>
      </c>
      <c r="P16" s="776">
        <v>33000000</v>
      </c>
      <c r="Q16" s="776">
        <v>33000000</v>
      </c>
      <c r="R16" s="776">
        <v>33000000</v>
      </c>
      <c r="S16" s="776">
        <v>33000000</v>
      </c>
      <c r="T16" s="776">
        <f>AVERAGE(G16:S16)</f>
        <v>33000000</v>
      </c>
      <c r="U16" s="776">
        <v>1963500</v>
      </c>
      <c r="V16" s="860"/>
    </row>
    <row r="17" spans="1:22" ht="12.75" customHeight="1">
      <c r="A17" s="711">
        <f>1+A16</f>
        <v>2</v>
      </c>
      <c r="B17" s="803">
        <v>6.1499999999999999E-2</v>
      </c>
      <c r="C17" s="806" t="s">
        <v>490</v>
      </c>
      <c r="D17" s="806"/>
      <c r="E17" s="74"/>
      <c r="F17" s="81">
        <v>6.1499999999999999E-2</v>
      </c>
      <c r="G17" s="776">
        <v>30000000</v>
      </c>
      <c r="H17" s="776">
        <v>30000000</v>
      </c>
      <c r="I17" s="776">
        <v>30000000</v>
      </c>
      <c r="J17" s="776">
        <v>30000000</v>
      </c>
      <c r="K17" s="776">
        <v>30000000</v>
      </c>
      <c r="L17" s="776">
        <v>30000000</v>
      </c>
      <c r="M17" s="776">
        <v>30000000</v>
      </c>
      <c r="N17" s="776">
        <v>30000000</v>
      </c>
      <c r="O17" s="776">
        <v>30000000</v>
      </c>
      <c r="P17" s="776">
        <v>30000000</v>
      </c>
      <c r="Q17" s="776">
        <v>30000000</v>
      </c>
      <c r="R17" s="776">
        <v>30000000</v>
      </c>
      <c r="S17" s="776">
        <v>30000000</v>
      </c>
      <c r="T17" s="776">
        <f t="shared" ref="T17:T20" si="0">AVERAGE(G17:S17)</f>
        <v>30000000</v>
      </c>
      <c r="U17" s="776">
        <v>1845000</v>
      </c>
      <c r="V17" s="860"/>
    </row>
    <row r="18" spans="1:22" ht="12.75" customHeight="1">
      <c r="A18" s="711">
        <f t="shared" ref="A18:A24" si="1">1+A17</f>
        <v>3</v>
      </c>
      <c r="B18" s="803">
        <v>6.3700000000000007E-2</v>
      </c>
      <c r="C18" s="806" t="s">
        <v>491</v>
      </c>
      <c r="D18" s="806"/>
      <c r="E18" s="74"/>
      <c r="F18" s="81">
        <v>6.3700000000000007E-2</v>
      </c>
      <c r="G18" s="776">
        <v>42000000</v>
      </c>
      <c r="H18" s="776">
        <v>42000000</v>
      </c>
      <c r="I18" s="776">
        <v>42000000</v>
      </c>
      <c r="J18" s="776">
        <v>42000000</v>
      </c>
      <c r="K18" s="776">
        <v>42000000</v>
      </c>
      <c r="L18" s="776">
        <v>42000000</v>
      </c>
      <c r="M18" s="776">
        <v>42000000</v>
      </c>
      <c r="N18" s="776">
        <v>42000000</v>
      </c>
      <c r="O18" s="776">
        <v>42000000</v>
      </c>
      <c r="P18" s="776">
        <v>42000000</v>
      </c>
      <c r="Q18" s="776">
        <v>42000000</v>
      </c>
      <c r="R18" s="776">
        <v>42000000</v>
      </c>
      <c r="S18" s="776">
        <v>42000000</v>
      </c>
      <c r="T18" s="776">
        <f t="shared" si="0"/>
        <v>42000000</v>
      </c>
      <c r="U18" s="776">
        <v>3234999.9600000004</v>
      </c>
      <c r="V18" s="860"/>
    </row>
    <row r="19" spans="1:22" ht="12.75" customHeight="1">
      <c r="A19" s="711">
        <f t="shared" si="1"/>
        <v>4</v>
      </c>
      <c r="B19" s="803">
        <v>6.4699999999999994E-2</v>
      </c>
      <c r="C19" s="806" t="s">
        <v>492</v>
      </c>
      <c r="D19" s="806"/>
      <c r="E19" s="74"/>
      <c r="F19" s="81">
        <v>6.4699999999999994E-2</v>
      </c>
      <c r="G19" s="776">
        <v>50000000</v>
      </c>
      <c r="H19" s="776">
        <v>50000000</v>
      </c>
      <c r="I19" s="776">
        <v>50000000</v>
      </c>
      <c r="J19" s="776">
        <v>50000000</v>
      </c>
      <c r="K19" s="776">
        <v>50000000</v>
      </c>
      <c r="L19" s="776">
        <v>50000000</v>
      </c>
      <c r="M19" s="776">
        <v>50000000</v>
      </c>
      <c r="N19" s="776">
        <v>50000000</v>
      </c>
      <c r="O19" s="776">
        <v>50000000</v>
      </c>
      <c r="P19" s="776">
        <v>50000000</v>
      </c>
      <c r="Q19" s="776">
        <v>50000000</v>
      </c>
      <c r="R19" s="776">
        <v>50000000</v>
      </c>
      <c r="S19" s="776">
        <v>50000000</v>
      </c>
      <c r="T19" s="776">
        <f t="shared" si="0"/>
        <v>50000000</v>
      </c>
      <c r="U19" s="776">
        <v>2675400</v>
      </c>
      <c r="V19" s="860"/>
    </row>
    <row r="20" spans="1:22" ht="12.75" customHeight="1">
      <c r="A20" s="711">
        <f t="shared" si="1"/>
        <v>5</v>
      </c>
      <c r="B20" s="803">
        <v>4.6300000000000001E-2</v>
      </c>
      <c r="C20" s="806" t="s">
        <v>493</v>
      </c>
      <c r="D20" s="806"/>
      <c r="E20" s="74"/>
      <c r="F20" s="81">
        <v>4.6300000000000001E-2</v>
      </c>
      <c r="G20" s="776">
        <v>140000000</v>
      </c>
      <c r="H20" s="776">
        <v>140000000</v>
      </c>
      <c r="I20" s="776">
        <v>140000000</v>
      </c>
      <c r="J20" s="776">
        <v>140000000</v>
      </c>
      <c r="K20" s="776">
        <v>140000000</v>
      </c>
      <c r="L20" s="776">
        <v>140000000</v>
      </c>
      <c r="M20" s="776">
        <v>140000000</v>
      </c>
      <c r="N20" s="776">
        <v>140000000</v>
      </c>
      <c r="O20" s="776">
        <v>140000000</v>
      </c>
      <c r="P20" s="776">
        <v>140000000</v>
      </c>
      <c r="Q20" s="776">
        <v>140000000</v>
      </c>
      <c r="R20" s="776">
        <v>140000000</v>
      </c>
      <c r="S20" s="776">
        <v>140000000</v>
      </c>
      <c r="T20" s="776">
        <f t="shared" si="0"/>
        <v>140000000</v>
      </c>
      <c r="U20" s="776">
        <v>6482000.04</v>
      </c>
      <c r="V20" s="860"/>
    </row>
    <row r="21" spans="1:22" ht="12.75" customHeight="1">
      <c r="A21" s="711">
        <f t="shared" si="1"/>
        <v>6</v>
      </c>
      <c r="B21" s="874">
        <v>1.1000000000000001E-2</v>
      </c>
      <c r="C21" s="873" t="s">
        <v>582</v>
      </c>
      <c r="D21" s="806"/>
      <c r="E21" s="802"/>
      <c r="F21" s="825">
        <v>1.0999999999999999E-2</v>
      </c>
      <c r="G21" s="776">
        <v>0</v>
      </c>
      <c r="H21" s="776">
        <v>0</v>
      </c>
      <c r="I21" s="776">
        <v>0</v>
      </c>
      <c r="J21" s="776">
        <v>40900000</v>
      </c>
      <c r="K21" s="776">
        <v>40900000</v>
      </c>
      <c r="L21" s="776">
        <v>40900000</v>
      </c>
      <c r="M21" s="776">
        <v>40900000</v>
      </c>
      <c r="N21" s="776">
        <v>40900000</v>
      </c>
      <c r="O21" s="776">
        <v>40900000</v>
      </c>
      <c r="P21" s="776">
        <v>40900000</v>
      </c>
      <c r="Q21" s="776">
        <v>40900000</v>
      </c>
      <c r="R21" s="776">
        <v>40900000</v>
      </c>
      <c r="S21" s="776">
        <v>40900000</v>
      </c>
      <c r="T21" s="776">
        <f t="shared" ref="T21:T23" si="2">AVERAGE(G21:S21)</f>
        <v>31461538.46153846</v>
      </c>
      <c r="U21" s="776">
        <v>369511.28</v>
      </c>
      <c r="V21" s="860"/>
    </row>
    <row r="22" spans="1:22" ht="12.75" customHeight="1">
      <c r="A22" s="711">
        <f t="shared" si="1"/>
        <v>7</v>
      </c>
      <c r="B22" s="874">
        <v>4.6799999999999994E-2</v>
      </c>
      <c r="C22" s="872" t="s">
        <v>583</v>
      </c>
      <c r="D22" s="806"/>
      <c r="E22" s="802"/>
      <c r="F22" s="825">
        <v>4.6800000000000001E-2</v>
      </c>
      <c r="G22" s="776">
        <v>0</v>
      </c>
      <c r="H22" s="776">
        <v>0</v>
      </c>
      <c r="I22" s="776">
        <v>0</v>
      </c>
      <c r="J22" s="776">
        <v>0</v>
      </c>
      <c r="K22" s="776">
        <v>0</v>
      </c>
      <c r="L22" s="776">
        <v>0</v>
      </c>
      <c r="M22" s="776">
        <v>0</v>
      </c>
      <c r="N22" s="776">
        <v>0</v>
      </c>
      <c r="O22" s="776">
        <v>0</v>
      </c>
      <c r="P22" s="776">
        <v>0</v>
      </c>
      <c r="Q22" s="776">
        <v>0</v>
      </c>
      <c r="R22" s="776">
        <v>0</v>
      </c>
      <c r="S22" s="776">
        <v>0</v>
      </c>
      <c r="T22" s="776">
        <f t="shared" si="2"/>
        <v>0</v>
      </c>
      <c r="U22" s="776">
        <v>0</v>
      </c>
      <c r="V22" s="860"/>
    </row>
    <row r="23" spans="1:22" ht="12.75" customHeight="1">
      <c r="A23" s="711">
        <f t="shared" si="1"/>
        <v>8</v>
      </c>
      <c r="B23" s="874">
        <v>5.4699999999999999E-2</v>
      </c>
      <c r="C23" s="872" t="s">
        <v>584</v>
      </c>
      <c r="D23" s="105"/>
      <c r="E23" s="802"/>
      <c r="F23" s="825">
        <v>5.4699999999999999E-2</v>
      </c>
      <c r="G23" s="776">
        <v>0</v>
      </c>
      <c r="H23" s="776">
        <v>0</v>
      </c>
      <c r="I23" s="776">
        <v>0</v>
      </c>
      <c r="J23" s="776">
        <v>0</v>
      </c>
      <c r="K23" s="776">
        <v>0</v>
      </c>
      <c r="L23" s="776">
        <v>0</v>
      </c>
      <c r="M23" s="776">
        <v>0</v>
      </c>
      <c r="N23" s="776">
        <v>0</v>
      </c>
      <c r="O23" s="776">
        <v>0</v>
      </c>
      <c r="P23" s="776">
        <v>0</v>
      </c>
      <c r="Q23" s="776">
        <v>0</v>
      </c>
      <c r="R23" s="776">
        <v>0</v>
      </c>
      <c r="S23" s="776">
        <v>0</v>
      </c>
      <c r="T23" s="776">
        <f t="shared" si="2"/>
        <v>0</v>
      </c>
      <c r="U23" s="776">
        <v>0</v>
      </c>
      <c r="V23" s="860"/>
    </row>
    <row r="24" spans="1:22" ht="12.75" customHeight="1">
      <c r="A24" s="711">
        <f t="shared" si="1"/>
        <v>9</v>
      </c>
      <c r="B24" s="986" t="s">
        <v>89</v>
      </c>
      <c r="C24" s="987"/>
      <c r="D24" s="763"/>
      <c r="E24" s="798"/>
      <c r="F24" s="826"/>
      <c r="G24" s="787">
        <f t="shared" ref="G24:S24" si="3">SUM(G16:G23)</f>
        <v>295000000</v>
      </c>
      <c r="H24" s="787">
        <f t="shared" si="3"/>
        <v>295000000</v>
      </c>
      <c r="I24" s="787">
        <f t="shared" si="3"/>
        <v>295000000</v>
      </c>
      <c r="J24" s="787">
        <f t="shared" si="3"/>
        <v>335900000</v>
      </c>
      <c r="K24" s="787">
        <f t="shared" si="3"/>
        <v>335900000</v>
      </c>
      <c r="L24" s="787">
        <f t="shared" si="3"/>
        <v>335900000</v>
      </c>
      <c r="M24" s="787">
        <f t="shared" si="3"/>
        <v>335900000</v>
      </c>
      <c r="N24" s="787">
        <f t="shared" si="3"/>
        <v>335900000</v>
      </c>
      <c r="O24" s="787">
        <f t="shared" si="3"/>
        <v>335900000</v>
      </c>
      <c r="P24" s="787">
        <f t="shared" si="3"/>
        <v>335900000</v>
      </c>
      <c r="Q24" s="787">
        <f t="shared" si="3"/>
        <v>335900000</v>
      </c>
      <c r="R24" s="787">
        <f t="shared" si="3"/>
        <v>335900000</v>
      </c>
      <c r="S24" s="787">
        <f t="shared" si="3"/>
        <v>335900000</v>
      </c>
      <c r="T24" s="787">
        <f>SUM(T16:T23)</f>
        <v>326461538.46153843</v>
      </c>
      <c r="U24" s="787">
        <f>SUM(U16:U23)</f>
        <v>16570411.279999999</v>
      </c>
    </row>
    <row r="25" spans="1:22" ht="12.75" customHeight="1">
      <c r="A25" s="711">
        <v>7</v>
      </c>
      <c r="B25" s="799"/>
      <c r="C25" s="805"/>
      <c r="D25" s="805"/>
      <c r="E25" s="73"/>
      <c r="F25" s="82"/>
      <c r="G25" s="778"/>
      <c r="H25" s="778"/>
      <c r="I25" s="778"/>
      <c r="J25" s="778"/>
      <c r="K25" s="778"/>
      <c r="L25" s="778"/>
      <c r="M25" s="778"/>
      <c r="N25" s="778"/>
      <c r="O25" s="778"/>
      <c r="P25" s="778"/>
      <c r="Q25" s="778"/>
      <c r="R25" s="778"/>
      <c r="S25" s="778"/>
      <c r="T25" s="778"/>
      <c r="U25" s="778"/>
    </row>
    <row r="26" spans="1:22" ht="12.75" customHeight="1">
      <c r="A26" s="711">
        <v>8</v>
      </c>
      <c r="B26" s="993" t="s">
        <v>90</v>
      </c>
      <c r="C26" s="994"/>
      <c r="D26" s="807"/>
      <c r="E26" s="69"/>
      <c r="F26" s="82"/>
      <c r="G26" s="779"/>
      <c r="H26" s="779"/>
      <c r="I26" s="779"/>
      <c r="J26" s="779"/>
      <c r="K26" s="779"/>
      <c r="L26" s="779"/>
      <c r="M26" s="779"/>
      <c r="N26" s="779"/>
      <c r="O26" s="779"/>
      <c r="P26" s="779"/>
      <c r="Q26" s="779"/>
      <c r="R26" s="779"/>
      <c r="S26" s="779"/>
      <c r="T26" s="779"/>
      <c r="U26" s="779"/>
    </row>
    <row r="27" spans="1:22" ht="12.75" customHeight="1">
      <c r="A27" s="711">
        <v>9</v>
      </c>
      <c r="B27" s="991" t="s">
        <v>91</v>
      </c>
      <c r="C27" s="992"/>
      <c r="D27" s="818"/>
      <c r="E27" s="68"/>
      <c r="F27" s="81">
        <v>4.65E-2</v>
      </c>
      <c r="G27" s="790">
        <v>5065000</v>
      </c>
      <c r="H27" s="790">
        <v>5065000</v>
      </c>
      <c r="I27" s="790">
        <v>5065000</v>
      </c>
      <c r="J27" s="224">
        <v>0</v>
      </c>
      <c r="K27" s="224">
        <v>0</v>
      </c>
      <c r="L27" s="224">
        <v>0</v>
      </c>
      <c r="M27" s="224">
        <v>0</v>
      </c>
      <c r="N27" s="224">
        <v>0</v>
      </c>
      <c r="O27" s="224">
        <v>0</v>
      </c>
      <c r="P27" s="224">
        <v>0</v>
      </c>
      <c r="Q27" s="224">
        <v>0</v>
      </c>
      <c r="R27" s="224">
        <v>0</v>
      </c>
      <c r="S27" s="224">
        <v>0</v>
      </c>
      <c r="T27" s="776">
        <f>AVERAGE(G27:S27)</f>
        <v>1168846.1538461538</v>
      </c>
      <c r="U27" s="776">
        <v>39254</v>
      </c>
      <c r="V27" s="723"/>
    </row>
    <row r="28" spans="1:22" ht="12.75" customHeight="1">
      <c r="A28" s="711">
        <v>10</v>
      </c>
      <c r="B28" s="991" t="s">
        <v>92</v>
      </c>
      <c r="C28" s="992"/>
      <c r="D28" s="818"/>
      <c r="E28" s="68"/>
      <c r="F28" s="81">
        <v>4.8500000000000001E-2</v>
      </c>
      <c r="G28" s="790">
        <v>20070000</v>
      </c>
      <c r="H28" s="790">
        <v>20070000</v>
      </c>
      <c r="I28" s="790">
        <v>20070000</v>
      </c>
      <c r="J28" s="224">
        <v>0</v>
      </c>
      <c r="K28" s="224">
        <v>0</v>
      </c>
      <c r="L28" s="224">
        <v>0</v>
      </c>
      <c r="M28" s="224">
        <v>0</v>
      </c>
      <c r="N28" s="224">
        <v>0</v>
      </c>
      <c r="O28" s="224">
        <v>0</v>
      </c>
      <c r="P28" s="224">
        <v>0</v>
      </c>
      <c r="Q28" s="224">
        <v>0</v>
      </c>
      <c r="R28" s="224">
        <v>0</v>
      </c>
      <c r="S28" s="224">
        <v>0</v>
      </c>
      <c r="T28" s="776">
        <f>AVERAGE(G28:S28)</f>
        <v>4631538.461538462</v>
      </c>
      <c r="U28" s="776">
        <v>162233</v>
      </c>
      <c r="V28" s="723"/>
    </row>
    <row r="29" spans="1:22" ht="12.75" customHeight="1">
      <c r="A29" s="711">
        <v>11</v>
      </c>
      <c r="B29" s="984" t="s">
        <v>93</v>
      </c>
      <c r="C29" s="985"/>
      <c r="D29" s="817"/>
      <c r="E29" s="793"/>
      <c r="F29" s="827"/>
      <c r="G29" s="788">
        <f>SUM(G27:G28)</f>
        <v>25135000</v>
      </c>
      <c r="H29" s="788">
        <f t="shared" ref="H29:S29" si="4">SUM(H27:H28)</f>
        <v>25135000</v>
      </c>
      <c r="I29" s="788">
        <f t="shared" si="4"/>
        <v>25135000</v>
      </c>
      <c r="J29" s="788">
        <f t="shared" si="4"/>
        <v>0</v>
      </c>
      <c r="K29" s="788">
        <f t="shared" si="4"/>
        <v>0</v>
      </c>
      <c r="L29" s="788">
        <f t="shared" si="4"/>
        <v>0</v>
      </c>
      <c r="M29" s="788">
        <f t="shared" si="4"/>
        <v>0</v>
      </c>
      <c r="N29" s="788">
        <f t="shared" si="4"/>
        <v>0</v>
      </c>
      <c r="O29" s="788">
        <f t="shared" si="4"/>
        <v>0</v>
      </c>
      <c r="P29" s="788">
        <f t="shared" si="4"/>
        <v>0</v>
      </c>
      <c r="Q29" s="788">
        <f t="shared" si="4"/>
        <v>0</v>
      </c>
      <c r="R29" s="788">
        <f t="shared" si="4"/>
        <v>0</v>
      </c>
      <c r="S29" s="788">
        <f t="shared" si="4"/>
        <v>0</v>
      </c>
      <c r="T29" s="788">
        <f>SUM(T27:T28)</f>
        <v>5800384.615384616</v>
      </c>
      <c r="U29" s="787">
        <f>SUM(U27:U28)</f>
        <v>201487</v>
      </c>
    </row>
    <row r="30" spans="1:22" ht="12.75" customHeight="1">
      <c r="A30" s="711">
        <v>12</v>
      </c>
      <c r="B30" s="809"/>
      <c r="C30" s="807"/>
      <c r="D30" s="807"/>
      <c r="E30" s="69"/>
      <c r="F30" s="80"/>
      <c r="G30" s="791"/>
      <c r="H30" s="791"/>
      <c r="I30" s="791"/>
      <c r="J30" s="791"/>
      <c r="K30" s="791"/>
      <c r="L30" s="791"/>
      <c r="M30" s="791"/>
      <c r="N30" s="791"/>
      <c r="O30" s="791"/>
      <c r="P30" s="791"/>
      <c r="Q30" s="791"/>
      <c r="R30" s="791"/>
      <c r="S30" s="791"/>
      <c r="T30" s="791"/>
      <c r="U30" s="791"/>
    </row>
    <row r="31" spans="1:22" ht="12.75" customHeight="1">
      <c r="A31" s="711">
        <v>13</v>
      </c>
      <c r="B31" s="740"/>
      <c r="C31" s="741"/>
      <c r="D31" s="741"/>
      <c r="E31" s="67"/>
      <c r="F31" s="67"/>
      <c r="G31" s="777"/>
      <c r="H31" s="777"/>
      <c r="I31" s="777"/>
      <c r="J31" s="777"/>
      <c r="K31" s="777"/>
      <c r="L31" s="777"/>
      <c r="M31" s="777"/>
      <c r="N31" s="777"/>
      <c r="O31" s="777"/>
      <c r="P31" s="777"/>
      <c r="Q31" s="777"/>
      <c r="R31" s="777"/>
      <c r="S31" s="777"/>
      <c r="T31" s="777"/>
      <c r="U31" s="777"/>
    </row>
    <row r="32" spans="1:22" ht="12.75" customHeight="1">
      <c r="A32" s="711">
        <v>14</v>
      </c>
      <c r="B32" s="997" t="s">
        <v>494</v>
      </c>
      <c r="C32" s="998"/>
      <c r="D32" s="768"/>
      <c r="E32" s="75"/>
      <c r="F32" s="80"/>
      <c r="G32" s="791"/>
      <c r="H32" s="791"/>
      <c r="I32" s="791"/>
      <c r="J32" s="791"/>
      <c r="K32" s="791"/>
      <c r="L32" s="791"/>
      <c r="M32" s="791"/>
      <c r="N32" s="791"/>
      <c r="O32" s="791"/>
      <c r="P32" s="791"/>
      <c r="Q32" s="791"/>
      <c r="R32" s="791"/>
      <c r="S32" s="791"/>
      <c r="T32" s="776"/>
      <c r="U32" s="776"/>
    </row>
    <row r="33" spans="1:22" ht="12.75" customHeight="1">
      <c r="A33" s="711">
        <v>15</v>
      </c>
      <c r="B33" s="816">
        <v>5.33E-2</v>
      </c>
      <c r="C33" s="812" t="s">
        <v>495</v>
      </c>
      <c r="D33" s="812"/>
      <c r="E33" s="77"/>
      <c r="F33" s="828">
        <v>5.33E-2</v>
      </c>
      <c r="G33" s="790">
        <v>6000000</v>
      </c>
      <c r="H33" s="790">
        <v>6000000</v>
      </c>
      <c r="I33" s="790">
        <v>6000000</v>
      </c>
      <c r="J33" s="884">
        <v>0</v>
      </c>
      <c r="K33" s="884">
        <v>0</v>
      </c>
      <c r="L33" s="884">
        <v>0</v>
      </c>
      <c r="M33" s="884">
        <v>0</v>
      </c>
      <c r="N33" s="884">
        <v>0</v>
      </c>
      <c r="O33" s="884">
        <v>0</v>
      </c>
      <c r="P33" s="884">
        <v>0</v>
      </c>
      <c r="Q33" s="884">
        <v>0</v>
      </c>
      <c r="R33" s="884">
        <v>0</v>
      </c>
      <c r="S33" s="884">
        <v>0</v>
      </c>
      <c r="T33" s="776">
        <f>AVERAGE(G33:S33)</f>
        <v>1384615.3846153845</v>
      </c>
      <c r="U33" s="776">
        <v>188300</v>
      </c>
      <c r="V33" s="723"/>
    </row>
    <row r="34" spans="1:22" ht="12.75" customHeight="1">
      <c r="A34" s="711">
        <v>16</v>
      </c>
      <c r="B34" s="816">
        <v>7.2099999999999997E-2</v>
      </c>
      <c r="C34" s="812" t="s">
        <v>496</v>
      </c>
      <c r="D34" s="812"/>
      <c r="E34" s="77"/>
      <c r="F34" s="828">
        <v>7.2099999999999997E-2</v>
      </c>
      <c r="G34" s="790">
        <v>2500000</v>
      </c>
      <c r="H34" s="790">
        <v>2500000</v>
      </c>
      <c r="I34" s="790">
        <v>2500000</v>
      </c>
      <c r="J34" s="884">
        <v>0</v>
      </c>
      <c r="K34" s="884">
        <v>0</v>
      </c>
      <c r="L34" s="884">
        <v>0</v>
      </c>
      <c r="M34" s="884">
        <v>0</v>
      </c>
      <c r="N34" s="884">
        <v>0</v>
      </c>
      <c r="O34" s="884">
        <v>0</v>
      </c>
      <c r="P34" s="884">
        <v>0</v>
      </c>
      <c r="Q34" s="884">
        <v>0</v>
      </c>
      <c r="R34" s="884">
        <v>0</v>
      </c>
      <c r="S34" s="884">
        <v>0</v>
      </c>
      <c r="T34" s="776">
        <f t="shared" ref="T34:T35" si="5">AVERAGE(G34:S34)</f>
        <v>576923.07692307688</v>
      </c>
      <c r="U34" s="776">
        <v>80042</v>
      </c>
      <c r="V34" s="723"/>
    </row>
    <row r="35" spans="1:22" ht="12.75" customHeight="1">
      <c r="A35" s="711">
        <v>17</v>
      </c>
      <c r="B35" s="816">
        <v>7.6200000000000004E-2</v>
      </c>
      <c r="C35" s="812" t="s">
        <v>497</v>
      </c>
      <c r="D35" s="812"/>
      <c r="E35" s="77"/>
      <c r="F35" s="828">
        <v>7.6200000000000004E-2</v>
      </c>
      <c r="G35" s="790">
        <v>3000000</v>
      </c>
      <c r="H35" s="790">
        <v>3000000</v>
      </c>
      <c r="I35" s="790">
        <v>3000000</v>
      </c>
      <c r="J35" s="884">
        <v>0</v>
      </c>
      <c r="K35" s="884">
        <v>0</v>
      </c>
      <c r="L35" s="884">
        <v>0</v>
      </c>
      <c r="M35" s="884">
        <v>0</v>
      </c>
      <c r="N35" s="884">
        <v>0</v>
      </c>
      <c r="O35" s="884">
        <v>0</v>
      </c>
      <c r="P35" s="884">
        <v>0</v>
      </c>
      <c r="Q35" s="884">
        <v>0</v>
      </c>
      <c r="R35" s="884">
        <v>0</v>
      </c>
      <c r="S35" s="884">
        <v>0</v>
      </c>
      <c r="T35" s="776">
        <f t="shared" si="5"/>
        <v>692307.69230769225</v>
      </c>
      <c r="U35" s="776">
        <v>83100</v>
      </c>
      <c r="V35" s="723"/>
    </row>
    <row r="36" spans="1:22" ht="12.75" customHeight="1">
      <c r="A36" s="711">
        <v>18</v>
      </c>
      <c r="B36" s="816">
        <v>9.35E-2</v>
      </c>
      <c r="C36" s="812" t="s">
        <v>498</v>
      </c>
      <c r="D36" s="812"/>
      <c r="E36" s="77"/>
      <c r="F36" s="828">
        <v>9.35E-2</v>
      </c>
      <c r="G36" s="790">
        <v>4000000</v>
      </c>
      <c r="H36" s="790">
        <v>4000000</v>
      </c>
      <c r="I36" s="790">
        <v>4000000</v>
      </c>
      <c r="J36" s="136">
        <v>0</v>
      </c>
      <c r="K36" s="136">
        <v>0</v>
      </c>
      <c r="L36" s="136">
        <v>0</v>
      </c>
      <c r="M36" s="136">
        <v>0</v>
      </c>
      <c r="N36" s="136">
        <v>0</v>
      </c>
      <c r="O36" s="136">
        <v>0</v>
      </c>
      <c r="P36" s="136">
        <v>0</v>
      </c>
      <c r="Q36" s="136">
        <v>0</v>
      </c>
      <c r="R36" s="136">
        <v>0</v>
      </c>
      <c r="S36" s="136">
        <v>0</v>
      </c>
      <c r="T36" s="76">
        <f>AVERAGE(G36:S36)</f>
        <v>923076.92307692312</v>
      </c>
      <c r="U36" s="776">
        <v>75833</v>
      </c>
      <c r="V36" s="723"/>
    </row>
    <row r="37" spans="1:22" ht="12.75" customHeight="1">
      <c r="A37" s="711">
        <v>19</v>
      </c>
      <c r="B37" s="973" t="s">
        <v>499</v>
      </c>
      <c r="C37" s="974"/>
      <c r="D37" s="757"/>
      <c r="E37" s="813"/>
      <c r="F37" s="815"/>
      <c r="G37" s="788">
        <f>SUM(G33:G36)</f>
        <v>15500000</v>
      </c>
      <c r="H37" s="788">
        <f t="shared" ref="H37:S37" si="6">SUM(H33:H36)</f>
        <v>15500000</v>
      </c>
      <c r="I37" s="788">
        <f t="shared" si="6"/>
        <v>15500000</v>
      </c>
      <c r="J37" s="788">
        <f t="shared" si="6"/>
        <v>0</v>
      </c>
      <c r="K37" s="788">
        <f t="shared" si="6"/>
        <v>0</v>
      </c>
      <c r="L37" s="788">
        <f t="shared" si="6"/>
        <v>0</v>
      </c>
      <c r="M37" s="788">
        <f t="shared" si="6"/>
        <v>0</v>
      </c>
      <c r="N37" s="788">
        <f t="shared" si="6"/>
        <v>0</v>
      </c>
      <c r="O37" s="788">
        <f t="shared" si="6"/>
        <v>0</v>
      </c>
      <c r="P37" s="788">
        <f t="shared" si="6"/>
        <v>0</v>
      </c>
      <c r="Q37" s="788">
        <f t="shared" si="6"/>
        <v>0</v>
      </c>
      <c r="R37" s="788">
        <f t="shared" si="6"/>
        <v>0</v>
      </c>
      <c r="S37" s="788">
        <f t="shared" si="6"/>
        <v>0</v>
      </c>
      <c r="T37" s="788">
        <f t="shared" ref="T37" si="7">SUM(T33:T36)</f>
        <v>3576923.076923077</v>
      </c>
      <c r="U37" s="788">
        <f t="shared" ref="U37" si="8">SUM(U33:U36)</f>
        <v>427275</v>
      </c>
    </row>
    <row r="38" spans="1:22" ht="12.75" customHeight="1">
      <c r="A38" s="711">
        <v>20</v>
      </c>
      <c r="B38" s="800"/>
      <c r="C38" s="801"/>
      <c r="D38" s="801"/>
      <c r="E38" s="79"/>
      <c r="F38" s="70"/>
      <c r="G38" s="66"/>
      <c r="H38" s="66"/>
      <c r="I38" s="66"/>
      <c r="J38" s="66"/>
      <c r="K38" s="66"/>
      <c r="L38" s="66"/>
      <c r="M38" s="66"/>
      <c r="N38" s="66"/>
      <c r="O38" s="66"/>
      <c r="P38" s="66"/>
      <c r="Q38" s="66"/>
      <c r="R38" s="66"/>
      <c r="S38" s="66"/>
      <c r="T38" s="66"/>
      <c r="U38" s="66"/>
    </row>
    <row r="39" spans="1:22" ht="12.75" customHeight="1">
      <c r="A39" s="711">
        <v>21</v>
      </c>
      <c r="B39" s="995" t="s">
        <v>70</v>
      </c>
      <c r="C39" s="996"/>
      <c r="D39" s="752"/>
      <c r="E39" s="794"/>
      <c r="F39" s="829"/>
      <c r="G39" s="789">
        <f>G37+G29+G24</f>
        <v>335635000</v>
      </c>
      <c r="H39" s="789">
        <f t="shared" ref="H39:T39" si="9">H37+H29+H24</f>
        <v>335635000</v>
      </c>
      <c r="I39" s="789">
        <f t="shared" si="9"/>
        <v>335635000</v>
      </c>
      <c r="J39" s="789">
        <f t="shared" si="9"/>
        <v>335900000</v>
      </c>
      <c r="K39" s="789">
        <f t="shared" si="9"/>
        <v>335900000</v>
      </c>
      <c r="L39" s="789">
        <f t="shared" si="9"/>
        <v>335900000</v>
      </c>
      <c r="M39" s="789">
        <f t="shared" si="9"/>
        <v>335900000</v>
      </c>
      <c r="N39" s="789">
        <f t="shared" si="9"/>
        <v>335900000</v>
      </c>
      <c r="O39" s="789">
        <f t="shared" si="9"/>
        <v>335900000</v>
      </c>
      <c r="P39" s="789">
        <f t="shared" si="9"/>
        <v>335900000</v>
      </c>
      <c r="Q39" s="789">
        <f t="shared" si="9"/>
        <v>335900000</v>
      </c>
      <c r="R39" s="789">
        <f t="shared" si="9"/>
        <v>335900000</v>
      </c>
      <c r="S39" s="789">
        <f t="shared" si="9"/>
        <v>335900000</v>
      </c>
      <c r="T39" s="789">
        <f t="shared" si="9"/>
        <v>335838846.15384614</v>
      </c>
      <c r="U39" s="789">
        <f>U24+U29+U37</f>
        <v>17199173.280000001</v>
      </c>
    </row>
    <row r="40" spans="1:22" ht="12.75" customHeight="1">
      <c r="A40" s="711">
        <v>22</v>
      </c>
      <c r="B40" s="811"/>
      <c r="C40" s="804"/>
      <c r="D40" s="804"/>
      <c r="E40" s="795"/>
      <c r="F40" s="795"/>
      <c r="G40" s="775"/>
      <c r="H40" s="775"/>
      <c r="I40" s="775"/>
      <c r="J40" s="775"/>
      <c r="K40" s="775"/>
      <c r="L40" s="775"/>
      <c r="M40" s="775"/>
      <c r="N40" s="775"/>
      <c r="O40" s="775"/>
      <c r="P40" s="775"/>
      <c r="Q40" s="775"/>
      <c r="R40" s="788"/>
      <c r="S40" s="788"/>
      <c r="T40" s="775"/>
      <c r="U40" s="775"/>
    </row>
    <row r="41" spans="1:22" ht="12.75" customHeight="1">
      <c r="A41" s="719">
        <f t="shared" ref="A41:A46" si="10">A40+1</f>
        <v>23</v>
      </c>
      <c r="B41" s="982" t="s">
        <v>500</v>
      </c>
      <c r="C41" s="983"/>
      <c r="D41" s="983"/>
      <c r="E41" s="812"/>
      <c r="F41" s="855"/>
      <c r="G41" s="776">
        <v>-5831148.79</v>
      </c>
      <c r="H41" s="776">
        <v>-5776398.9000000004</v>
      </c>
      <c r="I41" s="776">
        <v>-5720377.6400000006</v>
      </c>
      <c r="J41" s="776">
        <v>-5661549.1900000004</v>
      </c>
      <c r="K41" s="776">
        <v>-5611723.6500000004</v>
      </c>
      <c r="L41" s="776">
        <v>-5573520.8600000003</v>
      </c>
      <c r="M41" s="776">
        <v>-5524623.0999999996</v>
      </c>
      <c r="N41" s="776">
        <v>-5463307.3200000003</v>
      </c>
      <c r="O41" s="776">
        <v>-5457900.5999999996</v>
      </c>
      <c r="P41" s="776">
        <v>-5414420.0800000001</v>
      </c>
      <c r="Q41" s="776">
        <v>-5510359.8499999996</v>
      </c>
      <c r="R41" s="776">
        <v>-5449162.4399999995</v>
      </c>
      <c r="S41" s="776">
        <v>-5390829.75</v>
      </c>
      <c r="T41" s="776">
        <f>AVERAGE(G41:S41)</f>
        <v>-5568101.7053846158</v>
      </c>
      <c r="U41" s="364">
        <v>724193.28000000003</v>
      </c>
      <c r="V41" s="860"/>
    </row>
    <row r="42" spans="1:22" ht="12.75" customHeight="1">
      <c r="A42" s="711">
        <f t="shared" si="10"/>
        <v>24</v>
      </c>
      <c r="B42" s="852"/>
      <c r="C42" s="812"/>
      <c r="D42" s="812"/>
      <c r="E42" s="77"/>
      <c r="F42" s="90"/>
      <c r="G42" s="853"/>
      <c r="H42" s="853"/>
      <c r="I42" s="853"/>
      <c r="J42" s="853"/>
      <c r="K42" s="853"/>
      <c r="L42" s="853"/>
      <c r="M42" s="853"/>
      <c r="N42" s="703"/>
      <c r="O42" s="854"/>
      <c r="P42" s="30"/>
      <c r="Q42" s="854"/>
      <c r="R42" s="854"/>
      <c r="S42" s="854"/>
      <c r="T42" s="854"/>
      <c r="U42" s="854"/>
    </row>
    <row r="43" spans="1:22" ht="12.75" customHeight="1">
      <c r="A43" s="711">
        <f t="shared" si="10"/>
        <v>25</v>
      </c>
      <c r="B43" s="852" t="s">
        <v>507</v>
      </c>
      <c r="C43" s="812"/>
      <c r="D43" s="812"/>
      <c r="E43" s="77"/>
      <c r="F43" s="90"/>
      <c r="G43" s="856">
        <f>-G41</f>
        <v>5831148.79</v>
      </c>
      <c r="H43" s="856">
        <f t="shared" ref="H43:T43" si="11">-H41</f>
        <v>5776398.9000000004</v>
      </c>
      <c r="I43" s="856">
        <f t="shared" si="11"/>
        <v>5720377.6400000006</v>
      </c>
      <c r="J43" s="856">
        <f t="shared" si="11"/>
        <v>5661549.1900000004</v>
      </c>
      <c r="K43" s="856">
        <f t="shared" si="11"/>
        <v>5611723.6500000004</v>
      </c>
      <c r="L43" s="856">
        <f t="shared" si="11"/>
        <v>5573520.8600000003</v>
      </c>
      <c r="M43" s="856">
        <f t="shared" si="11"/>
        <v>5524623.0999999996</v>
      </c>
      <c r="N43" s="856">
        <f t="shared" si="11"/>
        <v>5463307.3200000003</v>
      </c>
      <c r="O43" s="856">
        <f t="shared" si="11"/>
        <v>5457900.5999999996</v>
      </c>
      <c r="P43" s="856">
        <f t="shared" si="11"/>
        <v>5414420.0800000001</v>
      </c>
      <c r="Q43" s="856">
        <f t="shared" si="11"/>
        <v>5510359.8499999996</v>
      </c>
      <c r="R43" s="856">
        <f t="shared" si="11"/>
        <v>5449162.4399999995</v>
      </c>
      <c r="S43" s="856">
        <f t="shared" si="11"/>
        <v>5390829.75</v>
      </c>
      <c r="T43" s="856">
        <f t="shared" si="11"/>
        <v>5568101.7053846158</v>
      </c>
      <c r="U43" s="856">
        <v>0</v>
      </c>
    </row>
    <row r="44" spans="1:22" ht="12.75" customHeight="1">
      <c r="A44" s="711">
        <f t="shared" si="10"/>
        <v>26</v>
      </c>
      <c r="B44" s="852"/>
      <c r="C44" s="812"/>
      <c r="D44" s="812"/>
      <c r="E44" s="77"/>
      <c r="F44" s="90"/>
      <c r="G44" s="853"/>
      <c r="H44" s="853"/>
      <c r="I44" s="853"/>
      <c r="J44" s="853"/>
      <c r="K44" s="853"/>
      <c r="L44" s="853"/>
      <c r="M44" s="853"/>
      <c r="N44" s="854"/>
      <c r="O44" s="854"/>
      <c r="P44" s="854"/>
      <c r="Q44" s="854"/>
      <c r="R44" s="854"/>
      <c r="S44" s="854"/>
      <c r="T44" s="854"/>
      <c r="U44" s="854"/>
    </row>
    <row r="45" spans="1:22" ht="12.75" customHeight="1">
      <c r="A45" s="711">
        <f t="shared" si="10"/>
        <v>27</v>
      </c>
      <c r="B45" s="792"/>
      <c r="C45" s="78"/>
      <c r="D45" s="78"/>
      <c r="E45" s="71"/>
      <c r="F45" s="71"/>
      <c r="G45" s="782"/>
      <c r="H45" s="781"/>
      <c r="I45" s="781"/>
      <c r="J45" s="781"/>
      <c r="K45" s="781"/>
      <c r="L45" s="781"/>
      <c r="M45" s="781"/>
      <c r="N45" s="781"/>
      <c r="O45" s="781"/>
      <c r="P45" s="781"/>
      <c r="Q45" s="781"/>
      <c r="R45" s="781"/>
      <c r="S45" s="783"/>
      <c r="T45" s="784"/>
      <c r="U45" s="781"/>
    </row>
    <row r="46" spans="1:22" ht="12.75" customHeight="1">
      <c r="A46" s="711">
        <f t="shared" si="10"/>
        <v>28</v>
      </c>
      <c r="B46" s="979" t="s">
        <v>94</v>
      </c>
      <c r="C46" s="980"/>
      <c r="D46" s="980"/>
      <c r="E46" s="981"/>
      <c r="F46" s="830"/>
      <c r="G46" s="819">
        <f>G39+G41+G43</f>
        <v>335635000</v>
      </c>
      <c r="H46" s="819">
        <f t="shared" ref="H46:T46" si="12">H39+H41+H43</f>
        <v>335635000</v>
      </c>
      <c r="I46" s="819">
        <f t="shared" si="12"/>
        <v>335635000</v>
      </c>
      <c r="J46" s="819">
        <f t="shared" si="12"/>
        <v>335900000</v>
      </c>
      <c r="K46" s="819">
        <f t="shared" si="12"/>
        <v>335900000</v>
      </c>
      <c r="L46" s="819">
        <f t="shared" si="12"/>
        <v>335900000</v>
      </c>
      <c r="M46" s="819">
        <f t="shared" si="12"/>
        <v>335900000</v>
      </c>
      <c r="N46" s="819">
        <f t="shared" si="12"/>
        <v>335900000</v>
      </c>
      <c r="O46" s="819">
        <f t="shared" si="12"/>
        <v>335900000</v>
      </c>
      <c r="P46" s="819">
        <f t="shared" si="12"/>
        <v>335900000</v>
      </c>
      <c r="Q46" s="819">
        <f t="shared" si="12"/>
        <v>335900000</v>
      </c>
      <c r="R46" s="819">
        <f t="shared" si="12"/>
        <v>335900000</v>
      </c>
      <c r="S46" s="819">
        <f t="shared" si="12"/>
        <v>335900000</v>
      </c>
      <c r="T46" s="832">
        <f t="shared" si="12"/>
        <v>335838846.15384614</v>
      </c>
      <c r="U46" s="832">
        <f>U39+U41+U43-1</f>
        <v>17923365.560000002</v>
      </c>
    </row>
    <row r="47" spans="1:22" ht="12.75" customHeight="1">
      <c r="I47" s="760"/>
    </row>
    <row r="48" spans="1:22" ht="12.75" customHeight="1">
      <c r="I48" s="760"/>
      <c r="O48" s="774"/>
    </row>
    <row r="57" spans="19:19" ht="12.75" customHeight="1">
      <c r="S57" s="766"/>
    </row>
  </sheetData>
  <mergeCells count="18">
    <mergeCell ref="A3:R3"/>
    <mergeCell ref="G12:S12"/>
    <mergeCell ref="A7:S7"/>
    <mergeCell ref="A6:S6"/>
    <mergeCell ref="A5:S5"/>
    <mergeCell ref="B37:C37"/>
    <mergeCell ref="B15:E15"/>
    <mergeCell ref="B9:E9"/>
    <mergeCell ref="B46:E46"/>
    <mergeCell ref="B41:D41"/>
    <mergeCell ref="B29:C29"/>
    <mergeCell ref="B24:C24"/>
    <mergeCell ref="B13:E13"/>
    <mergeCell ref="B28:C28"/>
    <mergeCell ref="B27:C27"/>
    <mergeCell ref="B26:C26"/>
    <mergeCell ref="B39:C39"/>
    <mergeCell ref="B32:C32"/>
  </mergeCells>
  <printOptions horizontalCentered="1"/>
  <pageMargins left="0.25" right="0.25" top="0.5" bottom="0.5" header="0.5" footer="0.36"/>
  <pageSetup scale="48" orientation="landscape" r:id="rId1"/>
  <headerFooter alignWithMargins="0">
    <oddHeader>&amp;R&amp;"Arial,Regular"&amp;10Attachment O Work Paper
Page 19 of 22</oddHeader>
  </headerFooter>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election activeCell="K18" sqref="K18"/>
    </sheetView>
  </sheetViews>
  <sheetFormatPr defaultRowHeight="12.75"/>
  <cols>
    <col min="1" max="1" width="3.6640625" style="709" customWidth="1"/>
    <col min="2" max="2" width="3.88671875" style="696" bestFit="1" customWidth="1"/>
    <col min="3" max="3" width="4.109375" style="709" customWidth="1"/>
    <col min="4" max="4" width="3.33203125" style="709" customWidth="1"/>
    <col min="5" max="5" width="4.109375" style="709" customWidth="1"/>
    <col min="6" max="6" width="4.21875" style="709" customWidth="1"/>
    <col min="7" max="7" width="3.88671875" style="709" bestFit="1" customWidth="1"/>
    <col min="8" max="8" width="4.44140625" style="709" customWidth="1"/>
    <col min="9" max="9" width="5.44140625" style="709" bestFit="1" customWidth="1"/>
    <col min="10" max="10" width="5" style="709" customWidth="1"/>
    <col min="11" max="11" width="10" style="727" bestFit="1" customWidth="1"/>
    <col min="12" max="12" width="2.44140625" style="696" bestFit="1" customWidth="1"/>
    <col min="13" max="16384" width="8.88671875" style="696"/>
  </cols>
  <sheetData>
    <row r="1" spans="1:19">
      <c r="K1" s="386"/>
    </row>
    <row r="3" spans="1:19">
      <c r="A3" s="959" t="s">
        <v>0</v>
      </c>
      <c r="B3" s="959"/>
      <c r="C3" s="959"/>
      <c r="D3" s="959"/>
      <c r="E3" s="959"/>
      <c r="F3" s="959"/>
      <c r="G3" s="959"/>
      <c r="H3" s="959"/>
      <c r="I3" s="959"/>
      <c r="J3" s="959"/>
      <c r="K3" s="959"/>
      <c r="L3" s="805"/>
      <c r="M3" s="805"/>
      <c r="N3" s="805"/>
      <c r="O3" s="805"/>
      <c r="P3" s="805"/>
      <c r="Q3" s="805"/>
      <c r="R3" s="805"/>
      <c r="S3" s="805"/>
    </row>
    <row r="4" spans="1:19">
      <c r="A4" s="959" t="s">
        <v>458</v>
      </c>
      <c r="B4" s="959"/>
      <c r="C4" s="959"/>
      <c r="D4" s="959"/>
      <c r="E4" s="959"/>
      <c r="F4" s="959"/>
      <c r="G4" s="959"/>
      <c r="H4" s="959"/>
      <c r="I4" s="959"/>
      <c r="J4" s="959"/>
      <c r="K4" s="959"/>
      <c r="L4" s="805"/>
      <c r="M4" s="805"/>
      <c r="N4" s="805"/>
      <c r="O4" s="805"/>
      <c r="P4" s="805"/>
      <c r="Q4" s="805"/>
      <c r="R4" s="805"/>
      <c r="S4" s="805"/>
    </row>
    <row r="5" spans="1:19">
      <c r="A5" s="962" t="str">
        <f>'Page 13 - Depr Exp'!A5:G5</f>
        <v>Actual Year 2013</v>
      </c>
      <c r="B5" s="962"/>
      <c r="C5" s="962"/>
      <c r="D5" s="962"/>
      <c r="E5" s="962"/>
      <c r="F5" s="962"/>
      <c r="G5" s="962"/>
      <c r="H5" s="962"/>
      <c r="I5" s="962"/>
      <c r="J5" s="962"/>
      <c r="K5" s="962"/>
      <c r="L5" s="198"/>
      <c r="M5" s="198"/>
      <c r="N5" s="198"/>
      <c r="O5" s="198"/>
      <c r="P5" s="198"/>
      <c r="Q5" s="198"/>
      <c r="R5" s="198"/>
      <c r="S5" s="198"/>
    </row>
    <row r="6" spans="1:19">
      <c r="B6" s="709"/>
      <c r="K6" s="728"/>
      <c r="L6" s="709"/>
      <c r="M6" s="709"/>
      <c r="N6" s="709"/>
      <c r="O6" s="709"/>
      <c r="P6" s="709"/>
      <c r="Q6" s="709"/>
      <c r="R6" s="709"/>
    </row>
    <row r="7" spans="1:19">
      <c r="B7" s="1009" t="s">
        <v>1</v>
      </c>
      <c r="C7" s="1009"/>
      <c r="D7" s="1009"/>
      <c r="E7" s="1009"/>
      <c r="F7" s="1009"/>
      <c r="G7" s="1009"/>
      <c r="H7" s="1009"/>
      <c r="I7" s="1009"/>
      <c r="J7" s="1009"/>
      <c r="K7" s="709" t="s">
        <v>2</v>
      </c>
      <c r="M7" s="386"/>
    </row>
    <row r="9" spans="1:19">
      <c r="A9" s="710" t="s">
        <v>8</v>
      </c>
      <c r="B9" s="697"/>
      <c r="C9" s="730"/>
      <c r="D9" s="730"/>
      <c r="E9" s="730"/>
      <c r="F9" s="730"/>
      <c r="G9" s="730"/>
      <c r="H9" s="730"/>
      <c r="I9" s="730"/>
      <c r="J9" s="730"/>
      <c r="K9" s="729"/>
    </row>
    <row r="10" spans="1:19">
      <c r="A10" s="712" t="s">
        <v>10</v>
      </c>
      <c r="B10" s="707"/>
      <c r="C10" s="44"/>
      <c r="D10" s="44"/>
      <c r="E10" s="44"/>
      <c r="F10" s="44"/>
      <c r="G10" s="44"/>
      <c r="H10" s="44"/>
      <c r="I10" s="44"/>
      <c r="J10" s="44"/>
      <c r="K10" s="197" t="s">
        <v>65</v>
      </c>
    </row>
    <row r="11" spans="1:19">
      <c r="A11" s="710">
        <v>1</v>
      </c>
      <c r="B11" s="1010" t="s">
        <v>464</v>
      </c>
      <c r="C11" s="1011"/>
      <c r="D11" s="1011"/>
      <c r="E11" s="1011"/>
      <c r="F11" s="1011"/>
      <c r="G11" s="1011"/>
      <c r="H11" s="1011"/>
      <c r="I11" s="1011"/>
      <c r="J11" s="1011"/>
      <c r="K11" s="699"/>
    </row>
    <row r="12" spans="1:19">
      <c r="A12" s="711">
        <f t="shared" ref="A12:A28" si="0">+A11+1</f>
        <v>2</v>
      </c>
      <c r="B12" s="196" t="s">
        <v>446</v>
      </c>
      <c r="C12" s="195" t="s">
        <v>450</v>
      </c>
      <c r="D12" s="195" t="s">
        <v>380</v>
      </c>
      <c r="E12" s="195" t="s">
        <v>381</v>
      </c>
      <c r="F12" s="195" t="s">
        <v>447</v>
      </c>
      <c r="G12" s="195" t="s">
        <v>382</v>
      </c>
      <c r="H12" s="195" t="s">
        <v>448</v>
      </c>
      <c r="I12" s="195" t="s">
        <v>449</v>
      </c>
      <c r="J12" s="195" t="s">
        <v>33</v>
      </c>
      <c r="K12" s="57"/>
      <c r="N12" s="739"/>
      <c r="O12" s="739"/>
      <c r="P12" s="739"/>
      <c r="Q12" s="739"/>
      <c r="R12" s="739"/>
    </row>
    <row r="13" spans="1:19" ht="13.5" thickBot="1">
      <c r="A13" s="711">
        <f t="shared" si="0"/>
        <v>3</v>
      </c>
      <c r="B13" s="833">
        <v>2014</v>
      </c>
      <c r="C13" s="731" t="s">
        <v>384</v>
      </c>
      <c r="D13" s="881" t="s">
        <v>647</v>
      </c>
      <c r="E13" s="714" t="s">
        <v>397</v>
      </c>
      <c r="F13" s="714" t="s">
        <v>462</v>
      </c>
      <c r="G13" s="714" t="s">
        <v>463</v>
      </c>
      <c r="H13" s="714" t="s">
        <v>397</v>
      </c>
      <c r="I13" s="714" t="s">
        <v>388</v>
      </c>
      <c r="J13" s="714" t="s">
        <v>463</v>
      </c>
      <c r="K13" s="733">
        <f>-'Page 20a - FERC 454 Recon'!K16</f>
        <v>62652</v>
      </c>
      <c r="L13" s="723"/>
      <c r="N13" s="739"/>
      <c r="O13" s="739"/>
      <c r="P13" s="739"/>
      <c r="Q13" s="739"/>
      <c r="R13" s="739"/>
    </row>
    <row r="14" spans="1:19" ht="13.5" thickTop="1">
      <c r="A14" s="711">
        <f t="shared" si="0"/>
        <v>4</v>
      </c>
      <c r="B14" s="703"/>
      <c r="C14" s="731"/>
      <c r="D14" s="731"/>
      <c r="E14" s="731"/>
      <c r="F14" s="731"/>
      <c r="G14" s="731"/>
      <c r="H14" s="731"/>
      <c r="I14" s="731"/>
      <c r="J14" s="731"/>
      <c r="K14" s="30"/>
      <c r="R14" s="739"/>
    </row>
    <row r="15" spans="1:19">
      <c r="A15" s="711">
        <f t="shared" si="0"/>
        <v>5</v>
      </c>
      <c r="B15" s="1007" t="s">
        <v>466</v>
      </c>
      <c r="C15" s="1008"/>
      <c r="D15" s="1008"/>
      <c r="E15" s="1008"/>
      <c r="F15" s="1008"/>
      <c r="G15" s="1008"/>
      <c r="H15" s="1008"/>
      <c r="I15" s="1008"/>
      <c r="J15" s="1008"/>
      <c r="K15" s="30"/>
    </row>
    <row r="16" spans="1:19">
      <c r="A16" s="711">
        <f t="shared" si="0"/>
        <v>6</v>
      </c>
      <c r="B16" s="1005" t="s">
        <v>459</v>
      </c>
      <c r="C16" s="1006"/>
      <c r="D16" s="1006"/>
      <c r="E16" s="1006"/>
      <c r="F16" s="1006"/>
      <c r="G16" s="1006"/>
      <c r="H16" s="1006"/>
      <c r="I16" s="1006"/>
      <c r="J16" s="1006"/>
      <c r="K16" s="56">
        <v>2739965.49</v>
      </c>
    </row>
    <row r="17" spans="1:12">
      <c r="A17" s="711">
        <f t="shared" si="0"/>
        <v>7</v>
      </c>
      <c r="B17" s="1005" t="s">
        <v>460</v>
      </c>
      <c r="C17" s="1006"/>
      <c r="D17" s="1006"/>
      <c r="E17" s="1006"/>
      <c r="F17" s="1006"/>
      <c r="G17" s="1006"/>
      <c r="H17" s="1006"/>
      <c r="I17" s="1006"/>
      <c r="J17" s="1006"/>
      <c r="K17" s="56">
        <v>445030.99</v>
      </c>
    </row>
    <row r="18" spans="1:12">
      <c r="A18" s="711">
        <f t="shared" si="0"/>
        <v>8</v>
      </c>
      <c r="B18" s="1005" t="s">
        <v>461</v>
      </c>
      <c r="C18" s="1006"/>
      <c r="D18" s="1006"/>
      <c r="E18" s="1006"/>
      <c r="F18" s="1006"/>
      <c r="G18" s="1006"/>
      <c r="H18" s="1006"/>
      <c r="I18" s="1006"/>
      <c r="J18" s="1006"/>
      <c r="K18" s="56">
        <f>'Page 20b - MISO Tariff Revenue'!Q22-'Page 20b - MISO Tariff Revenue'!Q15</f>
        <v>15779413.729999999</v>
      </c>
      <c r="L18" s="723"/>
    </row>
    <row r="19" spans="1:12">
      <c r="A19" s="711">
        <f t="shared" si="0"/>
        <v>9</v>
      </c>
      <c r="B19" s="1005" t="s">
        <v>465</v>
      </c>
      <c r="C19" s="1006"/>
      <c r="D19" s="1006"/>
      <c r="E19" s="1006"/>
      <c r="F19" s="1006"/>
      <c r="G19" s="1006"/>
      <c r="H19" s="1006"/>
      <c r="I19" s="1006"/>
      <c r="J19" s="1006"/>
      <c r="K19" s="56">
        <v>980988.7</v>
      </c>
      <c r="L19" s="723"/>
    </row>
    <row r="20" spans="1:12">
      <c r="A20" s="711">
        <f t="shared" si="0"/>
        <v>10</v>
      </c>
      <c r="B20" s="1003" t="s">
        <v>467</v>
      </c>
      <c r="C20" s="1004"/>
      <c r="D20" s="1004"/>
      <c r="E20" s="1004"/>
      <c r="F20" s="1004"/>
      <c r="G20" s="1004"/>
      <c r="H20" s="1004"/>
      <c r="I20" s="1004"/>
      <c r="J20" s="1004"/>
      <c r="K20" s="871">
        <f>+SUM(K16:K18)-K19</f>
        <v>17983421.510000002</v>
      </c>
    </row>
    <row r="21" spans="1:12">
      <c r="A21" s="711">
        <f t="shared" si="0"/>
        <v>11</v>
      </c>
      <c r="B21" s="703"/>
      <c r="C21" s="714"/>
      <c r="D21" s="714"/>
      <c r="E21" s="714"/>
      <c r="F21" s="714"/>
      <c r="G21" s="714"/>
      <c r="H21" s="714"/>
      <c r="I21" s="714"/>
      <c r="J21" s="714"/>
      <c r="K21" s="56"/>
    </row>
    <row r="22" spans="1:12">
      <c r="A22" s="711">
        <f t="shared" si="0"/>
        <v>12</v>
      </c>
      <c r="B22" s="703" t="s">
        <v>501</v>
      </c>
      <c r="C22" s="714"/>
      <c r="D22" s="714"/>
      <c r="E22" s="714"/>
      <c r="F22" s="714"/>
      <c r="G22" s="714"/>
      <c r="H22" s="714"/>
      <c r="I22" s="714"/>
      <c r="J22" s="714"/>
      <c r="K22" s="56"/>
    </row>
    <row r="23" spans="1:12">
      <c r="A23" s="711">
        <f>+A25+1</f>
        <v>15</v>
      </c>
      <c r="B23" s="1005" t="s">
        <v>460</v>
      </c>
      <c r="C23" s="1006"/>
      <c r="D23" s="1006"/>
      <c r="E23" s="1006"/>
      <c r="F23" s="1006"/>
      <c r="G23" s="1006"/>
      <c r="H23" s="1006"/>
      <c r="I23" s="1006"/>
      <c r="J23" s="1006"/>
      <c r="K23" s="59">
        <f>+K17</f>
        <v>445030.99</v>
      </c>
    </row>
    <row r="24" spans="1:12">
      <c r="A24" s="711">
        <f>+A22+1</f>
        <v>13</v>
      </c>
      <c r="B24" s="888" t="s">
        <v>668</v>
      </c>
      <c r="C24" s="690"/>
      <c r="D24" s="690"/>
      <c r="E24" s="690"/>
      <c r="F24" s="690"/>
      <c r="G24" s="690"/>
      <c r="H24" s="690"/>
      <c r="I24" s="690"/>
      <c r="J24" s="690"/>
      <c r="K24" s="128">
        <f>'Page 20b - MISO Tariff Revenue'!Q16+'Page 20b - MISO Tariff Revenue'!Q17+'Page 20b - MISO Tariff Revenue'!Q20+'Page 20b - MISO Tariff Revenue'!Q21</f>
        <v>11028354.16</v>
      </c>
      <c r="L24" s="723"/>
    </row>
    <row r="25" spans="1:12">
      <c r="A25" s="711">
        <f t="shared" si="0"/>
        <v>14</v>
      </c>
      <c r="B25" s="888" t="s">
        <v>537</v>
      </c>
      <c r="C25" s="690"/>
      <c r="D25" s="690"/>
      <c r="E25" s="690"/>
      <c r="F25" s="690"/>
      <c r="G25" s="690"/>
      <c r="H25" s="690"/>
      <c r="I25" s="690"/>
      <c r="J25" s="690"/>
      <c r="K25" s="128">
        <f>'Page 20b - MISO Tariff Revenue'!Q18+'Page 20b - MISO Tariff Revenue'!Q19</f>
        <v>2016038.6600000001</v>
      </c>
      <c r="L25" s="723"/>
    </row>
    <row r="26" spans="1:12">
      <c r="A26" s="711">
        <f>+A23+1</f>
        <v>16</v>
      </c>
      <c r="B26" s="888"/>
      <c r="C26" s="889"/>
      <c r="D26" s="889"/>
      <c r="E26" s="889"/>
      <c r="F26" s="889"/>
      <c r="G26" s="889"/>
      <c r="H26" s="889"/>
      <c r="I26" s="889"/>
      <c r="J26" s="889"/>
      <c r="K26" s="870">
        <f>SUM(K23:K25)</f>
        <v>13489423.810000001</v>
      </c>
    </row>
    <row r="27" spans="1:12">
      <c r="A27" s="711">
        <f t="shared" si="0"/>
        <v>17</v>
      </c>
      <c r="B27" s="703"/>
      <c r="C27" s="714"/>
      <c r="D27" s="714"/>
      <c r="E27" s="714"/>
      <c r="F27" s="714"/>
      <c r="G27" s="714"/>
      <c r="H27" s="714"/>
      <c r="I27" s="714"/>
      <c r="J27" s="714"/>
      <c r="K27" s="56"/>
    </row>
    <row r="28" spans="1:12" ht="13.5" thickBot="1">
      <c r="A28" s="711">
        <f t="shared" si="0"/>
        <v>18</v>
      </c>
      <c r="B28" s="1003" t="s">
        <v>502</v>
      </c>
      <c r="C28" s="1004"/>
      <c r="D28" s="1004"/>
      <c r="E28" s="1004"/>
      <c r="F28" s="1004"/>
      <c r="G28" s="1004"/>
      <c r="H28" s="1004"/>
      <c r="I28" s="1004"/>
      <c r="J28" s="1004"/>
      <c r="K28" s="732">
        <f>+K20-K26</f>
        <v>4493997.7000000011</v>
      </c>
    </row>
    <row r="29" spans="1:12" ht="13.5" thickTop="1">
      <c r="A29" s="712"/>
      <c r="B29" s="707"/>
      <c r="C29" s="44"/>
      <c r="D29" s="44"/>
      <c r="E29" s="44"/>
      <c r="F29" s="44"/>
      <c r="G29" s="44"/>
      <c r="H29" s="44"/>
      <c r="I29" s="44"/>
      <c r="J29" s="44"/>
      <c r="K29" s="55"/>
    </row>
    <row r="31" spans="1:12">
      <c r="B31" s="1002"/>
      <c r="C31" s="1002"/>
      <c r="D31" s="1002"/>
      <c r="E31" s="1002"/>
      <c r="F31" s="1002"/>
      <c r="G31" s="1002"/>
      <c r="H31" s="1002"/>
      <c r="I31" s="1002"/>
      <c r="J31" s="1002"/>
      <c r="K31" s="1002"/>
    </row>
  </sheetData>
  <mergeCells count="14">
    <mergeCell ref="B15:J15"/>
    <mergeCell ref="B16:J16"/>
    <mergeCell ref="B17:J17"/>
    <mergeCell ref="B18:J18"/>
    <mergeCell ref="A3:K3"/>
    <mergeCell ref="A4:K4"/>
    <mergeCell ref="A5:K5"/>
    <mergeCell ref="B7:J7"/>
    <mergeCell ref="B11:J11"/>
    <mergeCell ref="B31:K31"/>
    <mergeCell ref="B20:J20"/>
    <mergeCell ref="B28:J28"/>
    <mergeCell ref="B23:J23"/>
    <mergeCell ref="B19:J19"/>
  </mergeCells>
  <printOptions horizontalCentered="1"/>
  <pageMargins left="0.75" right="0.75" top="0.75" bottom="0.75" header="0.5" footer="0.5"/>
  <pageSetup orientation="portrait" r:id="rId1"/>
  <headerFooter>
    <oddHeader>&amp;R&amp;"Arial,Regular"&amp;10Attachment O Work Paper
Page 20 of 22</oddHeader>
  </headerFooter>
  <ignoredErrors>
    <ignoredError sqref="C13:J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M143"/>
  <sheetViews>
    <sheetView showGridLines="0" zoomScaleNormal="100" workbookViewId="0">
      <selection activeCell="B28" sqref="B28"/>
    </sheetView>
  </sheetViews>
  <sheetFormatPr defaultRowHeight="12.75"/>
  <cols>
    <col min="1" max="1" width="3.44140625" style="564" bestFit="1" customWidth="1"/>
    <col min="2" max="2" width="18.6640625" style="564" bestFit="1" customWidth="1"/>
    <col min="3" max="6" width="11.77734375" style="564" customWidth="1"/>
    <col min="7" max="8" width="11.77734375" style="564" hidden="1" customWidth="1"/>
    <col min="9" max="9" width="11.77734375" style="564" customWidth="1"/>
    <col min="10" max="11" width="11.5546875" style="564" bestFit="1" customWidth="1"/>
    <col min="12" max="16384" width="8.88671875" style="564"/>
  </cols>
  <sheetData>
    <row r="2" spans="1:11">
      <c r="I2" s="891"/>
    </row>
    <row r="3" spans="1:11">
      <c r="A3" s="938" t="s">
        <v>0</v>
      </c>
      <c r="B3" s="938"/>
      <c r="C3" s="938"/>
      <c r="D3" s="938"/>
      <c r="E3" s="938"/>
      <c r="F3" s="938"/>
      <c r="G3" s="938"/>
      <c r="H3" s="938"/>
      <c r="I3" s="938"/>
    </row>
    <row r="4" spans="1:11">
      <c r="A4" s="938" t="s">
        <v>543</v>
      </c>
      <c r="B4" s="938"/>
      <c r="C4" s="938"/>
      <c r="D4" s="938"/>
      <c r="E4" s="938"/>
      <c r="F4" s="938"/>
      <c r="G4" s="938"/>
      <c r="H4" s="938"/>
      <c r="I4" s="938"/>
    </row>
    <row r="5" spans="1:11">
      <c r="A5" s="938" t="str">
        <f>"For the 13 Months Ended December 31, "&amp;Info!B3</f>
        <v>For the 13 Months Ended December 31, 2013</v>
      </c>
      <c r="B5" s="938"/>
      <c r="C5" s="938"/>
      <c r="D5" s="938"/>
      <c r="E5" s="938"/>
      <c r="F5" s="938"/>
      <c r="G5" s="938"/>
      <c r="H5" s="938"/>
      <c r="I5" s="938"/>
      <c r="J5" s="386"/>
    </row>
    <row r="6" spans="1:11">
      <c r="A6" s="565"/>
    </row>
    <row r="7" spans="1:11" s="567" customFormat="1">
      <c r="A7" s="566"/>
      <c r="B7" s="567" t="s">
        <v>1</v>
      </c>
      <c r="C7" s="567" t="s">
        <v>2</v>
      </c>
      <c r="D7" s="567" t="s">
        <v>3</v>
      </c>
      <c r="E7" s="567" t="s">
        <v>4</v>
      </c>
      <c r="F7" s="567" t="s">
        <v>5</v>
      </c>
      <c r="H7" s="567" t="s">
        <v>6</v>
      </c>
      <c r="I7" s="567" t="s">
        <v>7</v>
      </c>
    </row>
    <row r="9" spans="1:11">
      <c r="A9" s="568" t="s">
        <v>8</v>
      </c>
      <c r="B9" s="569"/>
      <c r="C9" s="570"/>
      <c r="D9" s="571"/>
      <c r="E9" s="572"/>
      <c r="F9" s="570" t="s">
        <v>503</v>
      </c>
      <c r="G9" s="572"/>
      <c r="H9" s="570" t="s">
        <v>9</v>
      </c>
      <c r="I9" s="573"/>
    </row>
    <row r="10" spans="1:11" ht="13.5" customHeight="1">
      <c r="A10" s="574" t="s">
        <v>10</v>
      </c>
      <c r="B10" s="575" t="s">
        <v>46</v>
      </c>
      <c r="C10" s="1" t="s">
        <v>11</v>
      </c>
      <c r="D10" s="1" t="s">
        <v>12</v>
      </c>
      <c r="E10" s="1" t="s">
        <v>13</v>
      </c>
      <c r="F10" s="1" t="s">
        <v>14</v>
      </c>
      <c r="G10" s="1" t="s">
        <v>14</v>
      </c>
      <c r="H10" s="1" t="s">
        <v>15</v>
      </c>
      <c r="I10" s="2" t="s">
        <v>16</v>
      </c>
    </row>
    <row r="11" spans="1:11">
      <c r="A11" s="568">
        <v>1</v>
      </c>
      <c r="B11" s="546" t="str">
        <f>"December "&amp;Info!B2</f>
        <v>December 2012</v>
      </c>
      <c r="C11" s="576">
        <v>288171132</v>
      </c>
      <c r="D11" s="883">
        <v>94847883</v>
      </c>
      <c r="E11" s="576">
        <v>172765161</v>
      </c>
      <c r="F11" s="576">
        <f>33253327+1885946</f>
        <v>35139273</v>
      </c>
      <c r="G11" s="576">
        <v>1615581.06</v>
      </c>
      <c r="H11" s="576">
        <v>337228.18</v>
      </c>
      <c r="I11" s="3">
        <f>SUM(C11:F11)</f>
        <v>590923449</v>
      </c>
      <c r="J11" s="890"/>
      <c r="K11" s="576"/>
    </row>
    <row r="12" spans="1:11">
      <c r="A12" s="577">
        <f t="shared" ref="A12:A25" si="0">+A11+1</f>
        <v>2</v>
      </c>
      <c r="B12" s="546" t="str">
        <f>"January "&amp;Info!B3</f>
        <v>January 2013</v>
      </c>
      <c r="C12" s="576">
        <v>289554952</v>
      </c>
      <c r="D12" s="883">
        <v>95400541</v>
      </c>
      <c r="E12" s="576">
        <v>173328070</v>
      </c>
      <c r="F12" s="576">
        <f>33435061+1869124</f>
        <v>35304185</v>
      </c>
      <c r="G12" s="576">
        <v>1669717.63</v>
      </c>
      <c r="H12" s="576">
        <v>337228.18</v>
      </c>
      <c r="I12" s="3">
        <f t="shared" ref="I12:I23" si="1">SUM(C12:F12)</f>
        <v>593587748</v>
      </c>
    </row>
    <row r="13" spans="1:11">
      <c r="A13" s="577">
        <f t="shared" si="0"/>
        <v>3</v>
      </c>
      <c r="B13" s="578" t="s">
        <v>17</v>
      </c>
      <c r="C13" s="576">
        <v>291203018</v>
      </c>
      <c r="D13" s="883">
        <v>95722014</v>
      </c>
      <c r="E13" s="576">
        <v>173896673</v>
      </c>
      <c r="F13" s="576">
        <f>33756804+1896440</f>
        <v>35653244</v>
      </c>
      <c r="G13" s="576">
        <v>1723854.1999999997</v>
      </c>
      <c r="H13" s="576">
        <v>337228.18</v>
      </c>
      <c r="I13" s="3">
        <f t="shared" si="1"/>
        <v>596474949</v>
      </c>
    </row>
    <row r="14" spans="1:11">
      <c r="A14" s="577">
        <f t="shared" si="0"/>
        <v>4</v>
      </c>
      <c r="B14" s="578" t="s">
        <v>18</v>
      </c>
      <c r="C14" s="576">
        <v>292860830</v>
      </c>
      <c r="D14" s="883">
        <v>95989812</v>
      </c>
      <c r="E14" s="576">
        <v>174569444</v>
      </c>
      <c r="F14" s="576">
        <f>34029529+1946868</f>
        <v>35976397</v>
      </c>
      <c r="G14" s="576">
        <v>1777990.7699999998</v>
      </c>
      <c r="H14" s="576">
        <v>337228.18</v>
      </c>
      <c r="I14" s="3">
        <f t="shared" si="1"/>
        <v>599396483</v>
      </c>
    </row>
    <row r="15" spans="1:11">
      <c r="A15" s="577">
        <f t="shared" si="0"/>
        <v>5</v>
      </c>
      <c r="B15" s="578" t="s">
        <v>19</v>
      </c>
      <c r="C15" s="576">
        <v>294570288</v>
      </c>
      <c r="D15" s="883">
        <v>96416986</v>
      </c>
      <c r="E15" s="576">
        <v>175263906</v>
      </c>
      <c r="F15" s="576">
        <f>34113893+1997501</f>
        <v>36111394</v>
      </c>
      <c r="G15" s="576">
        <v>1832127.3399999999</v>
      </c>
      <c r="H15" s="576">
        <v>337228.18</v>
      </c>
      <c r="I15" s="3">
        <f t="shared" si="1"/>
        <v>602362574</v>
      </c>
    </row>
    <row r="16" spans="1:11">
      <c r="A16" s="577">
        <f t="shared" si="0"/>
        <v>6</v>
      </c>
      <c r="B16" s="578" t="s">
        <v>20</v>
      </c>
      <c r="C16" s="576">
        <v>296373530</v>
      </c>
      <c r="D16" s="883">
        <v>96850842</v>
      </c>
      <c r="E16" s="576">
        <v>175930289</v>
      </c>
      <c r="F16" s="576">
        <f>34476764+2048349</f>
        <v>36525113</v>
      </c>
      <c r="G16" s="576">
        <v>1886263.9099999997</v>
      </c>
      <c r="H16" s="576">
        <v>337228.18</v>
      </c>
      <c r="I16" s="3">
        <f t="shared" si="1"/>
        <v>605679774</v>
      </c>
    </row>
    <row r="17" spans="1:13">
      <c r="A17" s="577">
        <f t="shared" si="0"/>
        <v>7</v>
      </c>
      <c r="B17" s="578" t="s">
        <v>21</v>
      </c>
      <c r="C17" s="576">
        <v>298063083</v>
      </c>
      <c r="D17" s="883">
        <v>97265448</v>
      </c>
      <c r="E17" s="576">
        <v>176649253</v>
      </c>
      <c r="F17" s="576">
        <f>34692348+2102571</f>
        <v>36794919</v>
      </c>
      <c r="G17" s="576">
        <v>1940400.4799999997</v>
      </c>
      <c r="H17" s="576">
        <v>337228.18</v>
      </c>
      <c r="I17" s="3">
        <f t="shared" si="1"/>
        <v>608772703</v>
      </c>
    </row>
    <row r="18" spans="1:13">
      <c r="A18" s="577">
        <f t="shared" si="0"/>
        <v>8</v>
      </c>
      <c r="B18" s="578" t="s">
        <v>22</v>
      </c>
      <c r="C18" s="576">
        <v>298808326</v>
      </c>
      <c r="D18" s="883">
        <v>97703015</v>
      </c>
      <c r="E18" s="576">
        <v>177289931</v>
      </c>
      <c r="F18" s="576">
        <f>34895297+1978859</f>
        <v>36874156</v>
      </c>
      <c r="G18" s="576">
        <v>1994537.0499999998</v>
      </c>
      <c r="H18" s="576">
        <v>337228.18</v>
      </c>
      <c r="I18" s="3">
        <f t="shared" si="1"/>
        <v>610675428</v>
      </c>
    </row>
    <row r="19" spans="1:13">
      <c r="A19" s="577">
        <f t="shared" si="0"/>
        <v>9</v>
      </c>
      <c r="B19" s="578" t="s">
        <v>23</v>
      </c>
      <c r="C19" s="576">
        <v>300294013</v>
      </c>
      <c r="D19" s="883">
        <v>98026226</v>
      </c>
      <c r="E19" s="576">
        <v>177948612</v>
      </c>
      <c r="F19" s="576">
        <f>35230235+2049785</f>
        <v>37280020</v>
      </c>
      <c r="G19" s="576">
        <v>2048673.6199999996</v>
      </c>
      <c r="H19" s="576">
        <v>337228.18</v>
      </c>
      <c r="I19" s="3">
        <f t="shared" si="1"/>
        <v>613548871</v>
      </c>
    </row>
    <row r="20" spans="1:13">
      <c r="A20" s="577">
        <f t="shared" si="0"/>
        <v>10</v>
      </c>
      <c r="B20" s="578" t="s">
        <v>24</v>
      </c>
      <c r="C20" s="576">
        <v>302122378</v>
      </c>
      <c r="D20" s="883">
        <v>98485026</v>
      </c>
      <c r="E20" s="576">
        <v>178661232</v>
      </c>
      <c r="F20" s="576">
        <f>35522579+2120710</f>
        <v>37643289</v>
      </c>
      <c r="G20" s="576">
        <v>2102810.1899999995</v>
      </c>
      <c r="H20" s="576">
        <v>337228.18</v>
      </c>
      <c r="I20" s="3">
        <f t="shared" si="1"/>
        <v>616911925</v>
      </c>
    </row>
    <row r="21" spans="1:13">
      <c r="A21" s="577">
        <f t="shared" si="0"/>
        <v>11</v>
      </c>
      <c r="B21" s="578" t="s">
        <v>25</v>
      </c>
      <c r="C21" s="576">
        <v>306873067</v>
      </c>
      <c r="D21" s="883">
        <v>98914982</v>
      </c>
      <c r="E21" s="576">
        <v>179482347</v>
      </c>
      <c r="F21" s="576">
        <f>35172456+2195718</f>
        <v>37368174</v>
      </c>
      <c r="G21" s="576">
        <v>2156946.7599999998</v>
      </c>
      <c r="H21" s="576">
        <v>337228.18</v>
      </c>
      <c r="I21" s="3">
        <f t="shared" si="1"/>
        <v>622638570</v>
      </c>
    </row>
    <row r="22" spans="1:13">
      <c r="A22" s="577">
        <f t="shared" si="0"/>
        <v>12</v>
      </c>
      <c r="B22" s="578" t="s">
        <v>26</v>
      </c>
      <c r="C22" s="576">
        <v>305845109</v>
      </c>
      <c r="D22" s="883">
        <v>99338374</v>
      </c>
      <c r="E22" s="576">
        <v>180130147</v>
      </c>
      <c r="F22" s="576">
        <f>35454583+2301091</f>
        <v>37755674</v>
      </c>
      <c r="G22" s="576">
        <v>562827.05999999947</v>
      </c>
      <c r="H22" s="576">
        <v>337228.18</v>
      </c>
      <c r="I22" s="3">
        <f t="shared" si="1"/>
        <v>623069304</v>
      </c>
    </row>
    <row r="23" spans="1:13">
      <c r="A23" s="577">
        <f t="shared" si="0"/>
        <v>13</v>
      </c>
      <c r="B23" s="578" t="s">
        <v>27</v>
      </c>
      <c r="C23" s="576">
        <v>307359914</v>
      </c>
      <c r="D23" s="883">
        <v>99700396</v>
      </c>
      <c r="E23" s="576">
        <v>180775747</v>
      </c>
      <c r="F23" s="576">
        <f>34486758+2396604</f>
        <v>36883362</v>
      </c>
      <c r="G23" s="576">
        <v>617725.91999999946</v>
      </c>
      <c r="H23" s="576">
        <v>337228.18</v>
      </c>
      <c r="I23" s="3">
        <f t="shared" si="1"/>
        <v>624719419</v>
      </c>
    </row>
    <row r="24" spans="1:13">
      <c r="A24" s="577">
        <f t="shared" si="0"/>
        <v>14</v>
      </c>
      <c r="B24" s="578"/>
      <c r="C24" s="576"/>
      <c r="D24" s="576"/>
      <c r="E24" s="576"/>
      <c r="F24" s="576"/>
      <c r="G24" s="576"/>
      <c r="H24" s="576"/>
      <c r="I24" s="3"/>
    </row>
    <row r="25" spans="1:13">
      <c r="A25" s="577">
        <f t="shared" si="0"/>
        <v>15</v>
      </c>
      <c r="B25" s="614" t="s">
        <v>28</v>
      </c>
      <c r="C25" s="609">
        <f>AVERAGE(C11:C23)+1</f>
        <v>297853819.46153843</v>
      </c>
      <c r="D25" s="609">
        <f t="shared" ref="D25:H25" si="2">AVERAGE(D11:D23)</f>
        <v>97281657.307692304</v>
      </c>
      <c r="E25" s="609">
        <f t="shared" si="2"/>
        <v>176668524</v>
      </c>
      <c r="F25" s="609">
        <f t="shared" si="2"/>
        <v>36562246.153846152</v>
      </c>
      <c r="G25" s="610">
        <f t="shared" si="2"/>
        <v>1686881.2299999995</v>
      </c>
      <c r="H25" s="610">
        <f t="shared" si="2"/>
        <v>337228.18000000005</v>
      </c>
      <c r="I25" s="608">
        <f>AVERAGE(I11:I23)</f>
        <v>608366245.92307687</v>
      </c>
    </row>
    <row r="26" spans="1:13">
      <c r="A26" s="577"/>
      <c r="B26" s="581"/>
      <c r="C26" s="4"/>
      <c r="D26" s="4"/>
      <c r="E26" s="4"/>
      <c r="F26" s="4"/>
      <c r="G26" s="4"/>
      <c r="H26" s="4"/>
      <c r="I26" s="5"/>
    </row>
    <row r="27" spans="1:13">
      <c r="A27" s="582"/>
      <c r="C27" s="846"/>
    </row>
    <row r="28" spans="1:13">
      <c r="A28" s="583"/>
      <c r="F28" s="846"/>
    </row>
    <row r="29" spans="1:13">
      <c r="A29" s="583"/>
      <c r="C29" s="847"/>
      <c r="D29" s="847"/>
      <c r="E29" s="847"/>
      <c r="F29" s="847"/>
      <c r="G29" s="847"/>
      <c r="H29" s="847"/>
      <c r="I29" s="847"/>
      <c r="J29" s="847"/>
      <c r="K29" s="847"/>
      <c r="L29" s="847"/>
      <c r="M29" s="845"/>
    </row>
    <row r="30" spans="1:13">
      <c r="A30" s="583"/>
      <c r="C30" s="845"/>
      <c r="D30" s="845"/>
      <c r="E30" s="845"/>
      <c r="F30" s="845"/>
      <c r="G30" s="845"/>
      <c r="H30" s="845"/>
      <c r="I30" s="845"/>
      <c r="J30" s="845"/>
      <c r="K30" s="845"/>
      <c r="L30" s="845"/>
    </row>
    <row r="31" spans="1:13">
      <c r="A31" s="583"/>
    </row>
    <row r="32" spans="1:13">
      <c r="A32" s="583"/>
    </row>
    <row r="33" spans="1:1">
      <c r="A33" s="583"/>
    </row>
    <row r="34" spans="1:1">
      <c r="A34" s="583"/>
    </row>
    <row r="35" spans="1:1">
      <c r="A35" s="583"/>
    </row>
    <row r="36" spans="1:1">
      <c r="A36" s="583"/>
    </row>
    <row r="37" spans="1:1">
      <c r="A37" s="583"/>
    </row>
    <row r="38" spans="1:1">
      <c r="A38" s="583"/>
    </row>
    <row r="39" spans="1:1">
      <c r="A39" s="583"/>
    </row>
    <row r="40" spans="1:1">
      <c r="A40" s="583"/>
    </row>
    <row r="41" spans="1:1">
      <c r="A41" s="583"/>
    </row>
    <row r="42" spans="1:1">
      <c r="A42" s="583"/>
    </row>
    <row r="43" spans="1:1">
      <c r="A43" s="583"/>
    </row>
    <row r="44" spans="1:1">
      <c r="A44" s="583"/>
    </row>
    <row r="45" spans="1:1">
      <c r="A45" s="583"/>
    </row>
    <row r="46" spans="1:1">
      <c r="A46" s="583"/>
    </row>
    <row r="47" spans="1:1">
      <c r="A47" s="583"/>
    </row>
    <row r="48" spans="1:1">
      <c r="A48" s="583"/>
    </row>
    <row r="49" spans="1:1">
      <c r="A49" s="583"/>
    </row>
    <row r="50" spans="1:1">
      <c r="A50" s="583"/>
    </row>
    <row r="51" spans="1:1">
      <c r="A51" s="583"/>
    </row>
    <row r="52" spans="1:1">
      <c r="A52" s="583"/>
    </row>
    <row r="53" spans="1:1">
      <c r="A53" s="583"/>
    </row>
    <row r="54" spans="1:1">
      <c r="A54" s="583"/>
    </row>
    <row r="55" spans="1:1">
      <c r="A55" s="583"/>
    </row>
    <row r="56" spans="1:1">
      <c r="A56" s="583"/>
    </row>
    <row r="57" spans="1:1">
      <c r="A57" s="583"/>
    </row>
    <row r="58" spans="1:1">
      <c r="A58" s="583"/>
    </row>
    <row r="59" spans="1:1">
      <c r="A59" s="583"/>
    </row>
    <row r="60" spans="1:1">
      <c r="A60" s="583"/>
    </row>
    <row r="61" spans="1:1">
      <c r="A61" s="583"/>
    </row>
    <row r="62" spans="1:1">
      <c r="A62" s="583"/>
    </row>
    <row r="63" spans="1:1">
      <c r="A63" s="583"/>
    </row>
    <row r="64" spans="1:1">
      <c r="A64" s="583"/>
    </row>
    <row r="65" spans="1:1">
      <c r="A65" s="583"/>
    </row>
    <row r="66" spans="1:1">
      <c r="A66" s="583"/>
    </row>
    <row r="67" spans="1:1">
      <c r="A67" s="583"/>
    </row>
    <row r="68" spans="1:1">
      <c r="A68" s="583"/>
    </row>
    <row r="69" spans="1:1">
      <c r="A69" s="583"/>
    </row>
    <row r="70" spans="1:1">
      <c r="A70" s="583"/>
    </row>
    <row r="71" spans="1:1">
      <c r="A71" s="583"/>
    </row>
    <row r="72" spans="1:1">
      <c r="A72" s="583"/>
    </row>
    <row r="73" spans="1:1">
      <c r="A73" s="583"/>
    </row>
    <row r="74" spans="1:1">
      <c r="A74" s="583"/>
    </row>
    <row r="75" spans="1:1">
      <c r="A75" s="583"/>
    </row>
    <row r="76" spans="1:1">
      <c r="A76" s="583"/>
    </row>
    <row r="77" spans="1:1">
      <c r="A77" s="583"/>
    </row>
    <row r="78" spans="1:1">
      <c r="A78" s="583"/>
    </row>
    <row r="79" spans="1:1">
      <c r="A79" s="583"/>
    </row>
    <row r="80" spans="1:1">
      <c r="A80" s="583"/>
    </row>
    <row r="81" spans="1:1">
      <c r="A81" s="583"/>
    </row>
    <row r="82" spans="1:1">
      <c r="A82" s="583"/>
    </row>
    <row r="83" spans="1:1">
      <c r="A83" s="583"/>
    </row>
    <row r="84" spans="1:1">
      <c r="A84" s="583"/>
    </row>
    <row r="85" spans="1:1">
      <c r="A85" s="583"/>
    </row>
    <row r="86" spans="1:1">
      <c r="A86" s="583"/>
    </row>
    <row r="87" spans="1:1">
      <c r="A87" s="583"/>
    </row>
    <row r="88" spans="1:1">
      <c r="A88" s="583"/>
    </row>
    <row r="89" spans="1:1">
      <c r="A89" s="583"/>
    </row>
    <row r="90" spans="1:1">
      <c r="A90" s="583"/>
    </row>
    <row r="91" spans="1:1">
      <c r="A91" s="583"/>
    </row>
    <row r="92" spans="1:1">
      <c r="A92" s="583"/>
    </row>
    <row r="93" spans="1:1">
      <c r="A93" s="583"/>
    </row>
    <row r="94" spans="1:1">
      <c r="A94" s="583"/>
    </row>
    <row r="95" spans="1:1">
      <c r="A95" s="583"/>
    </row>
    <row r="96" spans="1:1">
      <c r="A96" s="583"/>
    </row>
    <row r="97" spans="1:1">
      <c r="A97" s="583"/>
    </row>
    <row r="98" spans="1:1">
      <c r="A98" s="583"/>
    </row>
    <row r="99" spans="1:1">
      <c r="A99" s="583"/>
    </row>
    <row r="100" spans="1:1">
      <c r="A100" s="583"/>
    </row>
    <row r="101" spans="1:1">
      <c r="A101" s="583"/>
    </row>
    <row r="102" spans="1:1">
      <c r="A102" s="583"/>
    </row>
    <row r="103" spans="1:1">
      <c r="A103" s="583"/>
    </row>
    <row r="104" spans="1:1">
      <c r="A104" s="583"/>
    </row>
    <row r="105" spans="1:1">
      <c r="A105" s="583"/>
    </row>
    <row r="106" spans="1:1">
      <c r="A106" s="583"/>
    </row>
    <row r="107" spans="1:1">
      <c r="A107" s="583"/>
    </row>
    <row r="108" spans="1:1">
      <c r="A108" s="583"/>
    </row>
    <row r="109" spans="1:1">
      <c r="A109" s="583"/>
    </row>
    <row r="110" spans="1:1">
      <c r="A110" s="583"/>
    </row>
    <row r="111" spans="1:1">
      <c r="A111" s="583"/>
    </row>
    <row r="112" spans="1:1">
      <c r="A112" s="583"/>
    </row>
    <row r="113" spans="1:1">
      <c r="A113" s="583"/>
    </row>
    <row r="114" spans="1:1">
      <c r="A114" s="583"/>
    </row>
    <row r="115" spans="1:1">
      <c r="A115" s="583"/>
    </row>
    <row r="116" spans="1:1">
      <c r="A116" s="583"/>
    </row>
    <row r="117" spans="1:1">
      <c r="A117" s="583"/>
    </row>
    <row r="118" spans="1:1">
      <c r="A118" s="583"/>
    </row>
    <row r="119" spans="1:1">
      <c r="A119" s="583"/>
    </row>
    <row r="120" spans="1:1">
      <c r="A120" s="583"/>
    </row>
    <row r="121" spans="1:1">
      <c r="A121" s="583"/>
    </row>
    <row r="122" spans="1:1">
      <c r="A122" s="583"/>
    </row>
    <row r="123" spans="1:1">
      <c r="A123" s="583"/>
    </row>
    <row r="124" spans="1:1">
      <c r="A124" s="583"/>
    </row>
    <row r="125" spans="1:1">
      <c r="A125" s="583"/>
    </row>
    <row r="126" spans="1:1">
      <c r="A126" s="583"/>
    </row>
    <row r="127" spans="1:1">
      <c r="A127" s="583"/>
    </row>
    <row r="128" spans="1:1">
      <c r="A128" s="583"/>
    </row>
    <row r="129" spans="1:1">
      <c r="A129" s="583"/>
    </row>
    <row r="130" spans="1:1">
      <c r="A130" s="583"/>
    </row>
    <row r="131" spans="1:1">
      <c r="A131" s="583"/>
    </row>
    <row r="132" spans="1:1">
      <c r="A132" s="583"/>
    </row>
    <row r="133" spans="1:1">
      <c r="A133" s="583"/>
    </row>
    <row r="134" spans="1:1">
      <c r="A134" s="583"/>
    </row>
    <row r="135" spans="1:1">
      <c r="A135" s="583"/>
    </row>
    <row r="136" spans="1:1">
      <c r="A136" s="583"/>
    </row>
    <row r="137" spans="1:1">
      <c r="A137" s="583"/>
    </row>
    <row r="138" spans="1:1">
      <c r="A138" s="583"/>
    </row>
    <row r="139" spans="1:1">
      <c r="A139" s="583"/>
    </row>
    <row r="140" spans="1:1">
      <c r="A140" s="583"/>
    </row>
    <row r="141" spans="1:1">
      <c r="A141" s="583"/>
    </row>
    <row r="142" spans="1:1">
      <c r="A142" s="583"/>
    </row>
    <row r="143" spans="1:1">
      <c r="A143" s="583"/>
    </row>
  </sheetData>
  <mergeCells count="3">
    <mergeCell ref="A3:I3"/>
    <mergeCell ref="A4:I4"/>
    <mergeCell ref="A5:I5"/>
  </mergeCells>
  <printOptions horizontalCentered="1"/>
  <pageMargins left="0.75" right="0.75" top="0.75" bottom="0.75" header="0.5" footer="0.3"/>
  <pageSetup scale="80" orientation="portrait" r:id="rId1"/>
  <headerFooter>
    <oddHeader>&amp;R&amp;"Arial,Regular"&amp;10Attachment O Work Paper
Page 2 of 22</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S41" sqref="S41"/>
    </sheetView>
  </sheetViews>
  <sheetFormatPr defaultRowHeight="15"/>
  <cols>
    <col min="1" max="10" width="8.88671875" style="110"/>
    <col min="11" max="11" width="11.88671875" style="110" customWidth="1"/>
    <col min="12" max="16384" width="8.88671875" style="110"/>
  </cols>
  <sheetData>
    <row r="1" spans="1:12">
      <c r="K1" s="96"/>
    </row>
    <row r="2" spans="1:12" ht="15.75" customHeight="1">
      <c r="A2" s="1012" t="s">
        <v>0</v>
      </c>
      <c r="B2" s="1012"/>
      <c r="C2" s="1012"/>
      <c r="D2" s="1012"/>
      <c r="E2" s="1012"/>
      <c r="F2" s="1012"/>
      <c r="G2" s="1012"/>
      <c r="H2" s="1012"/>
      <c r="I2" s="1012"/>
      <c r="J2" s="1012"/>
      <c r="K2" s="1012"/>
      <c r="L2" s="891"/>
    </row>
    <row r="3" spans="1:12" ht="15.75" customHeight="1">
      <c r="A3" s="1012" t="s">
        <v>458</v>
      </c>
      <c r="B3" s="1012"/>
      <c r="C3" s="1012"/>
      <c r="D3" s="1012"/>
      <c r="E3" s="1012"/>
      <c r="F3" s="1012"/>
      <c r="G3" s="1012"/>
      <c r="H3" s="1012"/>
      <c r="I3" s="1012"/>
      <c r="J3" s="1012"/>
      <c r="K3" s="1012"/>
    </row>
    <row r="4" spans="1:12" ht="15.75" customHeight="1">
      <c r="A4" s="1013" t="str">
        <f>'Page 20 - Revenues'!A5:K5</f>
        <v>Actual Year 2013</v>
      </c>
      <c r="B4" s="1013"/>
      <c r="C4" s="1013"/>
      <c r="D4" s="1013"/>
      <c r="E4" s="1013"/>
      <c r="F4" s="1013"/>
      <c r="G4" s="1013"/>
      <c r="H4" s="1013"/>
      <c r="I4" s="1013"/>
      <c r="J4" s="1013"/>
      <c r="K4" s="1013"/>
    </row>
    <row r="6" spans="1:12">
      <c r="A6" s="38" t="s">
        <v>8</v>
      </c>
      <c r="B6" s="1014">
        <v>2010</v>
      </c>
      <c r="C6" s="1014"/>
      <c r="D6" s="1014"/>
      <c r="E6" s="1014"/>
      <c r="F6" s="1014"/>
      <c r="G6" s="1014"/>
      <c r="H6" s="1014"/>
      <c r="I6" s="1014"/>
      <c r="J6" s="1014"/>
      <c r="K6" s="1014"/>
    </row>
    <row r="7" spans="1:12">
      <c r="A7" s="40" t="s">
        <v>10</v>
      </c>
      <c r="B7" s="111" t="s">
        <v>636</v>
      </c>
      <c r="C7" s="111" t="s">
        <v>380</v>
      </c>
      <c r="D7" s="111" t="s">
        <v>381</v>
      </c>
      <c r="E7" s="111" t="s">
        <v>447</v>
      </c>
      <c r="F7" s="111" t="s">
        <v>382</v>
      </c>
      <c r="G7" s="111" t="s">
        <v>637</v>
      </c>
      <c r="H7" s="111" t="s">
        <v>449</v>
      </c>
      <c r="I7" s="111" t="s">
        <v>638</v>
      </c>
      <c r="J7" s="111" t="s">
        <v>639</v>
      </c>
      <c r="K7" s="111" t="s">
        <v>640</v>
      </c>
    </row>
    <row r="8" spans="1:12">
      <c r="A8" s="112">
        <v>1</v>
      </c>
      <c r="B8" s="124">
        <v>100</v>
      </c>
      <c r="C8" s="124">
        <v>10</v>
      </c>
      <c r="D8" s="123">
        <v>0</v>
      </c>
      <c r="E8" s="123">
        <v>4110</v>
      </c>
      <c r="F8" s="123">
        <v>4540</v>
      </c>
      <c r="G8" s="123">
        <v>0</v>
      </c>
      <c r="H8" s="122">
        <v>0</v>
      </c>
      <c r="I8" s="121">
        <v>40000</v>
      </c>
      <c r="J8" s="121">
        <v>45400</v>
      </c>
      <c r="K8" s="120">
        <v>-1500</v>
      </c>
    </row>
    <row r="9" spans="1:12">
      <c r="A9" s="113">
        <f t="shared" ref="A9:A24" si="0">A8+1</f>
        <v>2</v>
      </c>
      <c r="B9" s="124">
        <v>100</v>
      </c>
      <c r="C9" s="124">
        <v>10</v>
      </c>
      <c r="D9" s="123">
        <v>1020</v>
      </c>
      <c r="E9" s="123">
        <v>4110</v>
      </c>
      <c r="F9" s="123">
        <v>4540</v>
      </c>
      <c r="G9" s="123">
        <v>0</v>
      </c>
      <c r="H9" s="122">
        <v>0</v>
      </c>
      <c r="I9" s="121">
        <v>40000</v>
      </c>
      <c r="J9" s="121">
        <v>45400</v>
      </c>
      <c r="K9" s="120">
        <v>-2800</v>
      </c>
    </row>
    <row r="10" spans="1:12">
      <c r="A10" s="113">
        <f t="shared" si="0"/>
        <v>3</v>
      </c>
      <c r="B10" s="124">
        <v>100</v>
      </c>
      <c r="C10" s="124">
        <v>10</v>
      </c>
      <c r="D10" s="123">
        <v>1100</v>
      </c>
      <c r="E10" s="123">
        <v>4110</v>
      </c>
      <c r="F10" s="123">
        <v>4540</v>
      </c>
      <c r="G10" s="123">
        <v>0</v>
      </c>
      <c r="H10" s="122">
        <v>0</v>
      </c>
      <c r="I10" s="121">
        <v>40000</v>
      </c>
      <c r="J10" s="121">
        <v>45400</v>
      </c>
      <c r="K10" s="120">
        <v>-19432.5</v>
      </c>
    </row>
    <row r="11" spans="1:12">
      <c r="A11" s="113">
        <f t="shared" si="0"/>
        <v>4</v>
      </c>
      <c r="B11" s="124">
        <v>100</v>
      </c>
      <c r="C11" s="124">
        <v>10</v>
      </c>
      <c r="D11" s="123">
        <v>1190</v>
      </c>
      <c r="E11" s="123">
        <v>4110</v>
      </c>
      <c r="F11" s="123">
        <v>4540</v>
      </c>
      <c r="G11" s="123">
        <v>0</v>
      </c>
      <c r="H11" s="122">
        <v>0</v>
      </c>
      <c r="I11" s="121">
        <v>40000</v>
      </c>
      <c r="J11" s="121">
        <v>45400</v>
      </c>
      <c r="K11" s="120">
        <v>8958.3700000000008</v>
      </c>
    </row>
    <row r="12" spans="1:12">
      <c r="A12" s="113">
        <f t="shared" si="0"/>
        <v>5</v>
      </c>
      <c r="B12" s="124">
        <v>100</v>
      </c>
      <c r="C12" s="124">
        <v>10</v>
      </c>
      <c r="D12" s="123">
        <v>1200</v>
      </c>
      <c r="E12" s="123">
        <v>4110</v>
      </c>
      <c r="F12" s="123">
        <v>4540</v>
      </c>
      <c r="G12" s="123">
        <v>0</v>
      </c>
      <c r="H12" s="122">
        <v>0</v>
      </c>
      <c r="I12" s="121">
        <v>40000</v>
      </c>
      <c r="J12" s="121">
        <v>45400</v>
      </c>
      <c r="K12" s="120">
        <v>-1960.3</v>
      </c>
    </row>
    <row r="13" spans="1:12">
      <c r="A13" s="113">
        <f t="shared" si="0"/>
        <v>6</v>
      </c>
      <c r="B13" s="124">
        <v>100</v>
      </c>
      <c r="C13" s="124">
        <v>10</v>
      </c>
      <c r="D13" s="123">
        <v>1200</v>
      </c>
      <c r="E13" s="123">
        <v>4110</v>
      </c>
      <c r="F13" s="123">
        <v>4540</v>
      </c>
      <c r="G13" s="123">
        <v>0</v>
      </c>
      <c r="H13" s="122">
        <v>101200</v>
      </c>
      <c r="I13" s="121">
        <v>40000</v>
      </c>
      <c r="J13" s="121">
        <v>45400</v>
      </c>
      <c r="K13" s="120">
        <v>-21162.07</v>
      </c>
    </row>
    <row r="14" spans="1:12">
      <c r="A14" s="113">
        <f t="shared" si="0"/>
        <v>7</v>
      </c>
      <c r="B14" s="124">
        <v>100</v>
      </c>
      <c r="C14" s="124">
        <v>10</v>
      </c>
      <c r="D14" s="123">
        <v>1290</v>
      </c>
      <c r="E14" s="123">
        <v>4110</v>
      </c>
      <c r="F14" s="123">
        <v>4540</v>
      </c>
      <c r="G14" s="123">
        <v>0</v>
      </c>
      <c r="H14" s="122">
        <v>0</v>
      </c>
      <c r="I14" s="121">
        <v>40000</v>
      </c>
      <c r="J14" s="121">
        <v>45400</v>
      </c>
      <c r="K14" s="120">
        <v>15029.56</v>
      </c>
    </row>
    <row r="15" spans="1:12">
      <c r="A15" s="113">
        <f t="shared" si="0"/>
        <v>8</v>
      </c>
      <c r="B15" s="124">
        <v>100</v>
      </c>
      <c r="C15" s="124">
        <v>10</v>
      </c>
      <c r="D15" s="123">
        <v>1400</v>
      </c>
      <c r="E15" s="123">
        <v>4110</v>
      </c>
      <c r="F15" s="123">
        <v>4540</v>
      </c>
      <c r="G15" s="123">
        <v>0</v>
      </c>
      <c r="H15" s="122">
        <v>0</v>
      </c>
      <c r="I15" s="121">
        <v>40000</v>
      </c>
      <c r="J15" s="121">
        <v>45400</v>
      </c>
      <c r="K15" s="120">
        <v>-1000</v>
      </c>
    </row>
    <row r="16" spans="1:12">
      <c r="A16" s="113">
        <f t="shared" si="0"/>
        <v>9</v>
      </c>
      <c r="B16" s="124">
        <v>100</v>
      </c>
      <c r="C16" s="124">
        <v>20</v>
      </c>
      <c r="D16" s="123">
        <v>0</v>
      </c>
      <c r="E16" s="123">
        <v>4110</v>
      </c>
      <c r="F16" s="123">
        <v>4540</v>
      </c>
      <c r="G16" s="123">
        <v>0</v>
      </c>
      <c r="H16" s="122">
        <v>0</v>
      </c>
      <c r="I16" s="121">
        <v>40000</v>
      </c>
      <c r="J16" s="121">
        <v>45400</v>
      </c>
      <c r="K16" s="127">
        <v>-62652</v>
      </c>
    </row>
    <row r="17" spans="1:12">
      <c r="A17" s="113">
        <f t="shared" si="0"/>
        <v>10</v>
      </c>
      <c r="B17" s="124">
        <v>100</v>
      </c>
      <c r="C17" s="124">
        <v>30</v>
      </c>
      <c r="D17" s="123">
        <v>0</v>
      </c>
      <c r="E17" s="123">
        <v>4110</v>
      </c>
      <c r="F17" s="123">
        <v>4540</v>
      </c>
      <c r="G17" s="123">
        <v>0</v>
      </c>
      <c r="H17" s="122">
        <v>0</v>
      </c>
      <c r="I17" s="121">
        <v>40000</v>
      </c>
      <c r="J17" s="121">
        <v>45400</v>
      </c>
      <c r="K17" s="120">
        <v>-46711.199999999997</v>
      </c>
    </row>
    <row r="18" spans="1:12">
      <c r="A18" s="113">
        <f t="shared" si="0"/>
        <v>11</v>
      </c>
      <c r="B18" s="124">
        <v>100</v>
      </c>
      <c r="C18" s="124">
        <v>30</v>
      </c>
      <c r="D18" s="123">
        <v>10</v>
      </c>
      <c r="E18" s="123">
        <v>4110</v>
      </c>
      <c r="F18" s="123">
        <v>4540</v>
      </c>
      <c r="G18" s="123">
        <v>0</v>
      </c>
      <c r="H18" s="122">
        <v>0</v>
      </c>
      <c r="I18" s="121">
        <v>40000</v>
      </c>
      <c r="J18" s="121">
        <v>45400</v>
      </c>
      <c r="K18" s="120">
        <v>-2400</v>
      </c>
    </row>
    <row r="19" spans="1:12">
      <c r="A19" s="113">
        <f t="shared" si="0"/>
        <v>12</v>
      </c>
      <c r="B19" s="124">
        <v>100</v>
      </c>
      <c r="C19" s="124">
        <v>30</v>
      </c>
      <c r="D19" s="123">
        <v>20</v>
      </c>
      <c r="E19" s="123">
        <v>4110</v>
      </c>
      <c r="F19" s="123">
        <v>4540</v>
      </c>
      <c r="G19" s="123">
        <v>0</v>
      </c>
      <c r="H19" s="122">
        <v>0</v>
      </c>
      <c r="I19" s="121">
        <v>40000</v>
      </c>
      <c r="J19" s="121">
        <v>45400</v>
      </c>
      <c r="K19" s="120">
        <v>-7594.56</v>
      </c>
    </row>
    <row r="20" spans="1:12">
      <c r="A20" s="113">
        <f t="shared" si="0"/>
        <v>13</v>
      </c>
      <c r="B20" s="124">
        <v>100</v>
      </c>
      <c r="C20" s="124">
        <v>30</v>
      </c>
      <c r="D20" s="123">
        <v>60</v>
      </c>
      <c r="E20" s="123">
        <v>4110</v>
      </c>
      <c r="F20" s="123">
        <v>4540</v>
      </c>
      <c r="G20" s="123">
        <v>0</v>
      </c>
      <c r="H20" s="122">
        <v>0</v>
      </c>
      <c r="I20" s="121">
        <v>40000</v>
      </c>
      <c r="J20" s="121">
        <v>45400</v>
      </c>
      <c r="K20" s="120">
        <v>-4808.16</v>
      </c>
    </row>
    <row r="21" spans="1:12">
      <c r="A21" s="113">
        <f t="shared" si="0"/>
        <v>14</v>
      </c>
      <c r="B21" s="124">
        <v>100</v>
      </c>
      <c r="C21" s="124">
        <v>30</v>
      </c>
      <c r="D21" s="123">
        <v>80</v>
      </c>
      <c r="E21" s="123">
        <v>4110</v>
      </c>
      <c r="F21" s="123">
        <v>4540</v>
      </c>
      <c r="G21" s="123">
        <v>0</v>
      </c>
      <c r="H21" s="122">
        <v>0</v>
      </c>
      <c r="I21" s="121">
        <v>40000</v>
      </c>
      <c r="J21" s="121">
        <v>45400</v>
      </c>
      <c r="K21" s="120">
        <v>-360</v>
      </c>
    </row>
    <row r="22" spans="1:12">
      <c r="A22" s="113">
        <f t="shared" si="0"/>
        <v>15</v>
      </c>
      <c r="B22" s="124">
        <v>100</v>
      </c>
      <c r="C22" s="124">
        <v>30</v>
      </c>
      <c r="D22" s="123">
        <v>140</v>
      </c>
      <c r="E22" s="123">
        <v>4110</v>
      </c>
      <c r="F22" s="123">
        <v>4540</v>
      </c>
      <c r="G22" s="123">
        <v>0</v>
      </c>
      <c r="H22" s="122">
        <v>0</v>
      </c>
      <c r="I22" s="121">
        <v>40000</v>
      </c>
      <c r="J22" s="121">
        <v>45400</v>
      </c>
      <c r="K22" s="120">
        <v>-122.4</v>
      </c>
    </row>
    <row r="23" spans="1:12">
      <c r="A23" s="113">
        <f t="shared" si="0"/>
        <v>16</v>
      </c>
      <c r="B23" s="124">
        <v>100</v>
      </c>
      <c r="C23" s="124">
        <v>30</v>
      </c>
      <c r="D23" s="123">
        <v>340</v>
      </c>
      <c r="E23" s="123">
        <v>4110</v>
      </c>
      <c r="F23" s="123">
        <v>4540</v>
      </c>
      <c r="G23" s="123">
        <v>0</v>
      </c>
      <c r="H23" s="122">
        <v>0</v>
      </c>
      <c r="I23" s="121">
        <v>40000</v>
      </c>
      <c r="J23" s="121">
        <v>45400</v>
      </c>
      <c r="K23" s="120">
        <v>-110659.22</v>
      </c>
    </row>
    <row r="24" spans="1:12">
      <c r="A24" s="113">
        <f t="shared" si="0"/>
        <v>17</v>
      </c>
      <c r="B24" s="124">
        <v>100</v>
      </c>
      <c r="C24" s="124">
        <v>30</v>
      </c>
      <c r="D24" s="123">
        <v>870</v>
      </c>
      <c r="E24" s="123">
        <v>4110</v>
      </c>
      <c r="F24" s="123">
        <v>4540</v>
      </c>
      <c r="G24" s="123">
        <v>0</v>
      </c>
      <c r="H24" s="122">
        <v>0</v>
      </c>
      <c r="I24" s="121">
        <v>40000</v>
      </c>
      <c r="J24" s="121">
        <v>45400</v>
      </c>
      <c r="K24" s="119">
        <v>-213566.48</v>
      </c>
    </row>
    <row r="25" spans="1:12">
      <c r="K25" s="118">
        <f>SUM(K8:K24)</f>
        <v>-472740.96</v>
      </c>
      <c r="L25" s="117"/>
    </row>
  </sheetData>
  <autoFilter ref="B7:K7"/>
  <mergeCells count="4">
    <mergeCell ref="A2:K2"/>
    <mergeCell ref="A3:K3"/>
    <mergeCell ref="A4:K4"/>
    <mergeCell ref="B6:K6"/>
  </mergeCells>
  <pageMargins left="0.7" right="0.7" top="0.75" bottom="0.75" header="0.3" footer="0.3"/>
  <pageSetup scale="69" orientation="portrait" r:id="rId1"/>
  <headerFooter>
    <oddHeader>&amp;R&amp;10Attachment O Work Paper
Page 20a of 22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workbookViewId="0">
      <pane xSplit="4" ySplit="8" topLeftCell="E9" activePane="bottomRight" state="frozen"/>
      <selection pane="topRight" activeCell="E1" sqref="E1"/>
      <selection pane="bottomLeft" activeCell="A9" sqref="A9"/>
      <selection pane="bottomRight" activeCell="G28" sqref="G28"/>
    </sheetView>
  </sheetViews>
  <sheetFormatPr defaultRowHeight="12.75"/>
  <cols>
    <col min="1" max="1" width="3.44140625" style="696" bestFit="1" customWidth="1"/>
    <col min="2" max="2" width="6.21875" style="696" bestFit="1" customWidth="1"/>
    <col min="3" max="3" width="6.77734375" style="696" customWidth="1"/>
    <col min="4" max="4" width="42.77734375" style="696" customWidth="1"/>
    <col min="5" max="17" width="11.21875" style="696" customWidth="1"/>
    <col min="18" max="18" width="13" style="696" customWidth="1"/>
    <col min="19" max="19" width="12.33203125" style="696" bestFit="1" customWidth="1"/>
    <col min="20" max="16384" width="8.88671875" style="696"/>
  </cols>
  <sheetData>
    <row r="1" spans="1:18">
      <c r="A1" s="1016" t="s">
        <v>508</v>
      </c>
      <c r="B1" s="1016"/>
      <c r="C1" s="1016"/>
      <c r="D1" s="1016"/>
      <c r="Q1" s="386"/>
      <c r="R1" s="857"/>
    </row>
    <row r="2" spans="1:18">
      <c r="A2" s="1016" t="s">
        <v>509</v>
      </c>
      <c r="B2" s="1016"/>
      <c r="C2" s="1016"/>
      <c r="D2" s="1016"/>
      <c r="Q2" s="891"/>
      <c r="R2" s="857"/>
    </row>
    <row r="3" spans="1:18">
      <c r="A3" s="1016" t="str">
        <f>Info!B3&amp;" Actual for MISO Tariff Revenue"</f>
        <v>2013 Actual for MISO Tariff Revenue</v>
      </c>
      <c r="B3" s="1016"/>
      <c r="C3" s="1016"/>
      <c r="D3" s="1016"/>
      <c r="R3" s="857"/>
    </row>
    <row r="4" spans="1:18">
      <c r="A4" s="1016"/>
      <c r="B4" s="1016"/>
      <c r="C4" s="1016"/>
      <c r="D4" s="1016"/>
      <c r="Q4" s="386"/>
      <c r="R4" s="857"/>
    </row>
    <row r="7" spans="1:18">
      <c r="A7" s="710" t="s">
        <v>8</v>
      </c>
      <c r="B7" s="697"/>
      <c r="C7" s="698"/>
      <c r="D7" s="699"/>
      <c r="E7" s="716">
        <f>Info!B3</f>
        <v>2013</v>
      </c>
      <c r="F7" s="716">
        <f t="shared" ref="F7:P7" si="0">$E$7</f>
        <v>2013</v>
      </c>
      <c r="G7" s="716">
        <f t="shared" si="0"/>
        <v>2013</v>
      </c>
      <c r="H7" s="716">
        <f t="shared" si="0"/>
        <v>2013</v>
      </c>
      <c r="I7" s="716">
        <f t="shared" si="0"/>
        <v>2013</v>
      </c>
      <c r="J7" s="716">
        <f t="shared" si="0"/>
        <v>2013</v>
      </c>
      <c r="K7" s="716">
        <f t="shared" si="0"/>
        <v>2013</v>
      </c>
      <c r="L7" s="716">
        <f t="shared" si="0"/>
        <v>2013</v>
      </c>
      <c r="M7" s="716">
        <f t="shared" si="0"/>
        <v>2013</v>
      </c>
      <c r="N7" s="716">
        <f t="shared" si="0"/>
        <v>2013</v>
      </c>
      <c r="O7" s="716">
        <f t="shared" si="0"/>
        <v>2013</v>
      </c>
      <c r="P7" s="716">
        <f t="shared" si="0"/>
        <v>2013</v>
      </c>
      <c r="Q7" s="717">
        <f>$E$7</f>
        <v>2013</v>
      </c>
    </row>
    <row r="8" spans="1:18">
      <c r="A8" s="712" t="s">
        <v>10</v>
      </c>
      <c r="B8" s="1017" t="s">
        <v>510</v>
      </c>
      <c r="C8" s="1018"/>
      <c r="D8" s="91" t="s">
        <v>409</v>
      </c>
      <c r="E8" s="715" t="s">
        <v>411</v>
      </c>
      <c r="F8" s="48" t="s">
        <v>412</v>
      </c>
      <c r="G8" s="48" t="s">
        <v>413</v>
      </c>
      <c r="H8" s="48" t="s">
        <v>414</v>
      </c>
      <c r="I8" s="48" t="s">
        <v>20</v>
      </c>
      <c r="J8" s="48" t="s">
        <v>415</v>
      </c>
      <c r="K8" s="48" t="s">
        <v>416</v>
      </c>
      <c r="L8" s="48" t="s">
        <v>417</v>
      </c>
      <c r="M8" s="48" t="s">
        <v>418</v>
      </c>
      <c r="N8" s="48" t="s">
        <v>419</v>
      </c>
      <c r="O8" s="48" t="s">
        <v>420</v>
      </c>
      <c r="P8" s="48" t="s">
        <v>421</v>
      </c>
      <c r="Q8" s="49" t="s">
        <v>16</v>
      </c>
    </row>
    <row r="9" spans="1:18">
      <c r="A9" s="711">
        <v>1</v>
      </c>
      <c r="B9" s="858" t="s">
        <v>511</v>
      </c>
      <c r="C9" s="704"/>
      <c r="D9" s="859" t="s">
        <v>512</v>
      </c>
      <c r="E9" s="494">
        <v>11178.8</v>
      </c>
      <c r="F9" s="494">
        <v>18808.169999999998</v>
      </c>
      <c r="G9" s="494">
        <v>22568.74</v>
      </c>
      <c r="H9" s="494">
        <v>62305.27</v>
      </c>
      <c r="I9" s="494">
        <v>7566.72</v>
      </c>
      <c r="J9" s="494">
        <v>7221.63</v>
      </c>
      <c r="K9" s="494">
        <v>16173.64</v>
      </c>
      <c r="L9" s="494">
        <v>9099.69</v>
      </c>
      <c r="M9" s="494">
        <v>11690.27</v>
      </c>
      <c r="N9" s="494">
        <v>10603.43</v>
      </c>
      <c r="O9" s="494">
        <v>25300.66</v>
      </c>
      <c r="P9" s="494">
        <v>11824.84</v>
      </c>
      <c r="Q9" s="43">
        <f t="shared" ref="Q9:Q15" si="1">SUM(E9:P9)</f>
        <v>214341.86</v>
      </c>
    </row>
    <row r="10" spans="1:18">
      <c r="A10" s="711">
        <f t="shared" ref="A10:A21" si="2">+A9+1</f>
        <v>2</v>
      </c>
      <c r="B10" s="858" t="s">
        <v>513</v>
      </c>
      <c r="C10" s="704"/>
      <c r="D10" s="859" t="s">
        <v>514</v>
      </c>
      <c r="E10" s="494">
        <v>48815.83</v>
      </c>
      <c r="F10" s="494">
        <v>41779.72</v>
      </c>
      <c r="G10" s="494">
        <v>35826.93</v>
      </c>
      <c r="H10" s="494">
        <v>40462.93</v>
      </c>
      <c r="I10" s="494">
        <v>34641.64</v>
      </c>
      <c r="J10" s="494">
        <v>32243.06</v>
      </c>
      <c r="K10" s="494">
        <v>38032.03</v>
      </c>
      <c r="L10" s="494">
        <v>49648.85</v>
      </c>
      <c r="M10" s="494">
        <v>44000.51</v>
      </c>
      <c r="N10" s="494">
        <v>40829.46</v>
      </c>
      <c r="O10" s="494">
        <v>32080.62</v>
      </c>
      <c r="P10" s="494">
        <v>36268.550000000003</v>
      </c>
      <c r="Q10" s="43">
        <f t="shared" si="1"/>
        <v>474630.13</v>
      </c>
    </row>
    <row r="11" spans="1:18">
      <c r="A11" s="711">
        <f t="shared" si="2"/>
        <v>3</v>
      </c>
      <c r="B11" s="858" t="s">
        <v>515</v>
      </c>
      <c r="C11" s="704"/>
      <c r="D11" s="859" t="s">
        <v>516</v>
      </c>
      <c r="E11" s="494">
        <v>44032.35</v>
      </c>
      <c r="F11" s="494">
        <v>45114.74</v>
      </c>
      <c r="G11" s="494">
        <v>39229.49</v>
      </c>
      <c r="H11" s="494">
        <v>42534.45</v>
      </c>
      <c r="I11" s="494">
        <v>37364.050000000003</v>
      </c>
      <c r="J11" s="494">
        <v>35814.42</v>
      </c>
      <c r="K11" s="494">
        <v>41940.99</v>
      </c>
      <c r="L11" s="494">
        <v>54062.27</v>
      </c>
      <c r="M11" s="494">
        <v>47431.29</v>
      </c>
      <c r="N11" s="494">
        <v>44039.7</v>
      </c>
      <c r="O11" s="494">
        <v>35435.25</v>
      </c>
      <c r="P11" s="494">
        <v>39359.57</v>
      </c>
      <c r="Q11" s="43">
        <f t="shared" si="1"/>
        <v>506358.56999999995</v>
      </c>
    </row>
    <row r="12" spans="1:18">
      <c r="A12" s="711">
        <f t="shared" si="2"/>
        <v>4</v>
      </c>
      <c r="B12" s="858" t="s">
        <v>517</v>
      </c>
      <c r="C12" s="704"/>
      <c r="D12" s="859" t="s">
        <v>518</v>
      </c>
      <c r="E12" s="494">
        <v>91899.98</v>
      </c>
      <c r="F12" s="494">
        <v>62734.22</v>
      </c>
      <c r="G12" s="494">
        <v>55002.3</v>
      </c>
      <c r="H12" s="494">
        <v>62980.61</v>
      </c>
      <c r="I12" s="494">
        <v>60182.31</v>
      </c>
      <c r="J12" s="494">
        <v>117018.27</v>
      </c>
      <c r="K12" s="494">
        <v>110123.01</v>
      </c>
      <c r="L12" s="494">
        <v>134571.95000000001</v>
      </c>
      <c r="M12" s="494">
        <v>116958.66</v>
      </c>
      <c r="N12" s="494">
        <v>111583.65</v>
      </c>
      <c r="O12" s="494">
        <v>116283.25</v>
      </c>
      <c r="P12" s="494">
        <v>46138.9</v>
      </c>
      <c r="Q12" s="43">
        <f t="shared" si="1"/>
        <v>1085477.1099999999</v>
      </c>
    </row>
    <row r="13" spans="1:18">
      <c r="A13" s="711">
        <f t="shared" si="2"/>
        <v>5</v>
      </c>
      <c r="B13" s="858" t="s">
        <v>519</v>
      </c>
      <c r="C13" s="704"/>
      <c r="D13" s="859" t="s">
        <v>520</v>
      </c>
      <c r="E13" s="494">
        <v>53190.93</v>
      </c>
      <c r="F13" s="494">
        <v>34548.07</v>
      </c>
      <c r="G13" s="494">
        <v>13837.97</v>
      </c>
      <c r="H13" s="494">
        <v>80771.649999999994</v>
      </c>
      <c r="I13" s="494">
        <v>47989.99</v>
      </c>
      <c r="J13" s="494">
        <v>32047.11</v>
      </c>
      <c r="K13" s="494">
        <v>2321.67</v>
      </c>
      <c r="L13" s="494">
        <v>18085.02</v>
      </c>
      <c r="M13" s="494">
        <v>22810.21</v>
      </c>
      <c r="N13" s="494">
        <v>12010.82</v>
      </c>
      <c r="O13" s="494">
        <v>41651</v>
      </c>
      <c r="P13" s="494">
        <v>39525.43</v>
      </c>
      <c r="Q13" s="43">
        <f t="shared" si="1"/>
        <v>398789.87</v>
      </c>
    </row>
    <row r="14" spans="1:18">
      <c r="A14" s="711">
        <f t="shared" si="2"/>
        <v>6</v>
      </c>
      <c r="B14" s="858" t="s">
        <v>586</v>
      </c>
      <c r="C14" s="704"/>
      <c r="D14" s="859" t="s">
        <v>585</v>
      </c>
      <c r="E14" s="494">
        <v>0</v>
      </c>
      <c r="F14" s="494">
        <v>0</v>
      </c>
      <c r="G14" s="494">
        <v>5104.3999999999996</v>
      </c>
      <c r="H14" s="494">
        <v>5653.75</v>
      </c>
      <c r="I14" s="494">
        <v>5471.72</v>
      </c>
      <c r="J14" s="494">
        <v>5677.56</v>
      </c>
      <c r="K14" s="494">
        <v>5481.9</v>
      </c>
      <c r="L14" s="494">
        <v>5668.98</v>
      </c>
      <c r="M14" s="494">
        <v>5682.4</v>
      </c>
      <c r="N14" s="494">
        <v>5489.71</v>
      </c>
      <c r="O14" s="494">
        <v>5691.27</v>
      </c>
      <c r="P14" s="494">
        <v>5501.68</v>
      </c>
      <c r="Q14" s="43">
        <f t="shared" ref="Q14" si="3">SUM(E14:P14)</f>
        <v>55423.37</v>
      </c>
    </row>
    <row r="15" spans="1:18">
      <c r="A15" s="711">
        <f t="shared" si="2"/>
        <v>7</v>
      </c>
      <c r="B15" s="858" t="s">
        <v>521</v>
      </c>
      <c r="C15" s="704"/>
      <c r="D15" s="859" t="s">
        <v>522</v>
      </c>
      <c r="E15" s="494">
        <v>46220.87</v>
      </c>
      <c r="F15" s="494">
        <v>48304.44</v>
      </c>
      <c r="G15" s="494">
        <v>50061.96</v>
      </c>
      <c r="H15" s="494">
        <v>54297.5</v>
      </c>
      <c r="I15" s="494">
        <v>49682.29</v>
      </c>
      <c r="J15" s="494">
        <v>35271.129999999997</v>
      </c>
      <c r="K15" s="494">
        <v>38471.54</v>
      </c>
      <c r="L15" s="494">
        <v>35855.269999999997</v>
      </c>
      <c r="M15" s="494">
        <v>41417.72</v>
      </c>
      <c r="N15" s="494">
        <v>37771.81</v>
      </c>
      <c r="O15" s="494">
        <v>35990.04</v>
      </c>
      <c r="P15" s="494">
        <v>47006.81</v>
      </c>
      <c r="Q15" s="43">
        <f t="shared" si="1"/>
        <v>520351.37999999995</v>
      </c>
    </row>
    <row r="16" spans="1:18">
      <c r="A16" s="711">
        <f t="shared" si="2"/>
        <v>8</v>
      </c>
      <c r="B16" s="858" t="s">
        <v>523</v>
      </c>
      <c r="C16" s="704"/>
      <c r="D16" s="859" t="s">
        <v>524</v>
      </c>
      <c r="E16" s="494">
        <v>687251.14</v>
      </c>
      <c r="F16" s="494">
        <v>1056705.81</v>
      </c>
      <c r="G16" s="494">
        <v>919399.55</v>
      </c>
      <c r="H16" s="494">
        <v>965644.79</v>
      </c>
      <c r="I16" s="494">
        <v>882286.14</v>
      </c>
      <c r="J16" s="494">
        <v>1024939.78</v>
      </c>
      <c r="K16" s="494">
        <v>1158294.1299999999</v>
      </c>
      <c r="L16" s="494">
        <v>1364832.37</v>
      </c>
      <c r="M16" s="494">
        <v>1321728.3500000001</v>
      </c>
      <c r="N16" s="494">
        <v>1254755.52</v>
      </c>
      <c r="O16" s="494">
        <v>970948.55</v>
      </c>
      <c r="P16" s="494">
        <v>951821.37</v>
      </c>
      <c r="Q16" s="43">
        <f>SUM(E16:P16)</f>
        <v>12558607.5</v>
      </c>
      <c r="R16" s="720"/>
    </row>
    <row r="17" spans="1:18">
      <c r="A17" s="711">
        <f t="shared" si="2"/>
        <v>9</v>
      </c>
      <c r="B17" s="858" t="s">
        <v>661</v>
      </c>
      <c r="C17" s="704"/>
      <c r="D17" s="859" t="s">
        <v>663</v>
      </c>
      <c r="E17" s="494">
        <v>0</v>
      </c>
      <c r="F17" s="494">
        <v>-8250</v>
      </c>
      <c r="G17" s="494">
        <v>-4125</v>
      </c>
      <c r="H17" s="494">
        <v>-4125</v>
      </c>
      <c r="I17" s="494">
        <v>-791288</v>
      </c>
      <c r="J17" s="494">
        <v>-50492</v>
      </c>
      <c r="K17" s="494">
        <v>-123725</v>
      </c>
      <c r="L17" s="494">
        <v>-206394</v>
      </c>
      <c r="M17" s="494">
        <v>-63949</v>
      </c>
      <c r="N17" s="494">
        <v>-216644</v>
      </c>
      <c r="O17" s="494">
        <v>-240330</v>
      </c>
      <c r="P17" s="494">
        <v>-170140</v>
      </c>
      <c r="Q17" s="43">
        <f t="shared" ref="Q17:Q19" si="4">SUM(E17:P17)</f>
        <v>-1879462</v>
      </c>
      <c r="R17" s="720"/>
    </row>
    <row r="18" spans="1:18">
      <c r="A18" s="711">
        <f t="shared" si="2"/>
        <v>10</v>
      </c>
      <c r="B18" s="858" t="s">
        <v>538</v>
      </c>
      <c r="C18" s="704"/>
      <c r="D18" s="859" t="s">
        <v>539</v>
      </c>
      <c r="E18" s="494">
        <v>55155.62</v>
      </c>
      <c r="F18" s="494">
        <v>240416.67</v>
      </c>
      <c r="G18" s="494">
        <v>219783.69</v>
      </c>
      <c r="H18" s="494">
        <v>220567.97</v>
      </c>
      <c r="I18" s="494">
        <v>201184.01</v>
      </c>
      <c r="J18" s="494">
        <v>227185.67</v>
      </c>
      <c r="K18" s="494">
        <v>249903.82</v>
      </c>
      <c r="L18" s="494">
        <v>295821.96000000002</v>
      </c>
      <c r="M18" s="494">
        <v>257065.94</v>
      </c>
      <c r="N18" s="494">
        <v>219440.4</v>
      </c>
      <c r="O18" s="494">
        <v>213365.73</v>
      </c>
      <c r="P18" s="494">
        <v>215295.18</v>
      </c>
      <c r="Q18" s="43">
        <f t="shared" si="4"/>
        <v>2615186.66</v>
      </c>
      <c r="R18" s="720"/>
    </row>
    <row r="19" spans="1:18">
      <c r="A19" s="711">
        <f t="shared" si="2"/>
        <v>11</v>
      </c>
      <c r="B19" s="858" t="s">
        <v>662</v>
      </c>
      <c r="C19" s="704"/>
      <c r="D19" s="859" t="s">
        <v>664</v>
      </c>
      <c r="E19" s="494">
        <v>0</v>
      </c>
      <c r="F19" s="494">
        <v>0</v>
      </c>
      <c r="G19" s="494">
        <v>0</v>
      </c>
      <c r="H19" s="494">
        <v>0</v>
      </c>
      <c r="I19" s="494">
        <v>-186885</v>
      </c>
      <c r="J19" s="494">
        <v>-48803</v>
      </c>
      <c r="K19" s="494">
        <v>-60049</v>
      </c>
      <c r="L19" s="494">
        <v>-58232</v>
      </c>
      <c r="M19" s="494">
        <v>-37508</v>
      </c>
      <c r="N19" s="494">
        <v>-77881</v>
      </c>
      <c r="O19" s="494">
        <v>-62711</v>
      </c>
      <c r="P19" s="494">
        <v>-67079</v>
      </c>
      <c r="Q19" s="43">
        <f t="shared" si="4"/>
        <v>-599148</v>
      </c>
      <c r="R19" s="720"/>
    </row>
    <row r="20" spans="1:18">
      <c r="A20" s="711">
        <f t="shared" si="2"/>
        <v>12</v>
      </c>
      <c r="B20" s="858" t="s">
        <v>648</v>
      </c>
      <c r="C20" s="704"/>
      <c r="D20" s="859" t="s">
        <v>650</v>
      </c>
      <c r="E20" s="494">
        <v>7693.25</v>
      </c>
      <c r="F20" s="494">
        <v>11914.12</v>
      </c>
      <c r="G20" s="494">
        <v>11914.12</v>
      </c>
      <c r="H20" s="494">
        <v>11914.12</v>
      </c>
      <c r="I20" s="494">
        <v>11914.12</v>
      </c>
      <c r="J20" s="494">
        <v>11914.12</v>
      </c>
      <c r="K20" s="494">
        <v>11825.53</v>
      </c>
      <c r="L20" s="494">
        <v>11825.53</v>
      </c>
      <c r="M20" s="494">
        <v>11825.53</v>
      </c>
      <c r="N20" s="494">
        <v>11825.53</v>
      </c>
      <c r="O20" s="494">
        <v>11825.53</v>
      </c>
      <c r="P20" s="494">
        <v>11825.53</v>
      </c>
      <c r="Q20" s="43">
        <f t="shared" ref="Q20:Q21" si="5">SUM(E20:P20)</f>
        <v>138217.03</v>
      </c>
      <c r="R20" s="720"/>
    </row>
    <row r="21" spans="1:18">
      <c r="A21" s="711">
        <f t="shared" si="2"/>
        <v>13</v>
      </c>
      <c r="B21" s="858" t="s">
        <v>649</v>
      </c>
      <c r="C21" s="704"/>
      <c r="D21" s="859" t="s">
        <v>651</v>
      </c>
      <c r="E21" s="494">
        <v>13029.94</v>
      </c>
      <c r="F21" s="494">
        <v>17448.990000000002</v>
      </c>
      <c r="G21" s="494">
        <v>17448.990000000002</v>
      </c>
      <c r="H21" s="494">
        <v>17448.990000000002</v>
      </c>
      <c r="I21" s="494">
        <v>17448.990000000002</v>
      </c>
      <c r="J21" s="494">
        <v>17448.990000000002</v>
      </c>
      <c r="K21" s="494">
        <v>18452.79</v>
      </c>
      <c r="L21" s="494">
        <v>18452.79</v>
      </c>
      <c r="M21" s="494">
        <v>18452.79</v>
      </c>
      <c r="N21" s="494">
        <v>18452.79</v>
      </c>
      <c r="O21" s="494">
        <v>18452.79</v>
      </c>
      <c r="P21" s="494">
        <v>18452.79</v>
      </c>
      <c r="Q21" s="43">
        <f t="shared" si="5"/>
        <v>210991.63000000006</v>
      </c>
      <c r="R21" s="720"/>
    </row>
    <row r="22" spans="1:18">
      <c r="A22" s="706"/>
      <c r="B22" s="707"/>
      <c r="C22" s="32"/>
      <c r="D22" s="33"/>
      <c r="E22" s="103"/>
      <c r="F22" s="103"/>
      <c r="G22" s="103"/>
      <c r="H22" s="103"/>
      <c r="I22" s="103"/>
      <c r="J22" s="103"/>
      <c r="K22" s="103"/>
      <c r="L22" s="103"/>
      <c r="M22" s="103"/>
      <c r="N22" s="103"/>
      <c r="O22" s="135"/>
      <c r="P22" s="134" t="s">
        <v>16</v>
      </c>
      <c r="Q22" s="882">
        <f>SUM(Q9:Q21)</f>
        <v>16299765.109999999</v>
      </c>
    </row>
    <row r="23" spans="1:18">
      <c r="Q23" s="727"/>
    </row>
    <row r="24" spans="1:18">
      <c r="B24" s="1015"/>
      <c r="C24" s="1015"/>
      <c r="P24" s="898" t="s">
        <v>702</v>
      </c>
      <c r="Q24" s="897">
        <f>'Page 20 - Revenues'!K18</f>
        <v>15779413.729999999</v>
      </c>
    </row>
    <row r="25" spans="1:18">
      <c r="P25" s="898" t="s">
        <v>704</v>
      </c>
      <c r="Q25" s="895">
        <f>Q24-Q22</f>
        <v>-520351.38000000082</v>
      </c>
    </row>
    <row r="26" spans="1:18">
      <c r="P26" s="898" t="s">
        <v>705</v>
      </c>
      <c r="Q26" s="901">
        <f>Q15</f>
        <v>520351.37999999995</v>
      </c>
    </row>
    <row r="27" spans="1:18" ht="13.5" thickBot="1">
      <c r="P27" s="696" t="s">
        <v>704</v>
      </c>
      <c r="Q27" s="902">
        <f>Q25+Q26</f>
        <v>-8.7311491370201111E-10</v>
      </c>
    </row>
    <row r="28" spans="1:18" ht="13.5" thickTop="1">
      <c r="Q28" s="897"/>
    </row>
    <row r="30" spans="1:18">
      <c r="N30" s="720"/>
      <c r="P30" s="866"/>
    </row>
    <row r="31" spans="1:18">
      <c r="P31" s="866"/>
    </row>
    <row r="33" spans="16:16">
      <c r="P33" s="867"/>
    </row>
    <row r="34" spans="16:16">
      <c r="P34" s="760"/>
    </row>
  </sheetData>
  <mergeCells count="6">
    <mergeCell ref="B24:C24"/>
    <mergeCell ref="A1:D1"/>
    <mergeCell ref="A2:D2"/>
    <mergeCell ref="A3:D3"/>
    <mergeCell ref="A4:D4"/>
    <mergeCell ref="B8:C8"/>
  </mergeCells>
  <pageMargins left="0.7" right="0.7" top="0.75" bottom="0.75" header="0.3" footer="0.3"/>
  <pageSetup scale="50" orientation="landscape" r:id="rId1"/>
  <headerFooter>
    <oddHeader>&amp;R&amp;10Attachment O Work Paper
Page 20b of 22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3"/>
  <sheetViews>
    <sheetView topLeftCell="A49" zoomScaleNormal="100" workbookViewId="0">
      <selection activeCell="A2" sqref="A2:J2"/>
    </sheetView>
  </sheetViews>
  <sheetFormatPr defaultRowHeight="15"/>
  <cols>
    <col min="1" max="4" width="8.88671875" style="525"/>
    <col min="5" max="5" width="12.44140625" style="525" customWidth="1"/>
    <col min="6" max="9" width="8.88671875" style="525"/>
    <col min="10" max="10" width="12.44140625" style="525" customWidth="1"/>
    <col min="11" max="16384" width="8.88671875" style="525"/>
  </cols>
  <sheetData>
    <row r="1" spans="1:22" ht="15.75">
      <c r="A1" s="1024" t="s">
        <v>0</v>
      </c>
      <c r="B1" s="1025"/>
      <c r="C1" s="1025"/>
      <c r="D1" s="1025"/>
      <c r="E1" s="1025"/>
      <c r="F1" s="1025"/>
      <c r="G1" s="1025"/>
      <c r="H1" s="1025"/>
      <c r="I1" s="1025"/>
      <c r="J1" s="1025"/>
      <c r="K1" s="194"/>
      <c r="L1" s="194"/>
      <c r="M1" s="194"/>
      <c r="N1" s="194"/>
      <c r="O1" s="194"/>
      <c r="P1" s="194"/>
      <c r="Q1" s="194"/>
      <c r="R1" s="194"/>
      <c r="S1" s="194"/>
      <c r="T1" s="194"/>
      <c r="U1" s="194"/>
      <c r="V1" s="194"/>
    </row>
    <row r="2" spans="1:22" ht="15.75">
      <c r="A2" s="1024" t="s">
        <v>590</v>
      </c>
      <c r="B2" s="1025"/>
      <c r="C2" s="1025"/>
      <c r="D2" s="1025"/>
      <c r="E2" s="1025"/>
      <c r="F2" s="1025"/>
      <c r="G2" s="1025"/>
      <c r="H2" s="1025"/>
      <c r="I2" s="1025"/>
      <c r="J2" s="1025"/>
      <c r="K2" s="891"/>
      <c r="L2" s="194"/>
      <c r="M2" s="194"/>
      <c r="N2" s="194"/>
      <c r="O2" s="194"/>
      <c r="P2" s="194"/>
      <c r="Q2" s="194"/>
      <c r="R2" s="194"/>
      <c r="S2" s="194"/>
      <c r="T2" s="194"/>
      <c r="U2" s="194"/>
      <c r="V2" s="194"/>
    </row>
    <row r="3" spans="1:22" ht="15.75">
      <c r="A3" s="1024" t="s">
        <v>655</v>
      </c>
      <c r="B3" s="1025"/>
      <c r="C3" s="1025"/>
      <c r="D3" s="1025"/>
      <c r="E3" s="1025"/>
      <c r="F3" s="1025"/>
      <c r="G3" s="1025"/>
      <c r="H3" s="1025"/>
      <c r="I3" s="1025"/>
      <c r="J3" s="1025"/>
      <c r="K3" s="194"/>
      <c r="L3" s="194"/>
      <c r="M3" s="194"/>
      <c r="N3" s="194"/>
      <c r="O3" s="194"/>
      <c r="P3" s="194"/>
      <c r="Q3" s="194"/>
      <c r="R3" s="194"/>
      <c r="S3" s="194"/>
      <c r="T3" s="194"/>
      <c r="U3" s="194"/>
      <c r="V3" s="194"/>
    </row>
    <row r="4" spans="1:22" ht="15.75">
      <c r="A4" s="194"/>
      <c r="B4" s="193"/>
      <c r="C4" s="192"/>
      <c r="D4" s="191"/>
      <c r="E4" s="190"/>
      <c r="F4" s="190"/>
      <c r="G4" s="189"/>
      <c r="H4" s="191"/>
      <c r="I4" s="191"/>
      <c r="J4" s="386"/>
      <c r="K4" s="194"/>
      <c r="L4" s="194"/>
      <c r="M4" s="194"/>
      <c r="N4" s="194"/>
      <c r="O4" s="194"/>
      <c r="P4" s="194"/>
      <c r="Q4" s="194"/>
      <c r="R4" s="194"/>
      <c r="S4" s="194"/>
      <c r="T4" s="194"/>
      <c r="U4" s="194"/>
      <c r="V4" s="194"/>
    </row>
    <row r="5" spans="1:22" ht="15.75">
      <c r="A5" s="188"/>
      <c r="B5" s="187"/>
      <c r="C5" s="187"/>
      <c r="D5" s="186" t="s">
        <v>1</v>
      </c>
      <c r="E5" s="185"/>
      <c r="F5" s="186" t="s">
        <v>2</v>
      </c>
      <c r="G5" s="186" t="s">
        <v>3</v>
      </c>
      <c r="H5" s="186" t="s">
        <v>4</v>
      </c>
      <c r="I5" s="186" t="s">
        <v>5</v>
      </c>
      <c r="J5" s="186" t="s">
        <v>7</v>
      </c>
      <c r="K5" s="184"/>
      <c r="L5" s="194"/>
      <c r="M5" s="194"/>
      <c r="N5" s="194"/>
      <c r="O5" s="194"/>
      <c r="P5" s="194"/>
      <c r="Q5" s="194"/>
      <c r="R5" s="194"/>
      <c r="S5" s="194"/>
      <c r="T5" s="194"/>
      <c r="U5" s="194"/>
      <c r="V5" s="194"/>
    </row>
    <row r="6" spans="1:22" ht="15.75">
      <c r="A6" s="183"/>
      <c r="B6" s="187"/>
      <c r="C6" s="187"/>
      <c r="D6" s="186"/>
      <c r="E6" s="185"/>
      <c r="F6" s="186"/>
      <c r="G6" s="186"/>
      <c r="H6" s="186"/>
      <c r="I6" s="186"/>
      <c r="J6" s="186"/>
      <c r="K6" s="184"/>
      <c r="L6" s="194"/>
      <c r="M6" s="194"/>
      <c r="N6" s="194"/>
      <c r="O6" s="194"/>
      <c r="P6" s="194"/>
      <c r="Q6" s="194"/>
      <c r="R6" s="194"/>
      <c r="S6" s="194"/>
      <c r="T6" s="194"/>
      <c r="U6" s="194"/>
      <c r="V6" s="194"/>
    </row>
    <row r="7" spans="1:22" ht="15.75">
      <c r="A7" s="182" t="s">
        <v>38</v>
      </c>
      <c r="B7" s="181"/>
      <c r="C7" s="180"/>
      <c r="D7" s="179"/>
      <c r="E7" s="178"/>
      <c r="F7" s="179"/>
      <c r="G7" s="179"/>
      <c r="H7" s="179"/>
      <c r="I7" s="179"/>
      <c r="J7" s="177"/>
      <c r="K7" s="184"/>
      <c r="L7" s="194"/>
      <c r="M7" s="194"/>
      <c r="N7" s="194"/>
      <c r="O7" s="194"/>
      <c r="P7" s="194"/>
      <c r="Q7" s="194"/>
      <c r="R7" s="194"/>
      <c r="S7" s="194"/>
      <c r="T7" s="194"/>
      <c r="U7" s="194"/>
      <c r="V7" s="194"/>
    </row>
    <row r="8" spans="1:22" ht="15.75">
      <c r="A8" s="176"/>
      <c r="B8" s="175"/>
      <c r="C8" s="187"/>
      <c r="D8" s="187"/>
      <c r="E8" s="187"/>
      <c r="F8" s="187"/>
      <c r="G8" s="187"/>
      <c r="H8" s="187"/>
      <c r="I8" s="187"/>
      <c r="J8" s="174"/>
      <c r="K8" s="194"/>
      <c r="L8" s="194"/>
      <c r="M8" s="194"/>
      <c r="N8" s="194"/>
      <c r="O8" s="194"/>
      <c r="P8" s="194"/>
      <c r="Q8" s="194"/>
      <c r="R8" s="194"/>
      <c r="S8" s="194"/>
      <c r="T8" s="194"/>
      <c r="U8" s="194"/>
      <c r="V8" s="194"/>
    </row>
    <row r="9" spans="1:22">
      <c r="A9" s="172">
        <v>1</v>
      </c>
      <c r="B9" s="175"/>
      <c r="C9" s="187"/>
      <c r="D9" s="171" t="s">
        <v>591</v>
      </c>
      <c r="E9" s="489"/>
      <c r="F9" s="187"/>
      <c r="G9" s="1021" t="s">
        <v>592</v>
      </c>
      <c r="H9" s="1022"/>
      <c r="I9" s="1023"/>
      <c r="J9" s="170">
        <v>1.5E-3</v>
      </c>
      <c r="K9" s="143"/>
      <c r="L9" s="488"/>
      <c r="M9" s="488"/>
      <c r="N9" s="488"/>
      <c r="O9" s="488"/>
      <c r="P9" s="488"/>
      <c r="Q9" s="488"/>
      <c r="R9" s="488"/>
      <c r="S9" s="488"/>
      <c r="T9" s="488"/>
      <c r="U9" s="488"/>
      <c r="V9" s="488"/>
    </row>
    <row r="10" spans="1:22" ht="15.75">
      <c r="A10" s="172">
        <v>2</v>
      </c>
      <c r="B10" s="175"/>
      <c r="C10" s="187"/>
      <c r="D10" s="171" t="s">
        <v>593</v>
      </c>
      <c r="E10" s="487">
        <v>0.35000000000000003</v>
      </c>
      <c r="F10" s="169"/>
      <c r="G10" s="187"/>
      <c r="H10" s="187"/>
      <c r="I10" s="187"/>
      <c r="J10" s="382"/>
      <c r="K10" s="194"/>
      <c r="L10" s="194"/>
      <c r="M10" s="194"/>
      <c r="N10" s="194"/>
      <c r="O10" s="194"/>
      <c r="P10" s="194"/>
      <c r="Q10" s="194"/>
      <c r="R10" s="194"/>
      <c r="S10" s="194"/>
      <c r="T10" s="194"/>
      <c r="U10" s="194"/>
      <c r="V10" s="194"/>
    </row>
    <row r="11" spans="1:22" ht="15.75">
      <c r="A11" s="172">
        <v>3</v>
      </c>
      <c r="B11" s="175"/>
      <c r="C11" s="187"/>
      <c r="D11" s="171" t="s">
        <v>594</v>
      </c>
      <c r="E11" s="487">
        <v>9.8000000000000004E-2</v>
      </c>
      <c r="F11" s="169"/>
      <c r="G11" s="187"/>
      <c r="H11" s="187"/>
      <c r="I11" s="187"/>
      <c r="J11" s="382"/>
      <c r="K11" s="194"/>
      <c r="L11" s="194"/>
      <c r="M11" s="194"/>
      <c r="N11" s="194"/>
      <c r="O11" s="194"/>
      <c r="P11" s="194"/>
      <c r="Q11" s="194"/>
      <c r="R11" s="194"/>
      <c r="S11" s="194"/>
      <c r="T11" s="194"/>
      <c r="U11" s="194"/>
      <c r="V11" s="194"/>
    </row>
    <row r="12" spans="1:22" ht="15.75">
      <c r="A12" s="172">
        <v>4</v>
      </c>
      <c r="B12" s="175"/>
      <c r="C12" s="187"/>
      <c r="D12" s="171" t="s">
        <v>595</v>
      </c>
      <c r="E12" s="487">
        <v>4.53E-2</v>
      </c>
      <c r="F12" s="169"/>
      <c r="G12" s="187"/>
      <c r="H12" s="187"/>
      <c r="I12" s="187"/>
      <c r="J12" s="382"/>
      <c r="K12" s="194"/>
      <c r="L12" s="194"/>
      <c r="M12" s="194"/>
    </row>
    <row r="13" spans="1:22" ht="15.75">
      <c r="A13" s="172">
        <v>5</v>
      </c>
      <c r="B13" s="175"/>
      <c r="C13" s="187"/>
      <c r="D13" s="187"/>
      <c r="E13" s="187"/>
      <c r="F13" s="187"/>
      <c r="G13" s="187"/>
      <c r="H13" s="187"/>
      <c r="I13" s="187"/>
      <c r="J13" s="382"/>
      <c r="K13" s="194"/>
      <c r="L13" s="194"/>
      <c r="M13" s="194"/>
    </row>
    <row r="14" spans="1:22" ht="15.75">
      <c r="A14" s="172">
        <v>6</v>
      </c>
      <c r="B14" s="175"/>
      <c r="C14" s="187"/>
      <c r="D14" s="188"/>
      <c r="E14" s="188"/>
      <c r="F14" s="188"/>
      <c r="G14" s="188"/>
      <c r="H14" s="188"/>
      <c r="I14" s="188"/>
      <c r="J14" s="486"/>
      <c r="K14" s="485"/>
      <c r="L14" s="194"/>
      <c r="M14" s="485"/>
    </row>
    <row r="15" spans="1:22" ht="15.75">
      <c r="A15" s="172">
        <v>7</v>
      </c>
      <c r="B15" s="175"/>
      <c r="C15" s="187"/>
      <c r="D15" s="187"/>
      <c r="E15" s="187"/>
      <c r="F15" s="187"/>
      <c r="G15" s="187"/>
      <c r="H15" s="187"/>
      <c r="I15" s="187"/>
      <c r="J15" s="382"/>
      <c r="K15" s="194"/>
      <c r="L15" s="194"/>
      <c r="M15" s="194"/>
    </row>
    <row r="16" spans="1:22" ht="15.75">
      <c r="A16" s="172">
        <v>8</v>
      </c>
      <c r="B16" s="175"/>
      <c r="C16" s="187"/>
      <c r="D16" s="187"/>
      <c r="E16" s="187"/>
      <c r="F16" s="168" t="s">
        <v>16</v>
      </c>
      <c r="G16" s="168" t="s">
        <v>596</v>
      </c>
      <c r="H16" s="168" t="s">
        <v>52</v>
      </c>
      <c r="I16" s="168" t="s">
        <v>53</v>
      </c>
      <c r="J16" s="382"/>
      <c r="K16" s="194"/>
      <c r="L16" s="194"/>
      <c r="M16" s="194"/>
    </row>
    <row r="17" spans="1:13" ht="15.75">
      <c r="A17" s="172">
        <v>9</v>
      </c>
      <c r="B17" s="175"/>
      <c r="C17" s="187"/>
      <c r="D17" s="187"/>
      <c r="E17" s="187"/>
      <c r="F17" s="171"/>
      <c r="G17" s="385"/>
      <c r="H17" s="385"/>
      <c r="I17" s="385"/>
      <c r="J17" s="563" t="s">
        <v>67</v>
      </c>
      <c r="K17" s="194"/>
      <c r="L17" s="194"/>
      <c r="M17" s="194"/>
    </row>
    <row r="18" spans="1:13" ht="15.75">
      <c r="A18" s="172">
        <v>10</v>
      </c>
      <c r="B18" s="1019" t="s">
        <v>597</v>
      </c>
      <c r="C18" s="1020"/>
      <c r="D18" s="484"/>
      <c r="E18" s="187"/>
      <c r="F18" s="385"/>
      <c r="G18" s="385"/>
      <c r="H18" s="385"/>
      <c r="I18" s="385"/>
      <c r="J18" s="382"/>
      <c r="K18" s="194"/>
      <c r="L18" s="194"/>
      <c r="M18" s="194"/>
    </row>
    <row r="19" spans="1:13" ht="15.75">
      <c r="A19" s="172">
        <v>11</v>
      </c>
      <c r="B19" s="175"/>
      <c r="C19" s="187"/>
      <c r="D19" s="483" t="s">
        <v>598</v>
      </c>
      <c r="E19" s="560"/>
      <c r="F19" s="385"/>
      <c r="G19" s="561">
        <v>1000</v>
      </c>
      <c r="H19" s="482">
        <v>1000</v>
      </c>
      <c r="I19" s="482">
        <v>1000</v>
      </c>
      <c r="J19" s="382"/>
      <c r="K19" s="194"/>
      <c r="L19" s="194"/>
      <c r="M19" s="194"/>
    </row>
    <row r="20" spans="1:13" ht="16.5" thickBot="1">
      <c r="A20" s="172">
        <v>12</v>
      </c>
      <c r="B20" s="175"/>
      <c r="C20" s="187"/>
      <c r="D20" s="483" t="s">
        <v>599</v>
      </c>
      <c r="E20" s="560"/>
      <c r="F20" s="385"/>
      <c r="G20" s="481">
        <v>98</v>
      </c>
      <c r="H20" s="558">
        <v>9.8000000000000004E-2</v>
      </c>
      <c r="I20" s="558">
        <f>E12</f>
        <v>4.53E-2</v>
      </c>
      <c r="J20" s="382"/>
      <c r="K20" s="194"/>
      <c r="L20" s="194"/>
      <c r="M20" s="194"/>
    </row>
    <row r="21" spans="1:13" ht="15.75">
      <c r="A21" s="172">
        <v>13</v>
      </c>
      <c r="B21" s="175"/>
      <c r="C21" s="187"/>
      <c r="D21" s="187"/>
      <c r="E21" s="187"/>
      <c r="F21" s="385"/>
      <c r="G21" s="559"/>
      <c r="H21" s="480"/>
      <c r="I21" s="171" t="s">
        <v>67</v>
      </c>
      <c r="J21" s="382"/>
      <c r="K21" s="194"/>
      <c r="L21" s="194"/>
      <c r="M21" s="194"/>
    </row>
    <row r="22" spans="1:13" ht="15.75">
      <c r="A22" s="172">
        <v>14</v>
      </c>
      <c r="B22" s="175"/>
      <c r="C22" s="187"/>
      <c r="D22" s="187"/>
      <c r="E22" s="187"/>
      <c r="F22" s="385"/>
      <c r="G22" s="479">
        <v>902</v>
      </c>
      <c r="H22" s="556">
        <f>H19*H20</f>
        <v>98</v>
      </c>
      <c r="I22" s="556">
        <f>I19*I20</f>
        <v>45.3</v>
      </c>
      <c r="J22" s="382"/>
      <c r="K22" s="194"/>
      <c r="L22" s="194"/>
      <c r="M22" s="194"/>
    </row>
    <row r="23" spans="1:13" ht="16.5" thickBot="1">
      <c r="A23" s="172">
        <v>15</v>
      </c>
      <c r="B23" s="175"/>
      <c r="C23" s="187"/>
      <c r="D23" s="483" t="s">
        <v>600</v>
      </c>
      <c r="E23" s="560"/>
      <c r="F23" s="181"/>
      <c r="G23" s="558">
        <v>0.35000000000000003</v>
      </c>
      <c r="H23" s="560"/>
      <c r="I23" s="385"/>
      <c r="J23" s="382"/>
      <c r="K23" s="194"/>
      <c r="L23" s="194"/>
      <c r="M23" s="194"/>
    </row>
    <row r="24" spans="1:13" ht="15.75">
      <c r="A24" s="172">
        <v>16</v>
      </c>
      <c r="B24" s="175"/>
      <c r="C24" s="187"/>
      <c r="D24" s="187"/>
      <c r="E24" s="187"/>
      <c r="F24" s="385"/>
      <c r="G24" s="559"/>
      <c r="H24" s="171" t="s">
        <v>67</v>
      </c>
      <c r="I24" s="385"/>
      <c r="J24" s="382"/>
      <c r="K24" s="194"/>
      <c r="L24" s="194"/>
      <c r="M24" s="194"/>
    </row>
    <row r="25" spans="1:13" ht="15.75">
      <c r="A25" s="172">
        <v>17</v>
      </c>
      <c r="B25" s="175"/>
      <c r="C25" s="187"/>
      <c r="D25" s="483" t="s">
        <v>601</v>
      </c>
      <c r="E25" s="560"/>
      <c r="F25" s="385"/>
      <c r="G25" s="557">
        <v>315.70000000000005</v>
      </c>
      <c r="H25" s="385"/>
      <c r="I25" s="385"/>
      <c r="J25" s="382"/>
      <c r="K25" s="194"/>
      <c r="L25" s="194"/>
      <c r="M25" s="194"/>
    </row>
    <row r="26" spans="1:13" ht="15.75">
      <c r="A26" s="172">
        <v>18</v>
      </c>
      <c r="B26" s="175"/>
      <c r="C26" s="187"/>
      <c r="D26" s="187"/>
      <c r="E26" s="187"/>
      <c r="F26" s="385"/>
      <c r="G26" s="385"/>
      <c r="H26" s="385"/>
      <c r="I26" s="385"/>
      <c r="J26" s="382"/>
      <c r="K26" s="194"/>
      <c r="L26" s="194"/>
      <c r="M26" s="194"/>
    </row>
    <row r="27" spans="1:13" ht="16.5" thickBot="1">
      <c r="A27" s="172">
        <v>19</v>
      </c>
      <c r="B27" s="175"/>
      <c r="C27" s="187"/>
      <c r="D27" s="483" t="s">
        <v>602</v>
      </c>
      <c r="E27" s="560"/>
      <c r="F27" s="478">
        <v>0.41370000000000007</v>
      </c>
      <c r="G27" s="478">
        <v>0.31570000000000004</v>
      </c>
      <c r="H27" s="558">
        <v>9.8000000000000004E-2</v>
      </c>
      <c r="I27" s="477">
        <f>I22/1000</f>
        <v>4.53E-2</v>
      </c>
      <c r="J27" s="382"/>
      <c r="K27" s="194"/>
      <c r="L27" s="194"/>
      <c r="M27" s="194"/>
    </row>
    <row r="28" spans="1:13" ht="15.75">
      <c r="A28" s="172">
        <v>20</v>
      </c>
      <c r="B28" s="175"/>
      <c r="C28" s="187"/>
      <c r="D28" s="187"/>
      <c r="E28" s="187"/>
      <c r="F28" s="554"/>
      <c r="G28" s="187"/>
      <c r="H28" s="187"/>
      <c r="I28" s="554" t="s">
        <v>67</v>
      </c>
      <c r="J28" s="382"/>
      <c r="K28" s="194"/>
      <c r="L28" s="194"/>
    </row>
    <row r="29" spans="1:13" ht="15.75">
      <c r="A29" s="172">
        <v>21</v>
      </c>
      <c r="B29" s="175"/>
      <c r="C29" s="187"/>
      <c r="D29" s="187"/>
      <c r="E29" s="187"/>
      <c r="F29" s="187"/>
      <c r="G29" s="187"/>
      <c r="H29" s="187"/>
      <c r="I29" s="187"/>
      <c r="J29" s="382"/>
      <c r="K29" s="194"/>
      <c r="L29" s="194"/>
    </row>
    <row r="30" spans="1:13" ht="15.75" thickBot="1">
      <c r="A30" s="172">
        <v>22</v>
      </c>
      <c r="B30" s="175"/>
      <c r="C30" s="187"/>
      <c r="D30" s="483" t="s">
        <v>603</v>
      </c>
      <c r="E30" s="180"/>
      <c r="F30" s="560"/>
      <c r="G30" s="171" t="s">
        <v>604</v>
      </c>
      <c r="H30" s="181"/>
      <c r="I30" s="560"/>
      <c r="J30" s="131">
        <f>1/(1-F27)</f>
        <v>1.7056114617090228</v>
      </c>
      <c r="K30" s="555"/>
      <c r="L30" s="173"/>
    </row>
    <row r="31" spans="1:13">
      <c r="A31" s="172">
        <v>23</v>
      </c>
      <c r="B31" s="175"/>
      <c r="C31" s="187"/>
      <c r="D31" s="187"/>
      <c r="E31" s="187"/>
      <c r="F31" s="187"/>
      <c r="G31" s="187"/>
      <c r="H31" s="187"/>
      <c r="I31" s="187"/>
      <c r="J31" s="476"/>
      <c r="K31" s="184"/>
      <c r="L31" s="173"/>
    </row>
    <row r="32" spans="1:13" ht="15.75">
      <c r="A32" s="172">
        <v>24</v>
      </c>
      <c r="B32" s="175"/>
      <c r="C32" s="187"/>
      <c r="D32" s="187"/>
      <c r="E32" s="187"/>
      <c r="F32" s="187"/>
      <c r="G32" s="187"/>
      <c r="H32" s="187"/>
      <c r="I32" s="187"/>
      <c r="J32" s="382"/>
      <c r="K32" s="194"/>
      <c r="L32" s="194"/>
    </row>
    <row r="33" spans="1:12" ht="15.75">
      <c r="A33" s="172">
        <v>25</v>
      </c>
      <c r="B33" s="175"/>
      <c r="C33" s="187"/>
      <c r="D33" s="187"/>
      <c r="E33" s="187"/>
      <c r="F33" s="187"/>
      <c r="G33" s="187"/>
      <c r="H33" s="187"/>
      <c r="I33" s="187"/>
      <c r="J33" s="382"/>
      <c r="K33" s="475"/>
      <c r="L33" s="194"/>
    </row>
    <row r="34" spans="1:12" ht="15.75">
      <c r="A34" s="172">
        <v>26</v>
      </c>
      <c r="B34" s="1019" t="s">
        <v>605</v>
      </c>
      <c r="C34" s="1020"/>
      <c r="D34" s="560"/>
      <c r="E34" s="187"/>
      <c r="F34" s="187"/>
      <c r="G34" s="187"/>
      <c r="H34" s="187"/>
      <c r="I34" s="187"/>
      <c r="J34" s="382"/>
      <c r="K34" s="475"/>
      <c r="L34" s="194"/>
    </row>
    <row r="35" spans="1:12" ht="15.75">
      <c r="A35" s="172">
        <v>27</v>
      </c>
      <c r="B35" s="175"/>
      <c r="C35" s="187"/>
      <c r="D35" s="483" t="s">
        <v>598</v>
      </c>
      <c r="E35" s="560"/>
      <c r="F35" s="385"/>
      <c r="G35" s="132">
        <f>G19</f>
        <v>1000</v>
      </c>
      <c r="H35" s="549"/>
      <c r="I35" s="132">
        <f>H19</f>
        <v>1000</v>
      </c>
      <c r="J35" s="382"/>
      <c r="K35" s="194"/>
      <c r="L35" s="194"/>
    </row>
    <row r="36" spans="1:12" ht="16.5" thickBot="1">
      <c r="A36" s="172">
        <v>28</v>
      </c>
      <c r="B36" s="175"/>
      <c r="C36" s="187"/>
      <c r="D36" s="483" t="s">
        <v>606</v>
      </c>
      <c r="E36" s="560"/>
      <c r="F36" s="385"/>
      <c r="G36" s="553">
        <f>I41</f>
        <v>45.3</v>
      </c>
      <c r="H36" s="385"/>
      <c r="I36" s="556"/>
      <c r="J36" s="382"/>
      <c r="K36" s="194"/>
      <c r="L36" s="194"/>
    </row>
    <row r="37" spans="1:12" ht="15.75">
      <c r="A37" s="172">
        <v>29</v>
      </c>
      <c r="B37" s="175"/>
      <c r="C37" s="187"/>
      <c r="D37" s="187"/>
      <c r="E37" s="187"/>
      <c r="F37" s="385"/>
      <c r="G37" s="559"/>
      <c r="H37" s="385"/>
      <c r="I37" s="385"/>
      <c r="J37" s="382"/>
      <c r="K37" s="194"/>
      <c r="L37" s="194"/>
    </row>
    <row r="38" spans="1:12" ht="15.75">
      <c r="A38" s="172">
        <v>30</v>
      </c>
      <c r="B38" s="175"/>
      <c r="C38" s="187"/>
      <c r="D38" s="187"/>
      <c r="E38" s="187"/>
      <c r="F38" s="385"/>
      <c r="G38" s="556">
        <f>G35-G36</f>
        <v>954.7</v>
      </c>
      <c r="H38" s="385"/>
      <c r="I38" s="474">
        <f>I35-I36</f>
        <v>1000</v>
      </c>
      <c r="J38" s="382"/>
      <c r="K38" s="194"/>
      <c r="L38" s="194"/>
    </row>
    <row r="39" spans="1:12" ht="16.5" thickBot="1">
      <c r="A39" s="172">
        <v>31</v>
      </c>
      <c r="B39" s="175"/>
      <c r="C39" s="187"/>
      <c r="D39" s="483" t="s">
        <v>600</v>
      </c>
      <c r="E39" s="560"/>
      <c r="F39" s="385"/>
      <c r="G39" s="558">
        <v>0.35000000000000003</v>
      </c>
      <c r="H39" s="385"/>
      <c r="I39" s="558">
        <f>E12</f>
        <v>4.53E-2</v>
      </c>
      <c r="J39" s="382"/>
      <c r="K39" s="194"/>
      <c r="L39" s="194"/>
    </row>
    <row r="40" spans="1:12" ht="15.75">
      <c r="A40" s="172">
        <v>32</v>
      </c>
      <c r="B40" s="175"/>
      <c r="C40" s="187"/>
      <c r="D40" s="187"/>
      <c r="E40" s="187"/>
      <c r="F40" s="385"/>
      <c r="G40" s="559"/>
      <c r="H40" s="385"/>
      <c r="I40" s="480"/>
      <c r="J40" s="382"/>
      <c r="K40" s="194"/>
      <c r="L40" s="194"/>
    </row>
    <row r="41" spans="1:12" ht="15.75">
      <c r="A41" s="172">
        <v>33</v>
      </c>
      <c r="B41" s="175"/>
      <c r="C41" s="187"/>
      <c r="D41" s="483" t="s">
        <v>601</v>
      </c>
      <c r="E41" s="560"/>
      <c r="F41" s="385"/>
      <c r="G41" s="556">
        <f>G38*G39</f>
        <v>334.14500000000004</v>
      </c>
      <c r="H41" s="385"/>
      <c r="I41" s="556">
        <f>I39*I38</f>
        <v>45.3</v>
      </c>
      <c r="J41" s="382"/>
      <c r="K41" s="194"/>
      <c r="L41" s="194"/>
    </row>
    <row r="42" spans="1:12" ht="15.75">
      <c r="A42" s="172">
        <v>34</v>
      </c>
      <c r="B42" s="175"/>
      <c r="C42" s="187"/>
      <c r="D42" s="187"/>
      <c r="E42" s="187"/>
      <c r="F42" s="385"/>
      <c r="G42" s="385"/>
      <c r="H42" s="385"/>
      <c r="I42" s="385"/>
      <c r="J42" s="382"/>
      <c r="K42" s="194"/>
      <c r="L42" s="194"/>
    </row>
    <row r="43" spans="1:12" ht="16.5" thickBot="1">
      <c r="A43" s="172">
        <v>35</v>
      </c>
      <c r="B43" s="175"/>
      <c r="C43" s="187"/>
      <c r="D43" s="483" t="s">
        <v>607</v>
      </c>
      <c r="E43" s="560"/>
      <c r="F43" s="478">
        <f>SUM(G43:I43)</f>
        <v>0.37944500000000003</v>
      </c>
      <c r="G43" s="478">
        <f>G41/1000</f>
        <v>0.33414500000000003</v>
      </c>
      <c r="H43" s="385"/>
      <c r="I43" s="551">
        <f>I41/1000</f>
        <v>4.53E-2</v>
      </c>
      <c r="J43" s="382"/>
      <c r="K43" s="194"/>
      <c r="L43" s="194"/>
    </row>
    <row r="44" spans="1:12" ht="15.75">
      <c r="A44" s="172">
        <v>36</v>
      </c>
      <c r="B44" s="175"/>
      <c r="C44" s="187"/>
      <c r="D44" s="187"/>
      <c r="E44" s="187"/>
      <c r="F44" s="554"/>
      <c r="G44" s="187"/>
      <c r="H44" s="385"/>
      <c r="I44" s="554" t="s">
        <v>67</v>
      </c>
      <c r="J44" s="382"/>
      <c r="K44" s="194"/>
      <c r="L44" s="194"/>
    </row>
    <row r="45" spans="1:12" ht="15.75">
      <c r="A45" s="172">
        <v>37</v>
      </c>
      <c r="B45" s="175"/>
      <c r="C45" s="187"/>
      <c r="D45" s="187"/>
      <c r="E45" s="187"/>
      <c r="F45" s="187"/>
      <c r="G45" s="187"/>
      <c r="H45" s="187"/>
      <c r="I45" s="187"/>
      <c r="J45" s="382"/>
      <c r="K45" s="194"/>
      <c r="L45" s="194"/>
    </row>
    <row r="46" spans="1:12" ht="15.75" thickBot="1">
      <c r="A46" s="172">
        <v>38</v>
      </c>
      <c r="B46" s="175"/>
      <c r="C46" s="187"/>
      <c r="D46" s="483" t="s">
        <v>603</v>
      </c>
      <c r="E46" s="180"/>
      <c r="F46" s="560"/>
      <c r="G46" s="171" t="s">
        <v>604</v>
      </c>
      <c r="H46" s="181"/>
      <c r="I46" s="560"/>
      <c r="J46" s="131">
        <f>1/(1-F43)</f>
        <v>1.6114607085592736</v>
      </c>
      <c r="K46" s="555"/>
      <c r="L46" s="173"/>
    </row>
    <row r="47" spans="1:12">
      <c r="A47" s="172">
        <v>39</v>
      </c>
      <c r="B47" s="175"/>
      <c r="C47" s="187"/>
      <c r="D47" s="187"/>
      <c r="E47" s="187"/>
      <c r="F47" s="187"/>
      <c r="G47" s="187"/>
      <c r="H47" s="187"/>
      <c r="I47" s="187"/>
      <c r="J47" s="563"/>
      <c r="K47" s="184"/>
      <c r="L47" s="173"/>
    </row>
    <row r="48" spans="1:12" ht="15.75">
      <c r="A48" s="172">
        <v>40</v>
      </c>
      <c r="B48" s="175"/>
      <c r="C48" s="187"/>
      <c r="D48" s="187"/>
      <c r="E48" s="187"/>
      <c r="F48" s="187"/>
      <c r="G48" s="187"/>
      <c r="H48" s="187"/>
      <c r="I48" s="187"/>
      <c r="J48" s="382"/>
      <c r="K48" s="194"/>
      <c r="L48" s="194"/>
    </row>
    <row r="49" spans="1:17" ht="15.75">
      <c r="A49" s="172">
        <v>41</v>
      </c>
      <c r="B49" s="175"/>
      <c r="C49" s="187"/>
      <c r="D49" s="187"/>
      <c r="E49" s="187"/>
      <c r="F49" s="187"/>
      <c r="G49" s="187"/>
      <c r="H49" s="187"/>
      <c r="I49" s="187"/>
      <c r="J49" s="382"/>
      <c r="K49" s="194"/>
      <c r="L49" s="194"/>
    </row>
    <row r="50" spans="1:17" ht="15.75">
      <c r="A50" s="172">
        <v>42</v>
      </c>
      <c r="B50" s="1019" t="s">
        <v>608</v>
      </c>
      <c r="C50" s="1020"/>
      <c r="D50" s="560"/>
      <c r="E50" s="187"/>
      <c r="F50" s="187"/>
      <c r="G50" s="187"/>
      <c r="H50" s="187"/>
      <c r="I50" s="187"/>
      <c r="J50" s="382"/>
      <c r="K50" s="194"/>
      <c r="L50" s="194"/>
    </row>
    <row r="51" spans="1:17" ht="16.5" thickBot="1">
      <c r="A51" s="172">
        <v>43</v>
      </c>
      <c r="B51" s="175"/>
      <c r="C51" s="187"/>
      <c r="D51" s="483" t="s">
        <v>609</v>
      </c>
      <c r="E51" s="560"/>
      <c r="F51" s="558">
        <v>0.35000000000000003</v>
      </c>
      <c r="G51" s="558">
        <v>0.35000000000000003</v>
      </c>
      <c r="H51" s="1021" t="s">
        <v>610</v>
      </c>
      <c r="I51" s="1022"/>
      <c r="J51" s="1023"/>
      <c r="K51" s="194"/>
      <c r="L51" s="194"/>
    </row>
    <row r="52" spans="1:17" ht="15.75">
      <c r="A52" s="172">
        <v>44</v>
      </c>
      <c r="B52" s="175"/>
      <c r="C52" s="187"/>
      <c r="D52" s="187"/>
      <c r="E52" s="187"/>
      <c r="F52" s="554"/>
      <c r="G52" s="187"/>
      <c r="H52" s="554" t="s">
        <v>67</v>
      </c>
      <c r="I52" s="187"/>
      <c r="J52" s="382"/>
      <c r="K52" s="194"/>
      <c r="L52" s="194"/>
    </row>
    <row r="53" spans="1:17" ht="15.75">
      <c r="A53" s="172">
        <v>45</v>
      </c>
      <c r="B53" s="175"/>
      <c r="C53" s="187"/>
      <c r="D53" s="187"/>
      <c r="E53" s="187"/>
      <c r="F53" s="187"/>
      <c r="G53" s="187"/>
      <c r="H53" s="187"/>
      <c r="I53" s="187"/>
      <c r="J53" s="382"/>
      <c r="K53" s="194"/>
      <c r="L53" s="194"/>
    </row>
    <row r="54" spans="1:17" ht="15.75">
      <c r="A54" s="172">
        <v>46</v>
      </c>
      <c r="B54" s="175"/>
      <c r="C54" s="187"/>
      <c r="D54" s="552" t="s">
        <v>611</v>
      </c>
      <c r="E54" s="473"/>
      <c r="F54" s="473"/>
      <c r="G54" s="472"/>
      <c r="H54" s="187"/>
      <c r="I54" s="187"/>
      <c r="J54" s="382"/>
      <c r="K54" s="194"/>
      <c r="L54" s="194"/>
    </row>
    <row r="55" spans="1:17" ht="15.75">
      <c r="A55" s="172">
        <v>47</v>
      </c>
      <c r="B55" s="175"/>
      <c r="C55" s="187"/>
      <c r="D55" s="167" t="s">
        <v>612</v>
      </c>
      <c r="E55" s="187"/>
      <c r="F55" s="187"/>
      <c r="G55" s="382"/>
      <c r="H55" s="187"/>
      <c r="I55" s="187"/>
      <c r="J55" s="382"/>
      <c r="K55" s="194"/>
      <c r="L55" s="194"/>
    </row>
    <row r="56" spans="1:17" ht="15.75">
      <c r="A56" s="172">
        <v>48</v>
      </c>
      <c r="B56" s="175"/>
      <c r="C56" s="187"/>
      <c r="D56" s="175"/>
      <c r="E56" s="187"/>
      <c r="F56" s="187"/>
      <c r="G56" s="382"/>
      <c r="H56" s="187"/>
      <c r="I56" s="187"/>
      <c r="J56" s="382"/>
      <c r="K56" s="194"/>
      <c r="L56" s="194"/>
    </row>
    <row r="57" spans="1:17" ht="15.75">
      <c r="A57" s="172">
        <v>49</v>
      </c>
      <c r="B57" s="175"/>
      <c r="C57" s="187"/>
      <c r="D57" s="167" t="s">
        <v>613</v>
      </c>
      <c r="E57" s="187"/>
      <c r="F57" s="187"/>
      <c r="G57" s="382"/>
      <c r="H57" s="187"/>
      <c r="I57" s="187"/>
      <c r="J57" s="382"/>
      <c r="K57" s="194"/>
      <c r="L57" s="194"/>
    </row>
    <row r="58" spans="1:17" ht="15.75">
      <c r="A58" s="172">
        <v>50</v>
      </c>
      <c r="B58" s="175"/>
      <c r="C58" s="187"/>
      <c r="D58" s="167" t="s">
        <v>614</v>
      </c>
      <c r="E58" s="187"/>
      <c r="F58" s="187"/>
      <c r="G58" s="382"/>
      <c r="H58" s="187"/>
      <c r="I58" s="187"/>
      <c r="J58" s="382"/>
      <c r="K58" s="194"/>
      <c r="L58" s="194"/>
    </row>
    <row r="59" spans="1:17" ht="15.75">
      <c r="A59" s="172">
        <v>51</v>
      </c>
      <c r="B59" s="175"/>
      <c r="C59" s="187"/>
      <c r="D59" s="548">
        <v>0</v>
      </c>
      <c r="E59" s="550" t="s">
        <v>615</v>
      </c>
      <c r="F59" s="187"/>
      <c r="G59" s="382"/>
      <c r="H59" s="187"/>
      <c r="I59" s="187"/>
      <c r="J59" s="382"/>
      <c r="K59" s="194"/>
      <c r="L59" s="194"/>
    </row>
    <row r="60" spans="1:17" ht="15.75">
      <c r="A60" s="172">
        <v>52</v>
      </c>
      <c r="B60" s="175"/>
      <c r="C60" s="187"/>
      <c r="D60" s="471">
        <v>0.35000000000000003</v>
      </c>
      <c r="E60" s="554" t="s">
        <v>616</v>
      </c>
      <c r="F60" s="187"/>
      <c r="G60" s="382"/>
      <c r="H60" s="187"/>
      <c r="I60" s="187"/>
      <c r="J60" s="382"/>
      <c r="K60" s="194"/>
      <c r="L60" s="194"/>
      <c r="M60" s="194"/>
      <c r="N60" s="194"/>
      <c r="O60" s="194"/>
      <c r="P60" s="194"/>
      <c r="Q60" s="194"/>
    </row>
    <row r="61" spans="1:17" ht="15.75">
      <c r="A61" s="172">
        <v>53</v>
      </c>
      <c r="B61" s="175"/>
      <c r="C61" s="187"/>
      <c r="D61" s="175"/>
      <c r="E61" s="187"/>
      <c r="F61" s="187"/>
      <c r="G61" s="382"/>
      <c r="H61" s="187"/>
      <c r="I61" s="187"/>
      <c r="J61" s="382"/>
      <c r="K61" s="194"/>
      <c r="L61" s="194"/>
      <c r="M61" s="194"/>
      <c r="N61" s="194"/>
      <c r="O61" s="194"/>
      <c r="P61" s="194"/>
      <c r="Q61" s="194"/>
    </row>
    <row r="62" spans="1:17" ht="15.75">
      <c r="A62" s="172">
        <v>54</v>
      </c>
      <c r="B62" s="175"/>
      <c r="C62" s="187"/>
      <c r="D62" s="175"/>
      <c r="E62" s="554" t="s">
        <v>617</v>
      </c>
      <c r="F62" s="187"/>
      <c r="G62" s="382"/>
      <c r="H62" s="187"/>
      <c r="I62" s="187"/>
      <c r="J62" s="382"/>
      <c r="K62" s="194"/>
      <c r="L62" s="194"/>
      <c r="M62" s="194"/>
      <c r="N62" s="194"/>
      <c r="O62" s="194"/>
      <c r="P62" s="194"/>
      <c r="Q62" s="194"/>
    </row>
    <row r="63" spans="1:17" ht="15.75">
      <c r="A63" s="172">
        <v>55</v>
      </c>
      <c r="B63" s="175"/>
      <c r="C63" s="187"/>
      <c r="D63" s="175"/>
      <c r="E63" s="554" t="s">
        <v>618</v>
      </c>
      <c r="F63" s="187"/>
      <c r="G63" s="382"/>
      <c r="H63" s="187"/>
      <c r="I63" s="187"/>
      <c r="J63" s="382"/>
      <c r="K63" s="194"/>
      <c r="L63" s="194"/>
      <c r="M63" s="194"/>
      <c r="N63" s="194"/>
      <c r="O63" s="194"/>
      <c r="P63" s="194"/>
      <c r="Q63" s="194"/>
    </row>
    <row r="64" spans="1:17" ht="15.75">
      <c r="A64" s="172">
        <v>56</v>
      </c>
      <c r="B64" s="175"/>
      <c r="C64" s="187"/>
      <c r="D64" s="175"/>
      <c r="E64" s="554" t="s">
        <v>619</v>
      </c>
      <c r="F64" s="187"/>
      <c r="G64" s="382"/>
      <c r="H64" s="187"/>
      <c r="I64" s="187"/>
      <c r="J64" s="382"/>
      <c r="K64" s="194"/>
      <c r="L64" s="194"/>
      <c r="M64" s="194"/>
      <c r="N64" s="194"/>
      <c r="O64" s="194"/>
      <c r="P64" s="194"/>
      <c r="Q64" s="194"/>
    </row>
    <row r="65" spans="1:17" ht="15.75">
      <c r="A65" s="172">
        <v>57</v>
      </c>
      <c r="B65" s="175"/>
      <c r="C65" s="187"/>
      <c r="D65" s="175"/>
      <c r="E65" s="554" t="s">
        <v>620</v>
      </c>
      <c r="F65" s="187"/>
      <c r="G65" s="382"/>
      <c r="H65" s="187"/>
      <c r="I65" s="187"/>
      <c r="J65" s="382"/>
      <c r="K65" s="194"/>
      <c r="L65" s="194"/>
      <c r="M65" s="194"/>
      <c r="N65" s="194"/>
      <c r="O65" s="194"/>
      <c r="P65" s="194"/>
      <c r="Q65" s="194"/>
    </row>
    <row r="66" spans="1:17" ht="15.75">
      <c r="A66" s="172">
        <v>58</v>
      </c>
      <c r="B66" s="175"/>
      <c r="C66" s="187"/>
      <c r="D66" s="175"/>
      <c r="E66" s="554" t="s">
        <v>621</v>
      </c>
      <c r="F66" s="187"/>
      <c r="G66" s="382"/>
      <c r="H66" s="187"/>
      <c r="I66" s="187"/>
      <c r="J66" s="382"/>
      <c r="K66" s="194"/>
      <c r="L66" s="194"/>
      <c r="M66" s="194"/>
      <c r="N66" s="194"/>
      <c r="O66" s="194"/>
      <c r="P66" s="194"/>
      <c r="Q66" s="194"/>
    </row>
    <row r="67" spans="1:17" ht="16.5" thickBot="1">
      <c r="A67" s="172">
        <v>59</v>
      </c>
      <c r="B67" s="175"/>
      <c r="C67" s="187"/>
      <c r="D67" s="166"/>
      <c r="E67" s="383" t="s">
        <v>622</v>
      </c>
      <c r="F67" s="470"/>
      <c r="G67" s="469"/>
      <c r="H67" s="187"/>
      <c r="I67" s="187"/>
      <c r="J67" s="131">
        <f>1/(1-J9-((1-J9)*F51))</f>
        <v>1.5407726975078002</v>
      </c>
      <c r="K67" s="555"/>
      <c r="L67" s="173"/>
      <c r="M67" s="194"/>
      <c r="N67" s="194"/>
      <c r="O67" s="194"/>
      <c r="P67" s="194"/>
      <c r="Q67" s="194"/>
    </row>
    <row r="68" spans="1:17" ht="15.75">
      <c r="A68" s="172">
        <v>60</v>
      </c>
      <c r="B68" s="175"/>
      <c r="C68" s="187"/>
      <c r="D68" s="187"/>
      <c r="E68" s="187"/>
      <c r="F68" s="187"/>
      <c r="G68" s="187"/>
      <c r="H68" s="187"/>
      <c r="I68" s="187"/>
      <c r="J68" s="382"/>
      <c r="K68" s="165"/>
      <c r="L68" s="173"/>
      <c r="M68" s="194"/>
      <c r="N68" s="194"/>
      <c r="O68" s="194"/>
      <c r="P68" s="194"/>
      <c r="Q68" s="194"/>
    </row>
    <row r="69" spans="1:17" ht="15.75">
      <c r="A69" s="172">
        <v>61</v>
      </c>
      <c r="B69" s="1019" t="s">
        <v>623</v>
      </c>
      <c r="C69" s="1020"/>
      <c r="D69" s="180"/>
      <c r="E69" s="381"/>
      <c r="F69" s="385"/>
      <c r="G69" s="168" t="s">
        <v>596</v>
      </c>
      <c r="H69" s="468" t="s">
        <v>52</v>
      </c>
      <c r="I69" s="168" t="s">
        <v>53</v>
      </c>
      <c r="J69" s="382"/>
      <c r="K69" s="194"/>
      <c r="L69" s="194"/>
      <c r="M69" s="194"/>
      <c r="N69" s="194"/>
      <c r="O69" s="194"/>
      <c r="P69" s="194"/>
      <c r="Q69" s="194"/>
    </row>
    <row r="70" spans="1:17" ht="15.75" thickBot="1">
      <c r="A70" s="172">
        <v>62</v>
      </c>
      <c r="B70" s="175"/>
      <c r="C70" s="187"/>
      <c r="D70" s="483" t="s">
        <v>624</v>
      </c>
      <c r="E70" s="560"/>
      <c r="F70" s="467">
        <f>'Page 21a - Income Tax Rate Calc'!G27</f>
        <v>0.39100000000000001</v>
      </c>
      <c r="G70" s="164">
        <f>'Page 21a - Income Tax Rate Calc'!D27</f>
        <v>0.32800000000000001</v>
      </c>
      <c r="H70" s="164">
        <f>'Page 21a - Income Tax Rate Calc'!E27</f>
        <v>4.4999999999999998E-2</v>
      </c>
      <c r="I70" s="164">
        <f>'Page 21a - Income Tax Rate Calc'!F27</f>
        <v>1.7999999999999999E-2</v>
      </c>
      <c r="J70" s="380" t="s">
        <v>625</v>
      </c>
      <c r="K70" s="143"/>
      <c r="L70" s="488"/>
      <c r="M70" s="488"/>
      <c r="N70" s="488"/>
      <c r="O70" s="488"/>
      <c r="P70" s="488"/>
      <c r="Q70" s="488"/>
    </row>
    <row r="71" spans="1:17">
      <c r="A71" s="172">
        <v>63</v>
      </c>
      <c r="B71" s="175"/>
      <c r="C71" s="187"/>
      <c r="D71" s="187"/>
      <c r="E71" s="187"/>
      <c r="F71" s="554"/>
      <c r="G71" s="187"/>
      <c r="H71" s="187"/>
      <c r="I71" s="187"/>
      <c r="J71" s="563" t="s">
        <v>67</v>
      </c>
      <c r="K71" s="488"/>
      <c r="L71" s="488"/>
      <c r="M71" s="488"/>
      <c r="N71" s="488"/>
      <c r="O71" s="488"/>
      <c r="P71" s="488"/>
      <c r="Q71" s="488"/>
    </row>
    <row r="72" spans="1:17" ht="15.75">
      <c r="A72" s="172">
        <v>64</v>
      </c>
      <c r="B72" s="175"/>
      <c r="C72" s="187"/>
      <c r="D72" s="187"/>
      <c r="E72" s="187"/>
      <c r="F72" s="187"/>
      <c r="G72" s="187"/>
      <c r="H72" s="187"/>
      <c r="I72" s="187"/>
      <c r="J72" s="382"/>
      <c r="K72" s="194"/>
      <c r="L72" s="194"/>
      <c r="M72" s="194"/>
      <c r="N72" s="194"/>
      <c r="O72" s="194"/>
      <c r="P72" s="194"/>
      <c r="Q72" s="194"/>
    </row>
    <row r="73" spans="1:17" ht="16.5" thickBot="1">
      <c r="A73" s="172">
        <v>65</v>
      </c>
      <c r="B73" s="175"/>
      <c r="C73" s="187"/>
      <c r="D73" s="483" t="s">
        <v>603</v>
      </c>
      <c r="E73" s="180"/>
      <c r="F73" s="180"/>
      <c r="G73" s="171" t="s">
        <v>604</v>
      </c>
      <c r="H73" s="180"/>
      <c r="I73" s="560"/>
      <c r="J73" s="131">
        <f>1/(1-F70)</f>
        <v>1.6420361247947455</v>
      </c>
      <c r="K73" s="466"/>
      <c r="L73" s="194"/>
      <c r="M73" s="194"/>
      <c r="N73" s="194"/>
      <c r="O73" s="194"/>
      <c r="P73" s="194"/>
      <c r="Q73" s="194"/>
    </row>
    <row r="74" spans="1:17" ht="15.75">
      <c r="A74" s="465"/>
      <c r="B74" s="470"/>
      <c r="C74" s="470"/>
      <c r="D74" s="470"/>
      <c r="E74" s="470"/>
      <c r="F74" s="470"/>
      <c r="G74" s="470"/>
      <c r="H74" s="470"/>
      <c r="I74" s="470"/>
      <c r="J74" s="163"/>
      <c r="K74" s="379" t="s">
        <v>67</v>
      </c>
      <c r="L74" s="194"/>
      <c r="M74" s="194"/>
      <c r="N74" s="194"/>
      <c r="O74" s="194"/>
      <c r="P74" s="194"/>
      <c r="Q74" s="194"/>
    </row>
    <row r="75" spans="1:17" ht="15.75">
      <c r="A75" s="188"/>
      <c r="B75" s="194"/>
      <c r="C75" s="194"/>
      <c r="D75" s="194"/>
      <c r="E75" s="194"/>
      <c r="F75" s="194"/>
      <c r="G75" s="194"/>
      <c r="H75" s="194"/>
      <c r="I75" s="187"/>
      <c r="J75" s="187"/>
      <c r="K75" s="194"/>
      <c r="L75" s="194"/>
      <c r="M75" s="194"/>
      <c r="N75" s="194"/>
      <c r="O75" s="194"/>
      <c r="P75" s="194"/>
      <c r="Q75" s="194"/>
    </row>
    <row r="76" spans="1:17" ht="15.75">
      <c r="A76" s="194"/>
      <c r="B76" s="547"/>
      <c r="C76" s="187"/>
      <c r="D76" s="547"/>
      <c r="E76" s="547"/>
      <c r="F76" s="547"/>
      <c r="G76" s="547"/>
      <c r="H76" s="547"/>
      <c r="I76" s="547"/>
      <c r="J76" s="547"/>
    </row>
    <row r="77" spans="1:17" ht="15.75">
      <c r="A77" s="194"/>
      <c r="B77" s="547"/>
      <c r="C77" s="187"/>
      <c r="D77" s="547"/>
      <c r="E77" s="547"/>
      <c r="F77" s="547"/>
      <c r="G77" s="547"/>
      <c r="H77" s="547"/>
      <c r="I77" s="547"/>
      <c r="J77" s="547"/>
    </row>
    <row r="78" spans="1:17" ht="15.75">
      <c r="A78" s="194"/>
      <c r="B78" s="547"/>
      <c r="C78" s="187"/>
      <c r="D78" s="547"/>
      <c r="E78" s="547"/>
      <c r="F78" s="547"/>
      <c r="G78" s="547"/>
      <c r="H78" s="547"/>
      <c r="I78" s="547"/>
      <c r="J78" s="547"/>
    </row>
    <row r="79" spans="1:17" ht="15.75">
      <c r="A79" s="194"/>
      <c r="B79" s="547"/>
      <c r="C79" s="187"/>
      <c r="D79" s="547"/>
      <c r="E79" s="547"/>
      <c r="F79" s="547"/>
      <c r="G79" s="547"/>
      <c r="H79" s="547"/>
      <c r="I79" s="547"/>
      <c r="J79" s="547"/>
    </row>
    <row r="80" spans="1:17" ht="15.75">
      <c r="A80" s="194"/>
      <c r="B80" s="547"/>
      <c r="C80" s="187"/>
      <c r="D80" s="547"/>
      <c r="E80" s="547"/>
      <c r="F80" s="547"/>
      <c r="G80" s="547"/>
      <c r="H80" s="547"/>
      <c r="I80" s="547"/>
      <c r="J80" s="547"/>
    </row>
    <row r="81" spans="1:10" ht="15.75">
      <c r="A81" s="194"/>
      <c r="B81" s="547"/>
      <c r="C81" s="187"/>
      <c r="D81" s="547"/>
      <c r="E81" s="547"/>
      <c r="F81" s="547"/>
      <c r="G81" s="547"/>
      <c r="H81" s="547"/>
      <c r="I81" s="547"/>
      <c r="J81" s="547"/>
    </row>
    <row r="82" spans="1:10" ht="15.75">
      <c r="A82" s="194"/>
      <c r="B82" s="547"/>
      <c r="C82" s="187"/>
      <c r="D82" s="547"/>
      <c r="E82" s="547"/>
      <c r="F82" s="547"/>
      <c r="G82" s="547"/>
      <c r="H82" s="547"/>
      <c r="I82" s="547"/>
      <c r="J82" s="547"/>
    </row>
    <row r="83" spans="1:10" ht="15.75">
      <c r="A83" s="194"/>
      <c r="B83" s="547"/>
      <c r="C83" s="187"/>
      <c r="D83" s="547"/>
      <c r="E83" s="547"/>
      <c r="F83" s="547"/>
      <c r="G83" s="547"/>
      <c r="H83" s="547"/>
      <c r="I83" s="547"/>
      <c r="J83" s="547"/>
    </row>
  </sheetData>
  <mergeCells count="9">
    <mergeCell ref="B50:C50"/>
    <mergeCell ref="H51:J51"/>
    <mergeCell ref="B69:C69"/>
    <mergeCell ref="A1:J1"/>
    <mergeCell ref="A2:J2"/>
    <mergeCell ref="A3:J3"/>
    <mergeCell ref="G9:I9"/>
    <mergeCell ref="B18:C18"/>
    <mergeCell ref="B34:C34"/>
  </mergeCells>
  <pageMargins left="0.7" right="0.7" top="0.75" bottom="0.75" header="0.3" footer="0.3"/>
  <pageSetup scale="58" orientation="portrait" r:id="rId1"/>
  <headerFooter>
    <oddHeader>&amp;R&amp;10Attachment O Work Paper
Page 21 of 22</oddHeader>
  </headerFooter>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C30" sqref="C30"/>
    </sheetView>
  </sheetViews>
  <sheetFormatPr defaultRowHeight="15"/>
  <cols>
    <col min="1" max="1" width="8.88671875" style="823"/>
    <col min="2" max="2" width="2.44140625" style="823" customWidth="1"/>
    <col min="3" max="3" width="24.21875" style="823" customWidth="1"/>
    <col min="4" max="4" width="15.6640625" style="823" customWidth="1"/>
    <col min="5" max="5" width="16.77734375" style="823" customWidth="1"/>
    <col min="6" max="6" width="17.109375" style="823" customWidth="1"/>
    <col min="7" max="16384" width="8.88671875" style="823"/>
  </cols>
  <sheetData>
    <row r="1" spans="1:8" ht="15.75">
      <c r="A1" s="1028" t="s">
        <v>626</v>
      </c>
      <c r="B1" s="1029"/>
      <c r="C1" s="1029"/>
      <c r="D1" s="1029"/>
      <c r="E1" s="1029"/>
      <c r="F1" s="1029"/>
      <c r="G1" s="1029"/>
      <c r="H1" s="162"/>
    </row>
    <row r="2" spans="1:8">
      <c r="A2" s="1028" t="s">
        <v>627</v>
      </c>
      <c r="B2" s="1029"/>
      <c r="C2" s="1029"/>
      <c r="D2" s="1029"/>
      <c r="E2" s="1029"/>
      <c r="F2" s="1029"/>
      <c r="G2" s="1029"/>
      <c r="H2" s="891"/>
    </row>
    <row r="3" spans="1:8" ht="15.75">
      <c r="A3" s="1030" t="s">
        <v>628</v>
      </c>
      <c r="B3" s="1029"/>
      <c r="C3" s="1029"/>
      <c r="D3" s="1029"/>
      <c r="E3" s="1029"/>
      <c r="F3" s="1029"/>
      <c r="G3" s="1029"/>
      <c r="H3" s="162"/>
    </row>
    <row r="4" spans="1:8" ht="15.75">
      <c r="A4" s="1030" t="str">
        <f>'Page 21 - Income Tax Rate Calc'!A3:J3</f>
        <v>Actual Year 2013</v>
      </c>
      <c r="B4" s="1029"/>
      <c r="C4" s="1029"/>
      <c r="D4" s="1029"/>
      <c r="E4" s="1029"/>
      <c r="F4" s="1029"/>
      <c r="G4" s="1029"/>
      <c r="H4" s="162"/>
    </row>
    <row r="5" spans="1:8" ht="15.75">
      <c r="A5" s="161"/>
      <c r="B5" s="464"/>
      <c r="C5" s="464"/>
      <c r="D5" s="463"/>
      <c r="E5" s="161"/>
      <c r="F5" s="463"/>
      <c r="G5" s="386"/>
      <c r="H5" s="162"/>
    </row>
    <row r="6" spans="1:8">
      <c r="A6" s="160"/>
      <c r="B6" s="1031" t="s">
        <v>1</v>
      </c>
      <c r="C6" s="1031"/>
      <c r="D6" s="159" t="s">
        <v>2</v>
      </c>
      <c r="E6" s="159" t="s">
        <v>3</v>
      </c>
      <c r="F6" s="159" t="s">
        <v>4</v>
      </c>
      <c r="G6" s="159" t="s">
        <v>5</v>
      </c>
      <c r="H6" s="160"/>
    </row>
    <row r="7" spans="1:8" ht="15.75">
      <c r="A7" s="387"/>
      <c r="B7" s="162"/>
      <c r="C7" s="162"/>
      <c r="D7" s="162"/>
      <c r="E7" s="162"/>
      <c r="F7" s="162"/>
      <c r="G7" s="162"/>
      <c r="H7" s="162"/>
    </row>
    <row r="8" spans="1:8" ht="15.75">
      <c r="A8" s="158" t="s">
        <v>38</v>
      </c>
      <c r="B8" s="157"/>
      <c r="C8" s="157"/>
      <c r="D8" s="461" t="s">
        <v>596</v>
      </c>
      <c r="E8" s="461" t="s">
        <v>52</v>
      </c>
      <c r="F8" s="461" t="s">
        <v>53</v>
      </c>
      <c r="G8" s="462" t="s">
        <v>16</v>
      </c>
      <c r="H8" s="162"/>
    </row>
    <row r="9" spans="1:8">
      <c r="A9" s="460">
        <v>1</v>
      </c>
      <c r="B9" s="1032" t="s">
        <v>629</v>
      </c>
      <c r="C9" s="1033"/>
      <c r="D9" s="458">
        <v>1000</v>
      </c>
      <c r="E9" s="458">
        <v>1000</v>
      </c>
      <c r="F9" s="458">
        <v>1000</v>
      </c>
      <c r="G9" s="459"/>
      <c r="H9" s="108"/>
    </row>
    <row r="10" spans="1:8" ht="15.75">
      <c r="A10" s="460">
        <v>2</v>
      </c>
      <c r="B10" s="1026" t="s">
        <v>630</v>
      </c>
      <c r="C10" s="1027"/>
      <c r="D10" s="457"/>
      <c r="E10" s="457"/>
      <c r="F10" s="457"/>
      <c r="G10" s="456"/>
      <c r="H10" s="162"/>
    </row>
    <row r="11" spans="1:8" ht="15.75">
      <c r="A11" s="460">
        <v>3</v>
      </c>
      <c r="B11" s="1034" t="s">
        <v>596</v>
      </c>
      <c r="C11" s="1035"/>
      <c r="D11" s="457"/>
      <c r="E11" s="457"/>
      <c r="F11" s="455"/>
      <c r="G11" s="456"/>
      <c r="H11" s="162"/>
    </row>
    <row r="12" spans="1:8" ht="15.75">
      <c r="A12" s="460">
        <v>4</v>
      </c>
      <c r="B12" s="1034" t="s">
        <v>52</v>
      </c>
      <c r="C12" s="1035"/>
      <c r="D12" s="455">
        <f>E23</f>
        <v>44.642920000000011</v>
      </c>
      <c r="E12" s="457"/>
      <c r="F12" s="457"/>
      <c r="G12" s="456"/>
      <c r="H12" s="162"/>
    </row>
    <row r="13" spans="1:8" ht="15.75">
      <c r="A13" s="460">
        <v>5</v>
      </c>
      <c r="B13" s="1034" t="s">
        <v>53</v>
      </c>
      <c r="C13" s="1035"/>
      <c r="D13" s="454">
        <f>F23</f>
        <v>18.161676</v>
      </c>
      <c r="E13" s="453"/>
      <c r="F13" s="453"/>
      <c r="G13" s="456"/>
      <c r="H13" s="162"/>
    </row>
    <row r="14" spans="1:8" ht="15.75">
      <c r="A14" s="460">
        <v>6</v>
      </c>
      <c r="B14" s="1036" t="s">
        <v>330</v>
      </c>
      <c r="C14" s="1037"/>
      <c r="D14" s="455">
        <f>D9-SUM(D12:D13)</f>
        <v>937.19540399999994</v>
      </c>
      <c r="E14" s="455">
        <v>1000</v>
      </c>
      <c r="F14" s="455">
        <v>1000</v>
      </c>
      <c r="G14" s="456"/>
      <c r="H14" s="162"/>
    </row>
    <row r="15" spans="1:8" ht="15.75">
      <c r="A15" s="460">
        <v>7</v>
      </c>
      <c r="B15" s="451"/>
      <c r="C15" s="107"/>
      <c r="D15" s="107"/>
      <c r="E15" s="107"/>
      <c r="F15" s="107"/>
      <c r="G15" s="456"/>
      <c r="H15" s="162"/>
    </row>
    <row r="16" spans="1:8">
      <c r="A16" s="460">
        <v>8</v>
      </c>
      <c r="B16" s="1026" t="s">
        <v>631</v>
      </c>
      <c r="C16" s="1027"/>
      <c r="D16" s="452">
        <v>1</v>
      </c>
      <c r="E16" s="156">
        <v>0.45554000000000006</v>
      </c>
      <c r="F16" s="156">
        <v>0.40092</v>
      </c>
      <c r="G16" s="456"/>
      <c r="H16" s="109"/>
    </row>
    <row r="17" spans="1:8" ht="15.75">
      <c r="A17" s="460">
        <v>9</v>
      </c>
      <c r="B17" s="451"/>
      <c r="C17" s="107"/>
      <c r="D17" s="155"/>
      <c r="E17" s="155"/>
      <c r="F17" s="155"/>
      <c r="G17" s="456"/>
      <c r="H17" s="162"/>
    </row>
    <row r="18" spans="1:8" ht="15.75">
      <c r="A18" s="460">
        <v>10</v>
      </c>
      <c r="B18" s="1026" t="s">
        <v>632</v>
      </c>
      <c r="C18" s="1027"/>
      <c r="D18" s="455">
        <f>D14*D16</f>
        <v>937.19540399999994</v>
      </c>
      <c r="E18" s="455">
        <f>E14*E16</f>
        <v>455.54000000000008</v>
      </c>
      <c r="F18" s="455">
        <f>F14*F16</f>
        <v>400.92</v>
      </c>
      <c r="G18" s="456"/>
      <c r="H18" s="162"/>
    </row>
    <row r="19" spans="1:8" ht="15.75">
      <c r="A19" s="460">
        <v>11</v>
      </c>
      <c r="B19" s="451"/>
      <c r="C19" s="107"/>
      <c r="D19" s="107"/>
      <c r="E19" s="107"/>
      <c r="F19" s="107"/>
      <c r="G19" s="456"/>
      <c r="H19" s="162"/>
    </row>
    <row r="20" spans="1:8" ht="15.75">
      <c r="A20" s="460">
        <v>12</v>
      </c>
      <c r="B20" s="1026" t="s">
        <v>633</v>
      </c>
      <c r="C20" s="1027"/>
      <c r="D20" s="114">
        <f>'Page 21 - Income Tax Rate Calc'!E10</f>
        <v>0.35000000000000003</v>
      </c>
      <c r="E20" s="114">
        <f>'Page 21 - Income Tax Rate Calc'!E11</f>
        <v>9.8000000000000004E-2</v>
      </c>
      <c r="F20" s="114">
        <f>'Page 21 - Income Tax Rate Calc'!E12</f>
        <v>4.53E-2</v>
      </c>
      <c r="G20" s="456"/>
      <c r="H20" s="162"/>
    </row>
    <row r="21" spans="1:8" ht="15.75">
      <c r="A21" s="460">
        <v>13</v>
      </c>
      <c r="B21" s="451"/>
      <c r="C21" s="107"/>
      <c r="D21" s="155"/>
      <c r="E21" s="155"/>
      <c r="F21" s="155"/>
      <c r="G21" s="456"/>
      <c r="H21" s="162"/>
    </row>
    <row r="22" spans="1:8" ht="15.75">
      <c r="A22" s="460">
        <v>14</v>
      </c>
      <c r="B22" s="451"/>
      <c r="C22" s="107"/>
      <c r="D22" s="107"/>
      <c r="E22" s="107"/>
      <c r="F22" s="107"/>
      <c r="G22" s="456"/>
      <c r="H22" s="162"/>
    </row>
    <row r="23" spans="1:8" ht="15.75">
      <c r="A23" s="460">
        <v>15</v>
      </c>
      <c r="B23" s="1026" t="s">
        <v>634</v>
      </c>
      <c r="C23" s="1027"/>
      <c r="D23" s="455">
        <f>D18*D20</f>
        <v>328.01839139999998</v>
      </c>
      <c r="E23" s="455">
        <f>E18*E20</f>
        <v>44.642920000000011</v>
      </c>
      <c r="F23" s="455">
        <f>F18*F20</f>
        <v>18.161676</v>
      </c>
      <c r="G23" s="456"/>
      <c r="H23" s="162"/>
    </row>
    <row r="24" spans="1:8" ht="15.75">
      <c r="A24" s="460">
        <v>16</v>
      </c>
      <c r="B24" s="451"/>
      <c r="C24" s="107"/>
      <c r="D24" s="107"/>
      <c r="E24" s="107"/>
      <c r="F24" s="107"/>
      <c r="G24" s="456"/>
      <c r="H24" s="162"/>
    </row>
    <row r="25" spans="1:8" ht="16.5" thickBot="1">
      <c r="A25" s="460">
        <v>17</v>
      </c>
      <c r="B25" s="1026" t="s">
        <v>628</v>
      </c>
      <c r="C25" s="1027"/>
      <c r="D25" s="154">
        <f>D23/1000</f>
        <v>0.3280183914</v>
      </c>
      <c r="E25" s="154">
        <f>E23/1000</f>
        <v>4.464292000000001E-2</v>
      </c>
      <c r="F25" s="154">
        <f>F23/1000</f>
        <v>1.8161676000000002E-2</v>
      </c>
      <c r="G25" s="153">
        <f>SUM(D25:F25)</f>
        <v>0.39082298740000004</v>
      </c>
      <c r="H25" s="162"/>
    </row>
    <row r="26" spans="1:8" ht="16.5" thickTop="1">
      <c r="A26" s="460">
        <v>18</v>
      </c>
      <c r="B26" s="451"/>
      <c r="C26" s="107"/>
      <c r="D26" s="107"/>
      <c r="E26" s="107"/>
      <c r="F26" s="107"/>
      <c r="G26" s="456"/>
      <c r="H26" s="162"/>
    </row>
    <row r="27" spans="1:8" ht="16.5" thickBot="1">
      <c r="A27" s="460">
        <v>19</v>
      </c>
      <c r="B27" s="1026" t="s">
        <v>635</v>
      </c>
      <c r="C27" s="1027"/>
      <c r="D27" s="391">
        <f>ROUND(D25,3)</f>
        <v>0.32800000000000001</v>
      </c>
      <c r="E27" s="391">
        <f t="shared" ref="E27:F27" si="0">ROUND(E25,3)</f>
        <v>4.4999999999999998E-2</v>
      </c>
      <c r="F27" s="391">
        <f t="shared" si="0"/>
        <v>1.7999999999999999E-2</v>
      </c>
      <c r="G27" s="447">
        <f>SUM(D27:F27)</f>
        <v>0.39100000000000001</v>
      </c>
      <c r="H27" s="162"/>
    </row>
    <row r="28" spans="1:8" ht="15.75" thickTop="1">
      <c r="A28" s="450"/>
      <c r="B28" s="449"/>
      <c r="C28" s="448"/>
      <c r="D28" s="152"/>
      <c r="E28" s="152"/>
      <c r="F28" s="152"/>
      <c r="G28" s="446"/>
    </row>
    <row r="29" spans="1:8">
      <c r="A29" s="151"/>
      <c r="B29" s="150"/>
      <c r="C29" s="150"/>
      <c r="D29" s="562"/>
      <c r="E29" s="562"/>
      <c r="F29" s="562"/>
      <c r="G29" s="562"/>
    </row>
  </sheetData>
  <mergeCells count="17">
    <mergeCell ref="B18:C18"/>
    <mergeCell ref="B20:C20"/>
    <mergeCell ref="B23:C23"/>
    <mergeCell ref="B25:C25"/>
    <mergeCell ref="B27:C27"/>
    <mergeCell ref="B16:C16"/>
    <mergeCell ref="A1:G1"/>
    <mergeCell ref="A2:G2"/>
    <mergeCell ref="A3:G3"/>
    <mergeCell ref="A4:G4"/>
    <mergeCell ref="B6:C6"/>
    <mergeCell ref="B9:C9"/>
    <mergeCell ref="B10:C10"/>
    <mergeCell ref="B11:C11"/>
    <mergeCell ref="B12:C12"/>
    <mergeCell ref="B13:C13"/>
    <mergeCell ref="B14:C14"/>
  </mergeCells>
  <pageMargins left="0.7" right="0.7" top="0.75" bottom="0.75" header="0.3" footer="0.3"/>
  <pageSetup scale="80" orientation="portrait" r:id="rId1"/>
  <headerFooter>
    <oddHeader>&amp;R&amp;10Attachment O Work Paper
Page 21a of 22</oddHeader>
  </headerFooter>
  <colBreaks count="1" manualBreakCount="1">
    <brk id="7" max="1048575" man="1"/>
  </colBreaks>
  <ignoredErrors>
    <ignoredError sqref="D19:H29 A4 D12:G18"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selection activeCell="F16" sqref="F16"/>
    </sheetView>
  </sheetViews>
  <sheetFormatPr defaultRowHeight="15"/>
  <cols>
    <col min="1" max="1" width="3.6640625" style="142" customWidth="1"/>
    <col min="2" max="2" width="5" style="142" customWidth="1"/>
    <col min="3" max="3" width="4.44140625" style="142" customWidth="1"/>
    <col min="4" max="16384" width="8.88671875" style="142"/>
  </cols>
  <sheetData>
    <row r="1" spans="1:17">
      <c r="A1" s="444" t="s">
        <v>0</v>
      </c>
    </row>
    <row r="2" spans="1:17">
      <c r="A2" s="444" t="s">
        <v>673</v>
      </c>
    </row>
    <row r="3" spans="1:17">
      <c r="A3" s="444" t="s">
        <v>674</v>
      </c>
      <c r="C3" s="142" t="s">
        <v>675</v>
      </c>
    </row>
    <row r="4" spans="1:17">
      <c r="A4" s="444" t="s">
        <v>676</v>
      </c>
      <c r="C4" s="142" t="s">
        <v>677</v>
      </c>
    </row>
    <row r="6" spans="1:17">
      <c r="A6" s="445" t="s">
        <v>678</v>
      </c>
    </row>
    <row r="7" spans="1:17">
      <c r="A7" s="149" t="s">
        <v>695</v>
      </c>
    </row>
    <row r="8" spans="1:17">
      <c r="B8" s="445" t="s">
        <v>679</v>
      </c>
    </row>
    <row r="9" spans="1:17">
      <c r="C9" s="142" t="s">
        <v>680</v>
      </c>
    </row>
    <row r="11" spans="1:17">
      <c r="B11" s="445" t="s">
        <v>696</v>
      </c>
    </row>
    <row r="12" spans="1:17" ht="30">
      <c r="C12" s="148" t="s">
        <v>680</v>
      </c>
      <c r="D12" s="148"/>
      <c r="E12" s="148"/>
      <c r="F12" s="148"/>
      <c r="G12" s="148"/>
      <c r="H12" s="148"/>
      <c r="I12" s="148"/>
      <c r="J12" s="148"/>
      <c r="K12" s="148"/>
      <c r="L12" s="148"/>
      <c r="M12" s="148"/>
      <c r="N12" s="148"/>
      <c r="O12" s="148"/>
      <c r="P12" s="148"/>
      <c r="Q12" s="148"/>
    </row>
    <row r="13" spans="1:17">
      <c r="C13" s="148"/>
      <c r="D13" s="148"/>
      <c r="E13" s="148"/>
      <c r="F13" s="148"/>
      <c r="G13" s="148"/>
      <c r="H13" s="148"/>
      <c r="I13" s="148"/>
      <c r="J13" s="148"/>
      <c r="K13" s="148"/>
      <c r="L13" s="148"/>
      <c r="M13" s="148"/>
      <c r="N13" s="148"/>
      <c r="O13" s="148"/>
      <c r="P13" s="148"/>
      <c r="Q13" s="148"/>
    </row>
    <row r="15" spans="1:17">
      <c r="B15" s="443" t="s">
        <v>681</v>
      </c>
    </row>
    <row r="16" spans="1:17" ht="30">
      <c r="C16" s="442" t="s">
        <v>680</v>
      </c>
      <c r="D16" s="442"/>
      <c r="E16" s="442"/>
      <c r="F16" s="442"/>
      <c r="G16" s="442"/>
      <c r="H16" s="442"/>
      <c r="I16" s="442"/>
      <c r="J16" s="442"/>
      <c r="K16" s="442"/>
      <c r="L16" s="442"/>
      <c r="M16" s="442"/>
      <c r="N16" s="442"/>
      <c r="O16" s="442"/>
      <c r="P16" s="442"/>
      <c r="Q16" s="442"/>
    </row>
    <row r="17" spans="2:17" ht="14.45" customHeight="1">
      <c r="C17" s="442"/>
      <c r="D17" s="442"/>
      <c r="E17" s="442"/>
      <c r="F17" s="442"/>
      <c r="G17" s="442"/>
      <c r="H17" s="442"/>
      <c r="I17" s="442"/>
      <c r="J17" s="442"/>
      <c r="K17" s="442"/>
      <c r="L17" s="442"/>
      <c r="M17" s="442"/>
      <c r="N17" s="442"/>
      <c r="O17" s="442"/>
      <c r="P17" s="442"/>
      <c r="Q17" s="442"/>
    </row>
    <row r="18" spans="2:17">
      <c r="C18" s="441"/>
      <c r="D18" s="441"/>
      <c r="E18" s="441"/>
      <c r="F18" s="441"/>
      <c r="G18" s="441"/>
      <c r="H18" s="441"/>
      <c r="I18" s="441"/>
      <c r="J18" s="441"/>
      <c r="K18" s="441"/>
      <c r="L18" s="441"/>
      <c r="M18" s="441"/>
      <c r="N18" s="441"/>
      <c r="O18" s="441"/>
      <c r="P18" s="441"/>
      <c r="Q18" s="441"/>
    </row>
    <row r="19" spans="2:17">
      <c r="B19" s="443" t="s">
        <v>682</v>
      </c>
    </row>
    <row r="20" spans="2:17" ht="45.6" customHeight="1">
      <c r="C20" s="1038" t="s">
        <v>683</v>
      </c>
      <c r="D20" s="1038"/>
      <c r="E20" s="1038"/>
      <c r="F20" s="1038"/>
      <c r="G20" s="1038"/>
      <c r="H20" s="1038"/>
      <c r="I20" s="1038"/>
      <c r="J20" s="1038"/>
      <c r="K20" s="1038"/>
      <c r="L20" s="1038"/>
      <c r="M20" s="1038"/>
      <c r="N20" s="1038"/>
      <c r="O20" s="1038"/>
      <c r="P20" s="1038"/>
    </row>
    <row r="21" spans="2:17">
      <c r="C21" s="1038" t="s">
        <v>684</v>
      </c>
      <c r="D21" s="1038"/>
      <c r="E21" s="1038"/>
      <c r="F21" s="1038"/>
      <c r="G21" s="1038"/>
      <c r="H21" s="1038"/>
      <c r="I21" s="1038"/>
      <c r="J21" s="1038"/>
      <c r="K21" s="1038"/>
      <c r="L21" s="1038"/>
      <c r="M21" s="1038"/>
      <c r="N21" s="1038"/>
      <c r="O21" s="1038"/>
      <c r="P21" s="1038"/>
    </row>
    <row r="22" spans="2:17">
      <c r="B22" s="440"/>
      <c r="C22" s="1038"/>
      <c r="D22" s="1038"/>
      <c r="E22" s="1038"/>
      <c r="F22" s="1038"/>
      <c r="G22" s="1038"/>
      <c r="H22" s="1038"/>
      <c r="I22" s="1038"/>
      <c r="J22" s="1038"/>
      <c r="K22" s="1038"/>
      <c r="L22" s="1038"/>
      <c r="M22" s="1038"/>
      <c r="N22" s="1038"/>
      <c r="O22" s="1038"/>
      <c r="P22" s="1038"/>
      <c r="Q22" s="440"/>
    </row>
    <row r="23" spans="2:17">
      <c r="B23" s="440"/>
      <c r="C23" s="441"/>
      <c r="D23" s="441"/>
      <c r="E23" s="441"/>
      <c r="F23" s="441"/>
      <c r="G23" s="441"/>
      <c r="H23" s="441"/>
      <c r="I23" s="441"/>
      <c r="J23" s="441"/>
      <c r="K23" s="441"/>
      <c r="L23" s="441"/>
      <c r="M23" s="441"/>
      <c r="N23" s="441"/>
      <c r="O23" s="441"/>
      <c r="P23" s="441"/>
      <c r="Q23" s="440"/>
    </row>
    <row r="24" spans="2:17">
      <c r="B24" s="445" t="s">
        <v>685</v>
      </c>
    </row>
    <row r="25" spans="2:17">
      <c r="C25" s="1039" t="s">
        <v>686</v>
      </c>
      <c r="D25" s="1039"/>
      <c r="E25" s="1039"/>
      <c r="F25" s="1039"/>
      <c r="G25" s="1039"/>
      <c r="H25" s="1039"/>
      <c r="I25" s="1039"/>
      <c r="J25" s="1039"/>
      <c r="K25" s="1039"/>
      <c r="L25" s="1039"/>
      <c r="M25" s="1039"/>
      <c r="N25" s="1039"/>
      <c r="O25" s="1039"/>
      <c r="P25" s="1039"/>
      <c r="Q25" s="1039"/>
    </row>
    <row r="26" spans="2:17">
      <c r="C26" s="1039"/>
      <c r="D26" s="1039"/>
      <c r="E26" s="1039"/>
      <c r="F26" s="1039"/>
      <c r="G26" s="1039"/>
      <c r="H26" s="1039"/>
      <c r="I26" s="1039"/>
      <c r="J26" s="1039"/>
      <c r="K26" s="1039"/>
      <c r="L26" s="1039"/>
      <c r="M26" s="1039"/>
      <c r="N26" s="1039"/>
      <c r="O26" s="1039"/>
      <c r="P26" s="1039"/>
      <c r="Q26" s="1039"/>
    </row>
    <row r="27" spans="2:17" ht="12" customHeight="1">
      <c r="D27" s="1040" t="s">
        <v>687</v>
      </c>
      <c r="E27" s="1040"/>
      <c r="F27" s="1040"/>
      <c r="G27" s="1040"/>
      <c r="H27" s="1040"/>
      <c r="I27" s="1040"/>
      <c r="J27" s="1040"/>
      <c r="K27" s="1040"/>
      <c r="L27" s="1040"/>
      <c r="M27" s="1040"/>
      <c r="N27" s="1040"/>
      <c r="O27" s="1040"/>
      <c r="P27" s="1040"/>
    </row>
    <row r="28" spans="2:17">
      <c r="C28" s="148"/>
      <c r="D28" s="1040"/>
      <c r="E28" s="1040"/>
      <c r="F28" s="1040"/>
      <c r="G28" s="1040"/>
      <c r="H28" s="1040"/>
      <c r="I28" s="1040"/>
      <c r="J28" s="1040"/>
      <c r="K28" s="1040"/>
      <c r="L28" s="1040"/>
      <c r="M28" s="1040"/>
      <c r="N28" s="1040"/>
      <c r="O28" s="1040"/>
      <c r="P28" s="1040"/>
    </row>
    <row r="29" spans="2:17">
      <c r="C29" s="148"/>
      <c r="D29" s="1040"/>
      <c r="E29" s="1040"/>
      <c r="F29" s="1040"/>
      <c r="G29" s="1040"/>
      <c r="H29" s="1040"/>
      <c r="I29" s="1040"/>
      <c r="J29" s="1040"/>
      <c r="K29" s="1040"/>
      <c r="L29" s="1040"/>
      <c r="M29" s="1040"/>
      <c r="N29" s="1040"/>
      <c r="O29" s="1040"/>
      <c r="P29" s="1040"/>
    </row>
    <row r="30" spans="2:17">
      <c r="C30" s="148"/>
      <c r="D30" s="1040"/>
      <c r="E30" s="1040"/>
      <c r="F30" s="1040"/>
      <c r="G30" s="1040"/>
      <c r="H30" s="1040"/>
      <c r="I30" s="1040"/>
      <c r="J30" s="1040"/>
      <c r="K30" s="1040"/>
      <c r="L30" s="1040"/>
      <c r="M30" s="1040"/>
      <c r="N30" s="1040"/>
      <c r="O30" s="1040"/>
      <c r="P30" s="1040"/>
    </row>
    <row r="31" spans="2:17">
      <c r="C31" s="148"/>
      <c r="D31" s="1040"/>
      <c r="E31" s="1040"/>
      <c r="F31" s="1040"/>
      <c r="G31" s="1040"/>
      <c r="H31" s="1040"/>
      <c r="I31" s="1040"/>
      <c r="J31" s="1040"/>
      <c r="K31" s="1040"/>
      <c r="L31" s="1040"/>
      <c r="M31" s="1040"/>
      <c r="N31" s="1040"/>
      <c r="O31" s="1040"/>
      <c r="P31" s="1040"/>
    </row>
    <row r="32" spans="2:17">
      <c r="C32" s="148"/>
      <c r="D32" s="1040"/>
      <c r="E32" s="1040"/>
      <c r="F32" s="1040"/>
      <c r="G32" s="1040"/>
      <c r="H32" s="1040"/>
      <c r="I32" s="1040"/>
      <c r="J32" s="1040"/>
      <c r="K32" s="1040"/>
      <c r="L32" s="1040"/>
      <c r="M32" s="1040"/>
      <c r="N32" s="1040"/>
      <c r="O32" s="1040"/>
      <c r="P32" s="1040"/>
    </row>
    <row r="33" spans="3:16">
      <c r="C33" s="148"/>
      <c r="D33" s="1040"/>
      <c r="E33" s="1040"/>
      <c r="F33" s="1040"/>
      <c r="G33" s="1040"/>
      <c r="H33" s="1040"/>
      <c r="I33" s="1040"/>
      <c r="J33" s="1040"/>
      <c r="K33" s="1040"/>
      <c r="L33" s="1040"/>
      <c r="M33" s="1040"/>
      <c r="N33" s="1040"/>
      <c r="O33" s="1040"/>
      <c r="P33" s="1040"/>
    </row>
    <row r="34" spans="3:16">
      <c r="C34" s="148"/>
      <c r="D34" s="1040"/>
      <c r="E34" s="1040"/>
      <c r="F34" s="1040"/>
      <c r="G34" s="1040"/>
      <c r="H34" s="1040"/>
      <c r="I34" s="1040"/>
      <c r="J34" s="1040"/>
      <c r="K34" s="1040"/>
      <c r="L34" s="1040"/>
      <c r="M34" s="1040"/>
      <c r="N34" s="1040"/>
      <c r="O34" s="1040"/>
      <c r="P34" s="1040"/>
    </row>
    <row r="35" spans="3:16">
      <c r="C35" s="148"/>
      <c r="D35" s="1040"/>
      <c r="E35" s="1040"/>
      <c r="F35" s="1040"/>
      <c r="G35" s="1040"/>
      <c r="H35" s="1040"/>
      <c r="I35" s="1040"/>
      <c r="J35" s="1040"/>
      <c r="K35" s="1040"/>
      <c r="L35" s="1040"/>
      <c r="M35" s="1040"/>
      <c r="N35" s="1040"/>
      <c r="O35" s="1040"/>
      <c r="P35" s="1040"/>
    </row>
    <row r="36" spans="3:16">
      <c r="C36" s="148"/>
      <c r="D36" s="1040"/>
      <c r="E36" s="1040"/>
      <c r="F36" s="1040"/>
      <c r="G36" s="1040"/>
      <c r="H36" s="1040"/>
      <c r="I36" s="1040"/>
      <c r="J36" s="1040"/>
      <c r="K36" s="1040"/>
      <c r="L36" s="1040"/>
      <c r="M36" s="1040"/>
      <c r="N36" s="1040"/>
      <c r="O36" s="1040"/>
      <c r="P36" s="1040"/>
    </row>
    <row r="37" spans="3:16">
      <c r="C37" s="148"/>
      <c r="D37" s="1040"/>
      <c r="E37" s="1040"/>
      <c r="F37" s="1040"/>
      <c r="G37" s="1040"/>
      <c r="H37" s="1040"/>
      <c r="I37" s="1040"/>
      <c r="J37" s="1040"/>
      <c r="K37" s="1040"/>
      <c r="L37" s="1040"/>
      <c r="M37" s="1040"/>
      <c r="N37" s="1040"/>
      <c r="O37" s="1040"/>
      <c r="P37" s="1040"/>
    </row>
    <row r="38" spans="3:16">
      <c r="D38" s="1040"/>
      <c r="E38" s="1040"/>
      <c r="F38" s="1040"/>
      <c r="G38" s="1040"/>
      <c r="H38" s="1040"/>
      <c r="I38" s="1040"/>
      <c r="J38" s="1040"/>
      <c r="K38" s="1040"/>
      <c r="L38" s="1040"/>
      <c r="M38" s="1040"/>
      <c r="N38" s="1040"/>
      <c r="O38" s="1040"/>
      <c r="P38" s="1040"/>
    </row>
    <row r="39" spans="3:16">
      <c r="D39" s="1040"/>
      <c r="E39" s="1040"/>
      <c r="F39" s="1040"/>
      <c r="G39" s="1040"/>
      <c r="H39" s="1040"/>
      <c r="I39" s="1040"/>
      <c r="J39" s="1040"/>
      <c r="K39" s="1040"/>
      <c r="L39" s="1040"/>
      <c r="M39" s="1040"/>
      <c r="N39" s="1040"/>
      <c r="O39" s="1040"/>
      <c r="P39" s="1040"/>
    </row>
  </sheetData>
  <mergeCells count="4">
    <mergeCell ref="C20:P20"/>
    <mergeCell ref="C21:P22"/>
    <mergeCell ref="C25:Q26"/>
    <mergeCell ref="D27:P39"/>
  </mergeCells>
  <pageMargins left="0.7" right="0.7" top="0.75" bottom="0.75" header="0.3" footer="0.3"/>
  <pageSetup scale="66" orientation="landscape" r:id="rId1"/>
  <headerFooter>
    <oddHeader>&amp;R&amp;10Attachment O Work Paper
Page 22 of 22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2"/>
  <sheetViews>
    <sheetView showGridLines="0" workbookViewId="0">
      <selection activeCell="A6" sqref="A6:G6"/>
    </sheetView>
  </sheetViews>
  <sheetFormatPr defaultRowHeight="12.75"/>
  <cols>
    <col min="1" max="1" width="3.6640625" style="734" customWidth="1"/>
    <col min="2" max="2" width="20.33203125" style="544" customWidth="1"/>
    <col min="3" max="3" width="14" style="544" customWidth="1"/>
    <col min="4" max="4" width="17.44140625" style="544" customWidth="1"/>
    <col min="5" max="5" width="14.109375" style="544" customWidth="1"/>
    <col min="6" max="6" width="13.33203125" style="544" customWidth="1"/>
    <col min="7" max="7" width="12.77734375" style="544" customWidth="1"/>
    <col min="8" max="8" width="11.33203125" style="696" customWidth="1"/>
    <col min="9" max="12" width="8.88671875" style="696"/>
    <col min="13" max="13" width="12.33203125" style="696" bestFit="1" customWidth="1"/>
    <col min="14" max="15" width="10.77734375" style="696" bestFit="1" customWidth="1"/>
    <col min="16" max="16" width="9.5546875" style="696" bestFit="1" customWidth="1"/>
    <col min="17" max="16384" width="8.88671875" style="696"/>
  </cols>
  <sheetData>
    <row r="1" spans="1:23">
      <c r="H1" s="386"/>
    </row>
    <row r="4" spans="1:23">
      <c r="A4" s="937" t="s">
        <v>0</v>
      </c>
      <c r="B4" s="937"/>
      <c r="C4" s="937"/>
      <c r="D4" s="937"/>
      <c r="E4" s="937"/>
      <c r="F4" s="937"/>
      <c r="G4" s="937"/>
      <c r="H4" s="891"/>
      <c r="I4" s="739"/>
      <c r="J4" s="739"/>
      <c r="K4" s="739"/>
    </row>
    <row r="5" spans="1:23">
      <c r="A5" s="937" t="s">
        <v>476</v>
      </c>
      <c r="B5" s="937"/>
      <c r="C5" s="937"/>
      <c r="D5" s="937"/>
      <c r="E5" s="937"/>
      <c r="F5" s="937"/>
      <c r="G5" s="937"/>
      <c r="H5" s="386"/>
    </row>
    <row r="6" spans="1:23">
      <c r="A6" s="937" t="s">
        <v>642</v>
      </c>
      <c r="B6" s="937"/>
      <c r="C6" s="937"/>
      <c r="D6" s="937"/>
      <c r="E6" s="937"/>
      <c r="F6" s="937"/>
      <c r="G6" s="937"/>
    </row>
    <row r="8" spans="1:23">
      <c r="B8" s="734" t="s">
        <v>1</v>
      </c>
      <c r="C8" s="734" t="s">
        <v>2</v>
      </c>
      <c r="D8" s="734" t="s">
        <v>3</v>
      </c>
      <c r="E8" s="734" t="s">
        <v>4</v>
      </c>
      <c r="F8" s="734" t="s">
        <v>5</v>
      </c>
      <c r="G8" s="734" t="s">
        <v>7</v>
      </c>
    </row>
    <row r="9" spans="1:23">
      <c r="K9" s="439"/>
      <c r="L9" s="439"/>
      <c r="M9" s="439"/>
      <c r="N9" s="439"/>
      <c r="O9" s="439"/>
      <c r="P9" s="439"/>
      <c r="Q9" s="439"/>
      <c r="R9" s="439"/>
      <c r="S9" s="439"/>
      <c r="T9" s="439"/>
      <c r="U9" s="439"/>
      <c r="V9" s="439"/>
      <c r="W9" s="439"/>
    </row>
    <row r="10" spans="1:23" ht="38.25">
      <c r="A10" s="376"/>
      <c r="B10" s="378"/>
      <c r="C10" s="438" t="s">
        <v>358</v>
      </c>
      <c r="D10" s="375" t="s">
        <v>358</v>
      </c>
      <c r="E10" s="375" t="s">
        <v>359</v>
      </c>
      <c r="F10" s="375" t="s">
        <v>483</v>
      </c>
      <c r="G10" s="437" t="s">
        <v>535</v>
      </c>
      <c r="H10" s="374"/>
    </row>
    <row r="11" spans="1:23">
      <c r="A11" s="542" t="s">
        <v>8</v>
      </c>
      <c r="B11" s="373"/>
      <c r="C11" s="436" t="s">
        <v>551</v>
      </c>
      <c r="D11" s="541" t="s">
        <v>552</v>
      </c>
      <c r="E11" s="541" t="s">
        <v>545</v>
      </c>
      <c r="F11" s="436" t="s">
        <v>474</v>
      </c>
      <c r="G11" s="436" t="s">
        <v>536</v>
      </c>
      <c r="H11" s="372"/>
    </row>
    <row r="12" spans="1:23">
      <c r="A12" s="540" t="s">
        <v>10</v>
      </c>
      <c r="B12" s="371" t="s">
        <v>46</v>
      </c>
      <c r="C12" s="435" t="s">
        <v>471</v>
      </c>
      <c r="D12" s="539" t="s">
        <v>550</v>
      </c>
      <c r="E12" s="539" t="s">
        <v>472</v>
      </c>
      <c r="F12" s="435" t="s">
        <v>475</v>
      </c>
      <c r="G12" s="435" t="s">
        <v>540</v>
      </c>
      <c r="H12" s="370" t="s">
        <v>16</v>
      </c>
    </row>
    <row r="13" spans="1:23">
      <c r="A13" s="376">
        <v>1</v>
      </c>
      <c r="B13" s="433" t="str">
        <f>"December "&amp;Info!B2</f>
        <v>December 2012</v>
      </c>
      <c r="C13" s="727">
        <f>15467325.11+'Page 3 - CWIP'!C13</f>
        <v>15467325.109999999</v>
      </c>
      <c r="D13" s="355">
        <f>'Page 3 - CWIP'!D13+5590517</f>
        <v>7031402.7699999996</v>
      </c>
      <c r="E13" s="727">
        <f>'Page 3 - CWIP'!E13+10384498</f>
        <v>29659589.689999998</v>
      </c>
      <c r="F13" s="886">
        <v>394399</v>
      </c>
      <c r="G13" s="886">
        <v>0</v>
      </c>
      <c r="H13" s="56">
        <f t="shared" ref="H13:H25" si="0">+SUM(C13:G13)</f>
        <v>52552716.569999993</v>
      </c>
      <c r="J13" s="727"/>
      <c r="K13" s="727"/>
      <c r="L13" s="727"/>
      <c r="M13" s="727"/>
      <c r="P13" s="877"/>
    </row>
    <row r="14" spans="1:23">
      <c r="A14" s="542">
        <f>+A13+1</f>
        <v>2</v>
      </c>
      <c r="B14" s="434" t="str">
        <f>"January "&amp;Info!B3</f>
        <v>January 2013</v>
      </c>
      <c r="C14" s="727">
        <f>15467325.11+'Page 3 - CWIP'!C14</f>
        <v>15487269.109999999</v>
      </c>
      <c r="D14" s="355">
        <f>'Page 3 - CWIP'!D14+5590517</f>
        <v>7079497.2999999896</v>
      </c>
      <c r="E14" s="727">
        <f>'Page 3 - CWIP'!E14+10384498</f>
        <v>31853064.789999999</v>
      </c>
      <c r="F14" s="886">
        <f>F13</f>
        <v>394399</v>
      </c>
      <c r="G14" s="886">
        <v>0</v>
      </c>
      <c r="H14" s="56">
        <f t="shared" si="0"/>
        <v>54814230.199999988</v>
      </c>
      <c r="J14" s="727"/>
      <c r="K14" s="727"/>
      <c r="L14" s="727"/>
      <c r="M14" s="727"/>
      <c r="P14" s="877"/>
    </row>
    <row r="15" spans="1:23">
      <c r="A15" s="542">
        <f>+A14+1</f>
        <v>3</v>
      </c>
      <c r="B15" s="368" t="s">
        <v>17</v>
      </c>
      <c r="C15" s="727">
        <f>15467325.11+'Page 3 - CWIP'!C15</f>
        <v>15496184.109999999</v>
      </c>
      <c r="D15" s="355">
        <f>'Page 3 - CWIP'!D15+7067916</f>
        <v>7071497.4799999995</v>
      </c>
      <c r="E15" s="727">
        <f>'Page 3 - CWIP'!E15+10384498</f>
        <v>32968524.010000002</v>
      </c>
      <c r="F15" s="886">
        <f t="shared" ref="F15:F25" si="1">F14</f>
        <v>394399</v>
      </c>
      <c r="G15" s="886">
        <v>0</v>
      </c>
      <c r="H15" s="56">
        <f t="shared" si="0"/>
        <v>55930604.600000001</v>
      </c>
      <c r="J15" s="727"/>
      <c r="K15" s="727"/>
      <c r="L15" s="727"/>
      <c r="M15" s="727"/>
      <c r="P15" s="877"/>
    </row>
    <row r="16" spans="1:23">
      <c r="A16" s="542">
        <f>+A15+1</f>
        <v>4</v>
      </c>
      <c r="B16" s="368" t="s">
        <v>18</v>
      </c>
      <c r="C16" s="727">
        <f>15467325.11+'Page 3 - CWIP'!C16</f>
        <v>15570037.109999999</v>
      </c>
      <c r="D16" s="355">
        <f>'Page 3 - CWIP'!D16+7067916</f>
        <v>7064511.0899999999</v>
      </c>
      <c r="E16" s="727">
        <f>'Page 3 - CWIP'!E16+10384498</f>
        <v>33732667.219999999</v>
      </c>
      <c r="F16" s="886">
        <f t="shared" si="1"/>
        <v>394399</v>
      </c>
      <c r="G16" s="886">
        <v>0</v>
      </c>
      <c r="H16" s="56">
        <f t="shared" si="0"/>
        <v>56761614.420000002</v>
      </c>
      <c r="J16" s="727"/>
      <c r="K16" s="727"/>
      <c r="L16" s="727"/>
      <c r="M16" s="727"/>
      <c r="P16" s="877"/>
    </row>
    <row r="17" spans="1:16">
      <c r="A17" s="542">
        <f>+A16+1</f>
        <v>5</v>
      </c>
      <c r="B17" s="368" t="s">
        <v>19</v>
      </c>
      <c r="C17" s="727">
        <f>15467325.11+'Page 3 - CWIP'!C17</f>
        <v>15550653.109999999</v>
      </c>
      <c r="D17" s="355">
        <f>'Page 3 - CWIP'!D17+7067916</f>
        <v>7059574.0399999991</v>
      </c>
      <c r="E17" s="727">
        <f>'Page 3 - CWIP'!E17+10384498</f>
        <v>35196190.180000007</v>
      </c>
      <c r="F17" s="886">
        <f t="shared" si="1"/>
        <v>394399</v>
      </c>
      <c r="G17" s="886">
        <v>0</v>
      </c>
      <c r="H17" s="56">
        <f t="shared" si="0"/>
        <v>58200816.330000006</v>
      </c>
      <c r="J17" s="727"/>
      <c r="K17" s="727"/>
      <c r="L17" s="727"/>
      <c r="M17" s="727"/>
      <c r="P17" s="877"/>
    </row>
    <row r="18" spans="1:16">
      <c r="A18" s="542">
        <f>+A17+1</f>
        <v>6</v>
      </c>
      <c r="B18" s="368" t="s">
        <v>20</v>
      </c>
      <c r="C18" s="727">
        <f>15467325.11+'Page 3 - CWIP'!C18</f>
        <v>15558316.109999999</v>
      </c>
      <c r="D18" s="355">
        <f>'Page 3 - CWIP'!D18+7067916</f>
        <v>7059574.0399999991</v>
      </c>
      <c r="E18" s="727">
        <f>'Page 3 - CWIP'!E18+10384498</f>
        <v>37055442.25</v>
      </c>
      <c r="F18" s="886">
        <f t="shared" si="1"/>
        <v>394399</v>
      </c>
      <c r="G18" s="886">
        <v>0</v>
      </c>
      <c r="H18" s="56">
        <f t="shared" si="0"/>
        <v>60067731.399999999</v>
      </c>
      <c r="J18" s="727"/>
      <c r="K18" s="727"/>
      <c r="L18" s="727"/>
      <c r="M18" s="727"/>
      <c r="P18" s="877"/>
    </row>
    <row r="19" spans="1:16">
      <c r="A19" s="542">
        <f t="shared" ref="A19:A27" si="2">+A18+1</f>
        <v>7</v>
      </c>
      <c r="B19" s="368" t="s">
        <v>21</v>
      </c>
      <c r="C19" s="727">
        <f>15467325.11+'Page 3 - CWIP'!C19</f>
        <v>15566740.109999999</v>
      </c>
      <c r="D19" s="355">
        <f>'Page 3 - CWIP'!D19+7067916</f>
        <v>7030498.0499999989</v>
      </c>
      <c r="E19" s="355">
        <f>'Page 3 - CWIP'!E19+10384498</f>
        <v>38437258.190000005</v>
      </c>
      <c r="F19" s="886">
        <f t="shared" si="1"/>
        <v>394399</v>
      </c>
      <c r="G19" s="886">
        <v>0</v>
      </c>
      <c r="H19" s="56">
        <f t="shared" si="0"/>
        <v>61428895.350000001</v>
      </c>
      <c r="J19" s="727"/>
      <c r="K19" s="727"/>
      <c r="L19" s="727"/>
      <c r="M19" s="727"/>
      <c r="N19" s="727"/>
      <c r="P19" s="877"/>
    </row>
    <row r="20" spans="1:16">
      <c r="A20" s="542">
        <f t="shared" si="2"/>
        <v>8</v>
      </c>
      <c r="B20" s="368" t="s">
        <v>22</v>
      </c>
      <c r="C20" s="727">
        <f>15467325.11+'Page 3 - CWIP'!C20</f>
        <v>15583145.109999999</v>
      </c>
      <c r="D20" s="355">
        <f>'Page 3 - CWIP'!D20+7042389</f>
        <v>7039947.9800000004</v>
      </c>
      <c r="E20" s="355">
        <f>'Page 3 - CWIP'!E20+10384498</f>
        <v>40286295.270000003</v>
      </c>
      <c r="F20" s="886">
        <f t="shared" si="1"/>
        <v>394399</v>
      </c>
      <c r="G20" s="886">
        <v>0</v>
      </c>
      <c r="H20" s="56">
        <f t="shared" si="0"/>
        <v>63303787.359999999</v>
      </c>
      <c r="J20" s="727"/>
      <c r="K20" s="727"/>
      <c r="L20" s="727"/>
      <c r="M20" s="727"/>
      <c r="N20" s="727"/>
      <c r="P20" s="877"/>
    </row>
    <row r="21" spans="1:16">
      <c r="A21" s="542">
        <f t="shared" si="2"/>
        <v>9</v>
      </c>
      <c r="B21" s="368" t="s">
        <v>23</v>
      </c>
      <c r="C21" s="727">
        <f>15467325.11+'Page 3 - CWIP'!C21</f>
        <v>15577360.109999999</v>
      </c>
      <c r="D21" s="355">
        <f>'Page 3 - CWIP'!D21+7039948</f>
        <v>7039948</v>
      </c>
      <c r="E21" s="355">
        <f>'Page 3 - CWIP'!E21+10384498</f>
        <v>43278787.390000001</v>
      </c>
      <c r="F21" s="886">
        <f t="shared" si="1"/>
        <v>394399</v>
      </c>
      <c r="G21" s="886">
        <v>0</v>
      </c>
      <c r="H21" s="56">
        <f t="shared" si="0"/>
        <v>66290494.5</v>
      </c>
      <c r="J21" s="727"/>
      <c r="K21" s="727"/>
      <c r="L21" s="727"/>
      <c r="M21" s="727"/>
      <c r="N21" s="727"/>
      <c r="P21" s="877"/>
    </row>
    <row r="22" spans="1:16">
      <c r="A22" s="542">
        <f t="shared" si="2"/>
        <v>10</v>
      </c>
      <c r="B22" s="368" t="s">
        <v>24</v>
      </c>
      <c r="C22" s="727">
        <f>15467325.11+'Page 3 - CWIP'!C22</f>
        <v>15584769.109999999</v>
      </c>
      <c r="D22" s="355">
        <f>'Page 3 - CWIP'!D22+7039948</f>
        <v>7039948</v>
      </c>
      <c r="E22" s="355">
        <f>'Page 3 - CWIP'!E22+10384498</f>
        <v>46403322.979999907</v>
      </c>
      <c r="F22" s="886">
        <f t="shared" si="1"/>
        <v>394399</v>
      </c>
      <c r="G22" s="886">
        <v>0</v>
      </c>
      <c r="H22" s="56">
        <f t="shared" si="0"/>
        <v>69422439.089999914</v>
      </c>
      <c r="J22" s="727"/>
      <c r="K22" s="727"/>
      <c r="L22" s="727"/>
      <c r="M22" s="727"/>
      <c r="N22" s="727"/>
      <c r="P22" s="877"/>
    </row>
    <row r="23" spans="1:16">
      <c r="A23" s="542">
        <f t="shared" si="2"/>
        <v>11</v>
      </c>
      <c r="B23" s="368" t="s">
        <v>25</v>
      </c>
      <c r="C23" s="727">
        <f>15467325.11+'Page 3 - CWIP'!C23</f>
        <v>15591077.109999999</v>
      </c>
      <c r="D23" s="355">
        <f>'Page 3 - CWIP'!D23+7039948</f>
        <v>7039948</v>
      </c>
      <c r="E23" s="727">
        <f>'Page 3 - CWIP'!E23+10227064</f>
        <v>48775296.729999997</v>
      </c>
      <c r="F23" s="886">
        <f t="shared" si="1"/>
        <v>394399</v>
      </c>
      <c r="G23" s="886">
        <v>0</v>
      </c>
      <c r="H23" s="56">
        <f t="shared" si="0"/>
        <v>71800720.840000004</v>
      </c>
      <c r="J23" s="727"/>
      <c r="K23" s="727"/>
      <c r="L23" s="727"/>
      <c r="M23" s="727"/>
      <c r="N23" s="727"/>
      <c r="P23" s="877"/>
    </row>
    <row r="24" spans="1:16">
      <c r="A24" s="542">
        <f t="shared" si="2"/>
        <v>12</v>
      </c>
      <c r="B24" s="368" t="s">
        <v>26</v>
      </c>
      <c r="C24" s="727">
        <f>15467325.11+'Page 3 - CWIP'!C24</f>
        <v>15605165.109999999</v>
      </c>
      <c r="D24" s="355">
        <f>'Page 3 - CWIP'!D24+7039948</f>
        <v>7038532.9199999999</v>
      </c>
      <c r="E24" s="727">
        <f>'Page 3 - CWIP'!E24+10227064</f>
        <v>52888699.079999901</v>
      </c>
      <c r="F24" s="886">
        <f t="shared" si="1"/>
        <v>394399</v>
      </c>
      <c r="G24" s="886">
        <v>0</v>
      </c>
      <c r="H24" s="56">
        <f t="shared" si="0"/>
        <v>75926796.109999895</v>
      </c>
      <c r="J24" s="727"/>
      <c r="K24" s="727"/>
      <c r="L24" s="727"/>
      <c r="M24" s="727"/>
      <c r="N24" s="727"/>
      <c r="O24" s="727"/>
      <c r="P24" s="877"/>
    </row>
    <row r="25" spans="1:16">
      <c r="A25" s="542">
        <f t="shared" si="2"/>
        <v>13</v>
      </c>
      <c r="B25" s="368" t="s">
        <v>27</v>
      </c>
      <c r="C25" s="727">
        <f>16109589+'Page 3 - CWIP'!C25</f>
        <v>16109589</v>
      </c>
      <c r="D25" s="355">
        <f>'Page 3 - CWIP'!D25+7039948</f>
        <v>7039948</v>
      </c>
      <c r="E25" s="727">
        <f>'Page 3 - CWIP'!E25+10227064</f>
        <v>56277917.840000004</v>
      </c>
      <c r="F25" s="886">
        <f t="shared" si="1"/>
        <v>394399</v>
      </c>
      <c r="G25" s="886">
        <v>6048442</v>
      </c>
      <c r="H25" s="56">
        <f t="shared" si="0"/>
        <v>85870295.840000004</v>
      </c>
      <c r="J25" s="727"/>
      <c r="K25" s="727"/>
      <c r="L25" s="727"/>
      <c r="M25" s="727"/>
      <c r="N25" s="727"/>
      <c r="O25" s="727"/>
      <c r="P25" s="877"/>
    </row>
    <row r="26" spans="1:16">
      <c r="A26" s="542">
        <f t="shared" si="2"/>
        <v>14</v>
      </c>
      <c r="B26" s="368"/>
      <c r="C26" s="103"/>
      <c r="D26" s="147"/>
      <c r="E26" s="103"/>
      <c r="F26" s="103"/>
      <c r="G26" s="103"/>
      <c r="H26" s="56"/>
    </row>
    <row r="27" spans="1:16">
      <c r="A27" s="542">
        <f t="shared" si="2"/>
        <v>15</v>
      </c>
      <c r="B27" s="532" t="s">
        <v>28</v>
      </c>
      <c r="C27" s="146">
        <f>+AVERAGE(C13:C25)</f>
        <v>15595971.563076926</v>
      </c>
      <c r="D27" s="146">
        <f>+AVERAGE(D13:D25)</f>
        <v>7048832.8976923069</v>
      </c>
      <c r="E27" s="146">
        <f>+AVERAGE(E13:E25)</f>
        <v>40524081.201538444</v>
      </c>
      <c r="F27" s="146">
        <f>+AVERAGE(F13:F25)</f>
        <v>394399</v>
      </c>
      <c r="G27" s="146">
        <f>+AVERAGE(G13:G25)</f>
        <v>465264.76923076925</v>
      </c>
      <c r="H27" s="432">
        <f>+SUM(C27:G27)</f>
        <v>64028549.431538448</v>
      </c>
      <c r="I27" s="431">
        <f>AVERAGE(H13:H25)-H27</f>
        <v>0</v>
      </c>
      <c r="J27" s="430" t="s">
        <v>541</v>
      </c>
    </row>
    <row r="28" spans="1:16">
      <c r="A28" s="529"/>
      <c r="B28" s="528"/>
      <c r="C28" s="527"/>
      <c r="D28" s="429"/>
      <c r="E28" s="429"/>
      <c r="F28" s="429"/>
      <c r="G28" s="429"/>
      <c r="H28" s="526"/>
    </row>
    <row r="29" spans="1:16">
      <c r="C29" s="878"/>
    </row>
    <row r="30" spans="1:16">
      <c r="B30" s="878" t="s">
        <v>547</v>
      </c>
      <c r="C30" s="524"/>
      <c r="D30" s="524"/>
    </row>
    <row r="31" spans="1:16">
      <c r="B31" s="878"/>
    </row>
    <row r="32" spans="1:16">
      <c r="B32" s="878"/>
    </row>
    <row r="33" spans="1:30">
      <c r="B33" s="878"/>
    </row>
    <row r="34" spans="1:30">
      <c r="A34" s="937" t="s">
        <v>0</v>
      </c>
      <c r="B34" s="937"/>
      <c r="C34" s="937"/>
      <c r="D34" s="937"/>
      <c r="E34" s="937"/>
      <c r="F34" s="937"/>
      <c r="G34" s="937"/>
    </row>
    <row r="35" spans="1:30">
      <c r="A35" s="937" t="s">
        <v>478</v>
      </c>
      <c r="B35" s="937"/>
      <c r="C35" s="937"/>
      <c r="D35" s="937"/>
      <c r="E35" s="937"/>
      <c r="F35" s="937"/>
      <c r="G35" s="937"/>
    </row>
    <row r="36" spans="1:30">
      <c r="A36" s="937" t="str">
        <f>A6</f>
        <v>For the 13 Months Ended December 31, 2013</v>
      </c>
      <c r="B36" s="937"/>
      <c r="C36" s="937"/>
      <c r="D36" s="937"/>
      <c r="E36" s="937"/>
      <c r="F36" s="937"/>
      <c r="G36" s="937"/>
    </row>
    <row r="38" spans="1:30">
      <c r="B38" s="734" t="s">
        <v>1</v>
      </c>
      <c r="C38" s="734" t="s">
        <v>2</v>
      </c>
      <c r="D38" s="734" t="s">
        <v>3</v>
      </c>
      <c r="E38" s="734" t="s">
        <v>4</v>
      </c>
      <c r="F38" s="734" t="s">
        <v>5</v>
      </c>
      <c r="G38" s="734" t="s">
        <v>7</v>
      </c>
    </row>
    <row r="40" spans="1:30" ht="38.25">
      <c r="A40" s="376"/>
      <c r="B40" s="428" t="s">
        <v>481</v>
      </c>
      <c r="C40" s="375" t="str">
        <f t="shared" ref="C40:F42" si="3">C10</f>
        <v>CAPX 2020 Bemidji</v>
      </c>
      <c r="D40" s="375" t="str">
        <f t="shared" si="3"/>
        <v>CAPX 2020 Bemidji</v>
      </c>
      <c r="E40" s="375" t="str">
        <f t="shared" si="3"/>
        <v>CAPX 2020 Fargo</v>
      </c>
      <c r="F40" s="375" t="str">
        <f t="shared" si="3"/>
        <v>Rugby - G380</v>
      </c>
      <c r="G40" s="437" t="str">
        <f t="shared" ref="G40" si="4">G10</f>
        <v>Casselton-Buffalo 115kv Line</v>
      </c>
      <c r="H40" s="374"/>
    </row>
    <row r="41" spans="1:30">
      <c r="A41" s="542" t="s">
        <v>8</v>
      </c>
      <c r="B41" s="427" t="s">
        <v>482</v>
      </c>
      <c r="C41" s="541" t="str">
        <f t="shared" si="3"/>
        <v>Project 103487</v>
      </c>
      <c r="D41" s="541" t="str">
        <f t="shared" si="3"/>
        <v>Project 104395 &amp; 104587</v>
      </c>
      <c r="E41" s="541" t="str">
        <f t="shared" si="3"/>
        <v>Project (See Below)</v>
      </c>
      <c r="F41" s="541" t="str">
        <f t="shared" si="3"/>
        <v>Project (103897)</v>
      </c>
      <c r="G41" s="541" t="str">
        <f t="shared" ref="G41" si="5">G11</f>
        <v>Project (104761)</v>
      </c>
      <c r="H41" s="372"/>
    </row>
    <row r="42" spans="1:30">
      <c r="A42" s="540" t="s">
        <v>10</v>
      </c>
      <c r="B42" s="371" t="s">
        <v>46</v>
      </c>
      <c r="C42" s="426" t="str">
        <f t="shared" si="3"/>
        <v>MTEP No. 279</v>
      </c>
      <c r="D42" s="426" t="str">
        <f t="shared" si="3"/>
        <v>MTEP No. 3156</v>
      </c>
      <c r="E42" s="426" t="str">
        <f t="shared" si="3"/>
        <v>MTEP No. 286</v>
      </c>
      <c r="F42" s="426" t="str">
        <f t="shared" si="3"/>
        <v>MTEP No. 1462</v>
      </c>
      <c r="G42" s="426" t="str">
        <f>G12</f>
        <v>MTEP No. 3481</v>
      </c>
      <c r="H42" s="370" t="s">
        <v>16</v>
      </c>
    </row>
    <row r="43" spans="1:30" ht="15">
      <c r="A43" s="376">
        <v>1</v>
      </c>
      <c r="B43" s="433" t="str">
        <f>B13</f>
        <v>December 2012</v>
      </c>
      <c r="C43" s="355">
        <v>102090</v>
      </c>
      <c r="D43" s="355">
        <v>30199</v>
      </c>
      <c r="E43" s="355">
        <v>217017</v>
      </c>
      <c r="F43" s="251">
        <v>8454</v>
      </c>
      <c r="G43" s="720">
        <v>0</v>
      </c>
      <c r="H43" s="56">
        <f t="shared" ref="H43:H54" si="6">+SUM(C43:G43)</f>
        <v>357760</v>
      </c>
      <c r="J43" s="425"/>
      <c r="K43" s="425"/>
      <c r="L43" s="425"/>
      <c r="M43" s="425"/>
      <c r="N43" s="425"/>
      <c r="O43" s="425"/>
      <c r="P43" s="425"/>
      <c r="Q43" s="425"/>
      <c r="R43" s="425"/>
      <c r="S43" s="425"/>
      <c r="T43" s="425"/>
      <c r="U43" s="425"/>
      <c r="V43" s="425"/>
      <c r="AD43" s="424"/>
    </row>
    <row r="44" spans="1:30">
      <c r="A44" s="542">
        <f>+A43+1</f>
        <v>2</v>
      </c>
      <c r="B44" s="423" t="str">
        <f>B14</f>
        <v>January 2013</v>
      </c>
      <c r="C44" s="355">
        <v>130232</v>
      </c>
      <c r="D44" s="355">
        <v>37897</v>
      </c>
      <c r="E44" s="355">
        <v>233954</v>
      </c>
      <c r="F44" s="886">
        <v>8997</v>
      </c>
      <c r="G44" s="886">
        <v>0</v>
      </c>
      <c r="H44" s="56">
        <f t="shared" si="6"/>
        <v>411080</v>
      </c>
      <c r="L44" s="424"/>
      <c r="M44" s="424"/>
      <c r="N44" s="424"/>
      <c r="O44" s="424"/>
      <c r="P44" s="424"/>
      <c r="Q44" s="424"/>
      <c r="R44" s="424"/>
      <c r="S44" s="424"/>
      <c r="T44" s="424"/>
      <c r="U44" s="424"/>
      <c r="V44" s="424"/>
      <c r="W44" s="422"/>
    </row>
    <row r="45" spans="1:30">
      <c r="A45" s="542">
        <f>+A44+1</f>
        <v>3</v>
      </c>
      <c r="B45" s="368" t="s">
        <v>17</v>
      </c>
      <c r="C45" s="355">
        <v>158375</v>
      </c>
      <c r="D45" s="355">
        <v>45594</v>
      </c>
      <c r="E45" s="355">
        <v>250890</v>
      </c>
      <c r="F45" s="886">
        <v>9540</v>
      </c>
      <c r="G45" s="886">
        <v>0</v>
      </c>
      <c r="H45" s="56">
        <f t="shared" si="6"/>
        <v>464399</v>
      </c>
    </row>
    <row r="46" spans="1:30" ht="15">
      <c r="A46" s="542">
        <f>+A45+1</f>
        <v>4</v>
      </c>
      <c r="B46" s="368" t="s">
        <v>18</v>
      </c>
      <c r="C46" s="355">
        <v>186517</v>
      </c>
      <c r="D46" s="355">
        <v>55858</v>
      </c>
      <c r="E46" s="355">
        <v>267826</v>
      </c>
      <c r="F46" s="886">
        <v>10083</v>
      </c>
      <c r="G46" s="886">
        <v>0</v>
      </c>
      <c r="H46" s="56">
        <f t="shared" si="6"/>
        <v>520284</v>
      </c>
      <c r="J46" s="421"/>
      <c r="K46" s="421"/>
      <c r="L46" s="421"/>
      <c r="M46" s="421"/>
      <c r="N46" s="421"/>
      <c r="O46" s="421"/>
      <c r="P46" s="421"/>
      <c r="Q46" s="421"/>
      <c r="R46" s="421"/>
      <c r="S46" s="421"/>
      <c r="T46" s="421"/>
      <c r="U46" s="421"/>
      <c r="V46" s="421"/>
    </row>
    <row r="47" spans="1:30">
      <c r="A47" s="542">
        <f>+A46+1</f>
        <v>5</v>
      </c>
      <c r="B47" s="368" t="s">
        <v>19</v>
      </c>
      <c r="C47" s="355">
        <v>214659</v>
      </c>
      <c r="D47" s="355">
        <v>66121</v>
      </c>
      <c r="E47" s="355">
        <v>284762</v>
      </c>
      <c r="F47" s="886">
        <v>10626</v>
      </c>
      <c r="G47" s="886">
        <v>0</v>
      </c>
      <c r="H47" s="56">
        <f t="shared" si="6"/>
        <v>576168</v>
      </c>
      <c r="K47" s="420"/>
      <c r="L47" s="420"/>
      <c r="M47" s="420"/>
      <c r="N47" s="420"/>
      <c r="O47" s="420"/>
      <c r="P47" s="420"/>
      <c r="Q47" s="420"/>
      <c r="R47" s="420"/>
      <c r="S47" s="420"/>
      <c r="T47" s="420"/>
      <c r="U47" s="420"/>
      <c r="V47" s="420"/>
    </row>
    <row r="48" spans="1:30">
      <c r="A48" s="542">
        <f>+A47+1</f>
        <v>6</v>
      </c>
      <c r="B48" s="368" t="s">
        <v>20</v>
      </c>
      <c r="C48" s="355">
        <v>242801</v>
      </c>
      <c r="D48" s="355">
        <v>76385</v>
      </c>
      <c r="E48" s="355">
        <v>301698</v>
      </c>
      <c r="F48" s="886">
        <v>11169</v>
      </c>
      <c r="G48" s="886">
        <v>0</v>
      </c>
      <c r="H48" s="56">
        <f t="shared" si="6"/>
        <v>632053</v>
      </c>
      <c r="K48" s="419"/>
      <c r="L48" s="419"/>
      <c r="M48" s="419"/>
      <c r="N48" s="419"/>
      <c r="O48" s="419"/>
      <c r="P48" s="419"/>
      <c r="Q48" s="419"/>
      <c r="R48" s="419"/>
      <c r="S48" s="419"/>
      <c r="T48" s="419"/>
      <c r="U48" s="419"/>
      <c r="V48" s="419"/>
      <c r="W48" s="419"/>
      <c r="X48" s="419"/>
    </row>
    <row r="49" spans="1:22" ht="15">
      <c r="A49" s="542">
        <f t="shared" ref="A49:A57" si="7">+A48+1</f>
        <v>7</v>
      </c>
      <c r="B49" s="368" t="s">
        <v>21</v>
      </c>
      <c r="C49" s="355">
        <v>270943</v>
      </c>
      <c r="D49" s="355">
        <v>86648</v>
      </c>
      <c r="E49" s="355">
        <v>318635</v>
      </c>
      <c r="F49" s="886">
        <v>11712</v>
      </c>
      <c r="G49" s="886">
        <v>0</v>
      </c>
      <c r="H49" s="56">
        <f t="shared" si="6"/>
        <v>687938</v>
      </c>
      <c r="J49" s="418"/>
      <c r="K49" s="418"/>
      <c r="L49" s="418"/>
      <c r="M49" s="418"/>
      <c r="N49" s="418"/>
      <c r="O49" s="418"/>
      <c r="P49" s="418"/>
      <c r="Q49" s="418"/>
      <c r="R49" s="418"/>
      <c r="S49" s="418"/>
      <c r="T49" s="418"/>
      <c r="U49" s="418"/>
      <c r="V49" s="418"/>
    </row>
    <row r="50" spans="1:22">
      <c r="A50" s="542">
        <f t="shared" si="7"/>
        <v>8</v>
      </c>
      <c r="B50" s="368" t="s">
        <v>22</v>
      </c>
      <c r="C50" s="355">
        <v>299085</v>
      </c>
      <c r="D50" s="355">
        <v>96911</v>
      </c>
      <c r="E50" s="355">
        <v>335571</v>
      </c>
      <c r="F50" s="886">
        <v>12255</v>
      </c>
      <c r="G50" s="886">
        <v>0</v>
      </c>
      <c r="H50" s="56">
        <f t="shared" si="6"/>
        <v>743822</v>
      </c>
    </row>
    <row r="51" spans="1:22">
      <c r="A51" s="542">
        <f t="shared" si="7"/>
        <v>9</v>
      </c>
      <c r="B51" s="368" t="s">
        <v>23</v>
      </c>
      <c r="C51" s="355">
        <v>327227</v>
      </c>
      <c r="D51" s="355">
        <v>107147</v>
      </c>
      <c r="E51" s="355">
        <v>352507</v>
      </c>
      <c r="F51" s="886">
        <v>12798</v>
      </c>
      <c r="G51" s="886">
        <v>0</v>
      </c>
      <c r="H51" s="56">
        <f t="shared" si="6"/>
        <v>799679</v>
      </c>
    </row>
    <row r="52" spans="1:22">
      <c r="A52" s="542">
        <f t="shared" si="7"/>
        <v>10</v>
      </c>
      <c r="B52" s="368" t="s">
        <v>24</v>
      </c>
      <c r="C52" s="355">
        <v>355369</v>
      </c>
      <c r="D52" s="355">
        <v>117317</v>
      </c>
      <c r="E52" s="355">
        <v>369443</v>
      </c>
      <c r="F52" s="886">
        <v>13341</v>
      </c>
      <c r="G52" s="886">
        <v>0</v>
      </c>
      <c r="H52" s="56">
        <f t="shared" si="6"/>
        <v>855470</v>
      </c>
    </row>
    <row r="53" spans="1:22">
      <c r="A53" s="542">
        <f t="shared" si="7"/>
        <v>11</v>
      </c>
      <c r="B53" s="368" t="s">
        <v>25</v>
      </c>
      <c r="C53" s="355">
        <v>383511</v>
      </c>
      <c r="D53" s="355">
        <v>127488</v>
      </c>
      <c r="E53" s="355">
        <v>386379</v>
      </c>
      <c r="F53" s="886">
        <v>13884</v>
      </c>
      <c r="G53" s="886">
        <v>0</v>
      </c>
      <c r="H53" s="56">
        <f t="shared" si="6"/>
        <v>911262</v>
      </c>
    </row>
    <row r="54" spans="1:22">
      <c r="A54" s="542">
        <f t="shared" si="7"/>
        <v>12</v>
      </c>
      <c r="B54" s="368" t="s">
        <v>26</v>
      </c>
      <c r="C54" s="355">
        <v>411653</v>
      </c>
      <c r="D54" s="355">
        <v>137658</v>
      </c>
      <c r="E54" s="355">
        <v>397182</v>
      </c>
      <c r="F54" s="886">
        <v>14427</v>
      </c>
      <c r="G54" s="886">
        <v>0</v>
      </c>
      <c r="H54" s="56">
        <f t="shared" si="6"/>
        <v>960920</v>
      </c>
    </row>
    <row r="55" spans="1:22">
      <c r="A55" s="542">
        <f t="shared" si="7"/>
        <v>13</v>
      </c>
      <c r="B55" s="368" t="s">
        <v>27</v>
      </c>
      <c r="C55" s="355">
        <v>439795</v>
      </c>
      <c r="D55" s="355">
        <v>147828</v>
      </c>
      <c r="E55" s="355">
        <v>407985</v>
      </c>
      <c r="F55" s="886">
        <v>14970</v>
      </c>
      <c r="G55" s="886">
        <v>0</v>
      </c>
      <c r="H55" s="56">
        <f>+SUM(C55:G55)</f>
        <v>1010578</v>
      </c>
    </row>
    <row r="56" spans="1:22">
      <c r="A56" s="542">
        <f t="shared" si="7"/>
        <v>14</v>
      </c>
      <c r="B56" s="368"/>
      <c r="C56" s="103"/>
      <c r="E56" s="103"/>
      <c r="F56" s="103"/>
      <c r="G56" s="886"/>
      <c r="H56" s="55"/>
    </row>
    <row r="57" spans="1:22">
      <c r="A57" s="542">
        <f t="shared" si="7"/>
        <v>15</v>
      </c>
      <c r="B57" s="427" t="s">
        <v>480</v>
      </c>
      <c r="C57" s="417">
        <f>+AVERAGE(C43:C55)</f>
        <v>270942.84615384613</v>
      </c>
      <c r="D57" s="417">
        <f>+AVERAGE(D43:D55)</f>
        <v>87157.769230769234</v>
      </c>
      <c r="E57" s="417">
        <f>+AVERAGE(E43:E55)</f>
        <v>317219.15384615387</v>
      </c>
      <c r="F57" s="417">
        <f>+AVERAGE(F43:F55)</f>
        <v>11712</v>
      </c>
      <c r="G57" s="417">
        <f>+AVERAGE(G43:G55)</f>
        <v>0</v>
      </c>
      <c r="H57" s="416">
        <f>+SUM(C57:G57)</f>
        <v>687031.76923076925</v>
      </c>
    </row>
    <row r="58" spans="1:22">
      <c r="A58" s="542"/>
      <c r="B58" s="532"/>
      <c r="C58" s="886"/>
      <c r="D58" s="886"/>
      <c r="E58" s="886"/>
      <c r="F58" s="886"/>
      <c r="G58" s="886"/>
      <c r="H58" s="415"/>
    </row>
    <row r="59" spans="1:22" ht="13.5" thickBot="1">
      <c r="A59" s="542"/>
      <c r="B59" s="427" t="s">
        <v>479</v>
      </c>
      <c r="C59" s="414">
        <f>C27-C57</f>
        <v>15325028.71692308</v>
      </c>
      <c r="D59" s="414">
        <f>D27-D57</f>
        <v>6961675.1284615379</v>
      </c>
      <c r="E59" s="414">
        <f>E27-E57</f>
        <v>40206862.047692291</v>
      </c>
      <c r="F59" s="414">
        <f>F27-F57</f>
        <v>382687</v>
      </c>
      <c r="G59" s="414">
        <f>G27-G57</f>
        <v>465264.76923076925</v>
      </c>
      <c r="H59" s="413">
        <f t="shared" ref="H59" si="8">H27-H57</f>
        <v>63341517.66230768</v>
      </c>
      <c r="I59" s="431">
        <f>H59-SUM(C59:G59)</f>
        <v>0</v>
      </c>
      <c r="J59" s="430" t="s">
        <v>541</v>
      </c>
    </row>
    <row r="60" spans="1:22" ht="13.5" thickTop="1">
      <c r="A60" s="542"/>
      <c r="B60" s="532"/>
      <c r="C60" s="412"/>
      <c r="D60" s="412"/>
      <c r="E60" s="412"/>
      <c r="F60" s="410"/>
      <c r="G60" s="411"/>
      <c r="H60" s="145"/>
    </row>
    <row r="61" spans="1:22">
      <c r="A61" s="529"/>
      <c r="B61" s="144" t="s">
        <v>477</v>
      </c>
      <c r="C61" s="409">
        <f>C55-C43</f>
        <v>337705</v>
      </c>
      <c r="D61" s="409">
        <f>D55-D43</f>
        <v>117629</v>
      </c>
      <c r="E61" s="409">
        <f>E55-E43</f>
        <v>190968</v>
      </c>
      <c r="F61" s="408">
        <f>F55-F43</f>
        <v>6516</v>
      </c>
      <c r="G61" s="408">
        <f t="shared" ref="G61:H61" si="9">G55-G43</f>
        <v>0</v>
      </c>
      <c r="H61" s="407">
        <f t="shared" si="9"/>
        <v>652818</v>
      </c>
    </row>
    <row r="62" spans="1:22">
      <c r="G62" s="406">
        <f>H61-SUM(C61:G61)</f>
        <v>0</v>
      </c>
      <c r="H62" s="430" t="s">
        <v>541</v>
      </c>
    </row>
  </sheetData>
  <mergeCells count="6">
    <mergeCell ref="A36:G36"/>
    <mergeCell ref="A4:G4"/>
    <mergeCell ref="A5:G5"/>
    <mergeCell ref="A6:G6"/>
    <mergeCell ref="A34:G34"/>
    <mergeCell ref="A35:G35"/>
  </mergeCells>
  <printOptions horizontalCentered="1"/>
  <pageMargins left="0.75" right="0.75" top="0.75" bottom="0.75" header="0.5" footer="0.5"/>
  <pageSetup scale="59" orientation="portrait" r:id="rId1"/>
  <headerFooter>
    <oddHeader xml:space="preserve">&amp;R&amp;"Arial,Regular"&amp;10Attachment GG Work Paper
Page 1 of 1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4:X62"/>
  <sheetViews>
    <sheetView showGridLines="0" workbookViewId="0">
      <selection activeCell="D70" sqref="D70"/>
    </sheetView>
  </sheetViews>
  <sheetFormatPr defaultRowHeight="12.75"/>
  <cols>
    <col min="1" max="1" width="3.6640625" style="734" customWidth="1"/>
    <col min="2" max="2" width="20.33203125" style="544" customWidth="1"/>
    <col min="3" max="3" width="15.5546875" style="544" customWidth="1"/>
    <col min="4" max="4" width="14.6640625" style="544" customWidth="1"/>
    <col min="5" max="5" width="14.21875" style="544" customWidth="1"/>
    <col min="6" max="6" width="12.77734375" style="544" customWidth="1"/>
    <col min="7" max="10" width="8.88671875" style="696"/>
    <col min="11" max="11" width="10.77734375" style="696" bestFit="1" customWidth="1"/>
    <col min="12" max="12" width="11.109375" style="696" bestFit="1" customWidth="1"/>
    <col min="13" max="13" width="11.6640625" style="696" bestFit="1" customWidth="1"/>
    <col min="14" max="16384" width="8.88671875" style="696"/>
  </cols>
  <sheetData>
    <row r="4" spans="1:13">
      <c r="A4" s="937" t="s">
        <v>0</v>
      </c>
      <c r="B4" s="937"/>
      <c r="C4" s="937"/>
      <c r="D4" s="937"/>
      <c r="E4" s="937"/>
      <c r="F4" s="937"/>
      <c r="G4" s="891"/>
      <c r="H4" s="739"/>
      <c r="I4" s="739"/>
      <c r="J4" s="739"/>
    </row>
    <row r="5" spans="1:13">
      <c r="A5" s="937" t="s">
        <v>542</v>
      </c>
      <c r="B5" s="937"/>
      <c r="C5" s="937"/>
      <c r="D5" s="937"/>
      <c r="E5" s="937"/>
      <c r="F5" s="937"/>
      <c r="G5" s="386"/>
    </row>
    <row r="6" spans="1:13">
      <c r="A6" s="937" t="str">
        <f>'Attachment GG Projects'!A6:G6</f>
        <v>For the 13 Months Ended December 31, 2013</v>
      </c>
      <c r="B6" s="937"/>
      <c r="C6" s="937"/>
      <c r="D6" s="937"/>
      <c r="E6" s="937"/>
      <c r="F6" s="937"/>
    </row>
    <row r="8" spans="1:13">
      <c r="B8" s="734" t="s">
        <v>1</v>
      </c>
      <c r="C8" s="734" t="s">
        <v>2</v>
      </c>
      <c r="D8" s="734" t="s">
        <v>3</v>
      </c>
      <c r="E8" s="734" t="s">
        <v>4</v>
      </c>
      <c r="F8" s="734" t="s">
        <v>5</v>
      </c>
    </row>
    <row r="10" spans="1:13">
      <c r="A10" s="376"/>
      <c r="B10" s="378"/>
      <c r="C10" s="375" t="s">
        <v>360</v>
      </c>
      <c r="D10" s="375" t="s">
        <v>526</v>
      </c>
      <c r="E10" s="375" t="s">
        <v>525</v>
      </c>
      <c r="F10" s="374"/>
    </row>
    <row r="11" spans="1:13">
      <c r="A11" s="542" t="s">
        <v>8</v>
      </c>
      <c r="B11" s="373"/>
      <c r="C11" s="541" t="s">
        <v>545</v>
      </c>
      <c r="D11" s="541" t="s">
        <v>544</v>
      </c>
      <c r="E11" s="541" t="s">
        <v>545</v>
      </c>
      <c r="F11" s="372"/>
    </row>
    <row r="12" spans="1:13">
      <c r="A12" s="540" t="s">
        <v>10</v>
      </c>
      <c r="B12" s="371" t="s">
        <v>46</v>
      </c>
      <c r="C12" s="539" t="s">
        <v>473</v>
      </c>
      <c r="D12" s="539" t="s">
        <v>527</v>
      </c>
      <c r="E12" s="539" t="s">
        <v>528</v>
      </c>
      <c r="F12" s="370" t="s">
        <v>16</v>
      </c>
      <c r="L12" s="704"/>
      <c r="M12" s="704"/>
    </row>
    <row r="13" spans="1:13">
      <c r="A13" s="376">
        <v>1</v>
      </c>
      <c r="B13" s="433" t="str">
        <f>'Attachment GG Projects'!B13</f>
        <v>December 2012</v>
      </c>
      <c r="C13" s="727">
        <f>'Page 3 - CWIP'!F13</f>
        <v>7421770.9299999997</v>
      </c>
      <c r="D13" s="727">
        <f>'Page 3 - CWIP'!G13</f>
        <v>841286.71</v>
      </c>
      <c r="E13" s="886">
        <f>'Page 3 - CWIP'!H13</f>
        <v>2256487.19</v>
      </c>
      <c r="F13" s="56">
        <f t="shared" ref="F13:F25" si="0">+SUM(C13:E13)</f>
        <v>10519544.83</v>
      </c>
      <c r="H13" s="727"/>
      <c r="I13" s="727"/>
      <c r="J13" s="727"/>
      <c r="L13" s="727"/>
      <c r="M13" s="727"/>
    </row>
    <row r="14" spans="1:13">
      <c r="A14" s="542">
        <f>+A13+1</f>
        <v>2</v>
      </c>
      <c r="B14" s="434" t="str">
        <f>'Attachment GG Projects'!B14</f>
        <v>January 2013</v>
      </c>
      <c r="C14" s="727">
        <f>'Page 3 - CWIP'!F14</f>
        <v>8075794.6999999899</v>
      </c>
      <c r="D14" s="727">
        <f>'Page 3 - CWIP'!G14</f>
        <v>809126.41</v>
      </c>
      <c r="E14" s="886">
        <f>'Page 3 - CWIP'!H14</f>
        <v>2258049.67</v>
      </c>
      <c r="F14" s="56">
        <f t="shared" si="0"/>
        <v>11142970.77999999</v>
      </c>
      <c r="H14" s="727"/>
      <c r="I14" s="727"/>
      <c r="J14" s="727"/>
      <c r="L14" s="727"/>
      <c r="M14" s="727"/>
    </row>
    <row r="15" spans="1:13">
      <c r="A15" s="542">
        <f>+A14+1</f>
        <v>3</v>
      </c>
      <c r="B15" s="368" t="s">
        <v>17</v>
      </c>
      <c r="C15" s="727">
        <f>'Page 3 - CWIP'!F15</f>
        <v>8749895.5899999999</v>
      </c>
      <c r="D15" s="727">
        <f>'Page 3 - CWIP'!G15</f>
        <v>900443.69</v>
      </c>
      <c r="E15" s="886">
        <f>'Page 3 - CWIP'!H15</f>
        <v>3124276.04</v>
      </c>
      <c r="F15" s="56">
        <f t="shared" si="0"/>
        <v>12774615.32</v>
      </c>
      <c r="H15" s="727"/>
      <c r="I15" s="727"/>
      <c r="J15" s="727"/>
      <c r="L15" s="727"/>
      <c r="M15" s="727"/>
    </row>
    <row r="16" spans="1:13">
      <c r="A16" s="542">
        <f>+A15+1</f>
        <v>4</v>
      </c>
      <c r="B16" s="368" t="s">
        <v>18</v>
      </c>
      <c r="C16" s="727">
        <f>'Page 3 - CWIP'!F16</f>
        <v>9530361.3399999999</v>
      </c>
      <c r="D16" s="727">
        <f>'Page 3 - CWIP'!G16</f>
        <v>952370.72</v>
      </c>
      <c r="E16" s="886">
        <f>'Page 3 - CWIP'!H16</f>
        <v>3314120.56</v>
      </c>
      <c r="F16" s="56">
        <f t="shared" si="0"/>
        <v>13796852.620000001</v>
      </c>
      <c r="H16" s="727"/>
      <c r="I16" s="727"/>
      <c r="J16" s="727"/>
      <c r="L16" s="727"/>
      <c r="M16" s="727"/>
    </row>
    <row r="17" spans="1:24">
      <c r="A17" s="542">
        <f>+A16+1</f>
        <v>5</v>
      </c>
      <c r="B17" s="368" t="s">
        <v>19</v>
      </c>
      <c r="C17" s="727">
        <f>'Page 3 - CWIP'!F17</f>
        <v>10153730.6399999</v>
      </c>
      <c r="D17" s="727">
        <f>'Page 3 - CWIP'!G17</f>
        <v>1109942.98</v>
      </c>
      <c r="E17" s="886">
        <f>'Page 3 - CWIP'!H17</f>
        <v>3339200.9499999899</v>
      </c>
      <c r="F17" s="56">
        <f t="shared" si="0"/>
        <v>14602874.56999989</v>
      </c>
      <c r="H17" s="727"/>
      <c r="I17" s="727"/>
      <c r="J17" s="727"/>
      <c r="L17" s="727"/>
      <c r="M17" s="727"/>
    </row>
    <row r="18" spans="1:24">
      <c r="A18" s="542">
        <f>+A17+1</f>
        <v>6</v>
      </c>
      <c r="B18" s="368" t="s">
        <v>20</v>
      </c>
      <c r="C18" s="727">
        <f>'Page 3 - CWIP'!F18</f>
        <v>10819063.33</v>
      </c>
      <c r="D18" s="727">
        <f>'Page 3 - CWIP'!G18</f>
        <v>1327298.94</v>
      </c>
      <c r="E18" s="886">
        <f>'Page 3 - CWIP'!H18</f>
        <v>3423056.74</v>
      </c>
      <c r="F18" s="56">
        <f t="shared" si="0"/>
        <v>15569419.01</v>
      </c>
      <c r="H18" s="727"/>
      <c r="I18" s="727"/>
      <c r="J18" s="727"/>
      <c r="L18" s="727"/>
      <c r="M18" s="727"/>
    </row>
    <row r="19" spans="1:24">
      <c r="A19" s="542">
        <f t="shared" ref="A19:A27" si="1">+A18+1</f>
        <v>7</v>
      </c>
      <c r="B19" s="368" t="s">
        <v>21</v>
      </c>
      <c r="C19" s="727">
        <f>'Page 3 - CWIP'!F19</f>
        <v>11577430.220000001</v>
      </c>
      <c r="D19" s="727">
        <f>'Page 3 - CWIP'!G19</f>
        <v>1442188.25</v>
      </c>
      <c r="E19" s="886">
        <f>'Page 3 - CWIP'!H19</f>
        <v>3658328.33</v>
      </c>
      <c r="F19" s="56">
        <f t="shared" si="0"/>
        <v>16677946.800000001</v>
      </c>
      <c r="H19" s="727"/>
      <c r="I19" s="727"/>
      <c r="J19" s="727"/>
      <c r="L19" s="727"/>
      <c r="M19" s="727"/>
    </row>
    <row r="20" spans="1:24">
      <c r="A20" s="542">
        <f t="shared" si="1"/>
        <v>8</v>
      </c>
      <c r="B20" s="368" t="s">
        <v>22</v>
      </c>
      <c r="C20" s="727">
        <f>'Page 3 - CWIP'!F20</f>
        <v>12544708.18</v>
      </c>
      <c r="D20" s="727">
        <f>'Page 3 - CWIP'!G20</f>
        <v>1812078.25</v>
      </c>
      <c r="E20" s="886">
        <f>'Page 3 - CWIP'!H20</f>
        <v>3719440.67</v>
      </c>
      <c r="F20" s="56">
        <f t="shared" si="0"/>
        <v>18076227.100000001</v>
      </c>
      <c r="H20" s="727"/>
      <c r="I20" s="727"/>
      <c r="J20" s="727"/>
      <c r="L20" s="727"/>
      <c r="M20" s="727"/>
    </row>
    <row r="21" spans="1:24">
      <c r="A21" s="542">
        <f t="shared" si="1"/>
        <v>9</v>
      </c>
      <c r="B21" s="368" t="s">
        <v>23</v>
      </c>
      <c r="C21" s="727">
        <f>'Page 3 - CWIP'!F21</f>
        <v>13566477.119999999</v>
      </c>
      <c r="D21" s="727">
        <f>'Page 3 - CWIP'!G21</f>
        <v>2104471.14</v>
      </c>
      <c r="E21" s="886">
        <f>'Page 3 - CWIP'!H21</f>
        <v>3808276.71</v>
      </c>
      <c r="F21" s="56">
        <f t="shared" si="0"/>
        <v>19479224.969999999</v>
      </c>
      <c r="H21" s="727"/>
      <c r="I21" s="727"/>
      <c r="J21" s="727"/>
      <c r="L21" s="727"/>
      <c r="M21" s="727"/>
    </row>
    <row r="22" spans="1:24">
      <c r="A22" s="542">
        <f t="shared" si="1"/>
        <v>10</v>
      </c>
      <c r="B22" s="368" t="s">
        <v>24</v>
      </c>
      <c r="C22" s="727">
        <f>'Page 3 - CWIP'!F22</f>
        <v>14634263.07</v>
      </c>
      <c r="D22" s="727">
        <f>'Page 3 - CWIP'!G22</f>
        <v>2422591.92</v>
      </c>
      <c r="E22" s="886">
        <f>'Page 3 - CWIP'!H22</f>
        <v>3902405.8299999898</v>
      </c>
      <c r="F22" s="56">
        <f t="shared" si="0"/>
        <v>20959260.819999993</v>
      </c>
      <c r="H22" s="727"/>
      <c r="I22" s="727"/>
      <c r="J22" s="727"/>
      <c r="L22" s="727"/>
      <c r="M22" s="727"/>
    </row>
    <row r="23" spans="1:24">
      <c r="A23" s="542">
        <f t="shared" si="1"/>
        <v>11</v>
      </c>
      <c r="B23" s="368" t="s">
        <v>25</v>
      </c>
      <c r="C23" s="727">
        <f>'Page 3 - CWIP'!F23</f>
        <v>15744230.59</v>
      </c>
      <c r="D23" s="727">
        <f>'Page 3 - CWIP'!G23</f>
        <v>2566394.11</v>
      </c>
      <c r="E23" s="886">
        <f>'Page 3 - CWIP'!H23</f>
        <v>3987827.4</v>
      </c>
      <c r="F23" s="56">
        <f t="shared" si="0"/>
        <v>22298452.099999998</v>
      </c>
      <c r="H23" s="727"/>
      <c r="I23" s="727"/>
      <c r="J23" s="727"/>
      <c r="L23" s="727"/>
      <c r="M23" s="727"/>
    </row>
    <row r="24" spans="1:24">
      <c r="A24" s="542">
        <f t="shared" si="1"/>
        <v>12</v>
      </c>
      <c r="B24" s="368" t="s">
        <v>26</v>
      </c>
      <c r="C24" s="727">
        <f>'Page 3 - CWIP'!F24</f>
        <v>16479610</v>
      </c>
      <c r="D24" s="727">
        <f>'Page 3 - CWIP'!G24</f>
        <v>2778724.74</v>
      </c>
      <c r="E24" s="886">
        <f>'Page 3 - CWIP'!H24</f>
        <v>3972362.0799999898</v>
      </c>
      <c r="F24" s="56">
        <f t="shared" si="0"/>
        <v>23230696.819999993</v>
      </c>
      <c r="H24" s="727"/>
      <c r="I24" s="727"/>
      <c r="J24" s="727"/>
      <c r="L24" s="727"/>
      <c r="M24" s="727"/>
    </row>
    <row r="25" spans="1:24">
      <c r="A25" s="542">
        <f t="shared" si="1"/>
        <v>13</v>
      </c>
      <c r="B25" s="368" t="s">
        <v>27</v>
      </c>
      <c r="C25" s="727">
        <f>'Page 3 - CWIP'!F25</f>
        <v>17424422.579999998</v>
      </c>
      <c r="D25" s="727">
        <f>'Page 3 - CWIP'!G25</f>
        <v>3261420.03</v>
      </c>
      <c r="E25" s="886">
        <f>'Page 3 - CWIP'!H25</f>
        <v>4123236.2</v>
      </c>
      <c r="F25" s="56">
        <f t="shared" si="0"/>
        <v>24809078.809999999</v>
      </c>
      <c r="H25" s="727"/>
      <c r="I25" s="727"/>
      <c r="J25" s="727"/>
      <c r="L25" s="727"/>
      <c r="M25" s="727"/>
    </row>
    <row r="26" spans="1:24">
      <c r="A26" s="542">
        <f t="shared" si="1"/>
        <v>14</v>
      </c>
      <c r="B26" s="368"/>
      <c r="C26" s="103"/>
      <c r="D26" s="103"/>
      <c r="E26" s="103"/>
      <c r="F26" s="56"/>
    </row>
    <row r="27" spans="1:24">
      <c r="A27" s="542">
        <f t="shared" si="1"/>
        <v>15</v>
      </c>
      <c r="B27" s="532" t="s">
        <v>28</v>
      </c>
      <c r="C27" s="146">
        <f>+AVERAGE(C13:C25)</f>
        <v>12055519.868461531</v>
      </c>
      <c r="D27" s="146">
        <f>+AVERAGE(D13:D25)</f>
        <v>1717564.453076923</v>
      </c>
      <c r="E27" s="146">
        <f>+AVERAGE(E13:E25)</f>
        <v>3452851.4130769214</v>
      </c>
      <c r="F27" s="432">
        <f>+SUM(C27:E27)</f>
        <v>17225935.734615374</v>
      </c>
      <c r="G27" s="431">
        <f>AVERAGE(F13:F25)-F27</f>
        <v>0</v>
      </c>
      <c r="H27" s="430" t="s">
        <v>541</v>
      </c>
    </row>
    <row r="28" spans="1:24">
      <c r="A28" s="529"/>
      <c r="B28" s="528"/>
      <c r="C28" s="429"/>
      <c r="D28" s="429"/>
      <c r="E28" s="429"/>
      <c r="F28" s="526"/>
      <c r="K28" s="704"/>
    </row>
    <row r="29" spans="1:24" ht="15">
      <c r="C29" s="878"/>
      <c r="K29" s="727"/>
      <c r="L29" s="404"/>
      <c r="M29" s="403"/>
      <c r="N29" s="402"/>
      <c r="O29" s="402"/>
      <c r="P29" s="402"/>
      <c r="Q29" s="402"/>
      <c r="R29" s="402"/>
      <c r="S29" s="402"/>
      <c r="T29" s="402"/>
      <c r="U29" s="402"/>
      <c r="V29" s="402"/>
      <c r="W29" s="402"/>
      <c r="X29" s="402"/>
    </row>
    <row r="30" spans="1:24" ht="15">
      <c r="B30" s="878" t="s">
        <v>546</v>
      </c>
      <c r="C30" s="524"/>
      <c r="D30" s="524"/>
      <c r="K30" s="727"/>
      <c r="L30" s="727"/>
      <c r="M30" s="403"/>
    </row>
    <row r="31" spans="1:24" ht="15">
      <c r="B31" s="878" t="s">
        <v>641</v>
      </c>
      <c r="C31" s="524"/>
      <c r="D31" s="524"/>
      <c r="K31" s="727"/>
      <c r="L31" s="727"/>
      <c r="M31" s="403"/>
    </row>
    <row r="32" spans="1:24" ht="15">
      <c r="B32" s="878"/>
      <c r="C32" s="524"/>
      <c r="D32" s="524"/>
      <c r="K32" s="727"/>
      <c r="L32" s="727"/>
      <c r="M32" s="403"/>
    </row>
    <row r="33" spans="1:21" ht="15">
      <c r="B33" s="405"/>
      <c r="K33" s="727"/>
      <c r="L33" s="727"/>
      <c r="M33" s="403"/>
    </row>
    <row r="34" spans="1:21" ht="15">
      <c r="A34" s="937" t="s">
        <v>0</v>
      </c>
      <c r="B34" s="937"/>
      <c r="C34" s="937"/>
      <c r="D34" s="937"/>
      <c r="E34" s="937"/>
      <c r="F34" s="937"/>
      <c r="K34" s="727"/>
      <c r="L34" s="727"/>
      <c r="M34" s="403"/>
    </row>
    <row r="35" spans="1:21" ht="15">
      <c r="A35" s="937" t="s">
        <v>478</v>
      </c>
      <c r="B35" s="937"/>
      <c r="C35" s="937"/>
      <c r="D35" s="937"/>
      <c r="E35" s="937"/>
      <c r="F35" s="937"/>
      <c r="K35" s="727"/>
      <c r="L35" s="727"/>
      <c r="M35" s="403"/>
    </row>
    <row r="36" spans="1:21" ht="15">
      <c r="A36" s="937" t="str">
        <f>'Attachment GG Projects'!A36:G36</f>
        <v>For the 13 Months Ended December 31, 2013</v>
      </c>
      <c r="B36" s="937"/>
      <c r="C36" s="937"/>
      <c r="D36" s="937"/>
      <c r="E36" s="937"/>
      <c r="F36" s="937"/>
      <c r="K36" s="727"/>
      <c r="L36" s="727"/>
      <c r="M36" s="403"/>
    </row>
    <row r="37" spans="1:21" ht="15">
      <c r="K37" s="727"/>
      <c r="L37" s="727"/>
      <c r="M37" s="403"/>
    </row>
    <row r="38" spans="1:21" ht="15">
      <c r="B38" s="734" t="str">
        <f>B8</f>
        <v>(A)</v>
      </c>
      <c r="C38" s="734" t="str">
        <f t="shared" ref="C38:F38" si="2">C8</f>
        <v>(B)</v>
      </c>
      <c r="D38" s="734" t="str">
        <f t="shared" si="2"/>
        <v>(C)</v>
      </c>
      <c r="E38" s="734" t="str">
        <f t="shared" si="2"/>
        <v>(D)</v>
      </c>
      <c r="F38" s="734" t="str">
        <f t="shared" si="2"/>
        <v>(E)</v>
      </c>
      <c r="K38" s="727"/>
      <c r="L38" s="727"/>
      <c r="M38" s="403"/>
    </row>
    <row r="39" spans="1:21" ht="15">
      <c r="K39" s="727"/>
      <c r="L39" s="727"/>
      <c r="M39" s="403"/>
    </row>
    <row r="40" spans="1:21" ht="15">
      <c r="A40" s="376"/>
      <c r="B40" s="428" t="s">
        <v>481</v>
      </c>
      <c r="C40" s="375" t="str">
        <f t="shared" ref="C40:E42" si="3">C10</f>
        <v>CAPX 2020 Brookings</v>
      </c>
      <c r="D40" s="375" t="str">
        <f t="shared" si="3"/>
        <v>BSS - Ellendale</v>
      </c>
      <c r="E40" s="375" t="str">
        <f t="shared" si="3"/>
        <v>BSS - Brookings</v>
      </c>
      <c r="F40" s="374"/>
      <c r="K40" s="727"/>
      <c r="L40" s="727"/>
      <c r="M40" s="403"/>
    </row>
    <row r="41" spans="1:21" ht="15">
      <c r="A41" s="542" t="s">
        <v>8</v>
      </c>
      <c r="B41" s="427" t="s">
        <v>482</v>
      </c>
      <c r="C41" s="541" t="str">
        <f t="shared" si="3"/>
        <v>Project (See Below)</v>
      </c>
      <c r="D41" s="541" t="str">
        <f t="shared" si="3"/>
        <v>Project (104593)</v>
      </c>
      <c r="E41" s="541" t="str">
        <f t="shared" si="3"/>
        <v>Project (See Below)</v>
      </c>
      <c r="F41" s="372"/>
      <c r="K41" s="727"/>
      <c r="L41" s="727"/>
      <c r="M41" s="403"/>
    </row>
    <row r="42" spans="1:21" ht="15">
      <c r="A42" s="540" t="s">
        <v>10</v>
      </c>
      <c r="B42" s="371" t="s">
        <v>46</v>
      </c>
      <c r="C42" s="426" t="str">
        <f t="shared" si="3"/>
        <v>MTEP No. 1203</v>
      </c>
      <c r="D42" s="426" t="str">
        <f t="shared" si="3"/>
        <v>MTEP No. 2220</v>
      </c>
      <c r="E42" s="426" t="str">
        <f t="shared" si="3"/>
        <v>MTEP No. 2221</v>
      </c>
      <c r="F42" s="370" t="s">
        <v>16</v>
      </c>
      <c r="H42" s="401"/>
      <c r="I42" s="401"/>
      <c r="J42" s="401"/>
      <c r="K42" s="401"/>
      <c r="L42" s="401"/>
      <c r="M42" s="400"/>
      <c r="N42" s="401"/>
      <c r="O42" s="401"/>
      <c r="P42" s="401"/>
      <c r="Q42" s="401"/>
      <c r="R42" s="401"/>
      <c r="S42" s="401"/>
      <c r="T42" s="401"/>
    </row>
    <row r="43" spans="1:21">
      <c r="A43" s="376">
        <v>1</v>
      </c>
      <c r="B43" s="433" t="str">
        <f>B13</f>
        <v>December 2012</v>
      </c>
      <c r="C43" s="727">
        <v>0</v>
      </c>
      <c r="D43" s="727">
        <v>0</v>
      </c>
      <c r="E43" s="727">
        <v>0</v>
      </c>
      <c r="F43" s="56">
        <f>+SUM(C43:E43)</f>
        <v>0</v>
      </c>
    </row>
    <row r="44" spans="1:21">
      <c r="A44" s="542">
        <f>+A43+1</f>
        <v>2</v>
      </c>
      <c r="B44" s="423" t="str">
        <f>B14</f>
        <v>January 2013</v>
      </c>
      <c r="C44" s="727">
        <v>0</v>
      </c>
      <c r="D44" s="727">
        <v>0</v>
      </c>
      <c r="E44" s="727">
        <v>0</v>
      </c>
      <c r="F44" s="56">
        <f t="shared" ref="F44:F55" si="4">+SUM(C44:E44)</f>
        <v>0</v>
      </c>
    </row>
    <row r="45" spans="1:21">
      <c r="A45" s="542">
        <f>+A44+1</f>
        <v>3</v>
      </c>
      <c r="B45" s="368" t="s">
        <v>17</v>
      </c>
      <c r="C45" s="727">
        <v>0</v>
      </c>
      <c r="D45" s="727">
        <v>0</v>
      </c>
      <c r="E45" s="727">
        <v>0</v>
      </c>
      <c r="F45" s="56">
        <f t="shared" si="4"/>
        <v>0</v>
      </c>
    </row>
    <row r="46" spans="1:21">
      <c r="A46" s="542">
        <f>+A45+1</f>
        <v>4</v>
      </c>
      <c r="B46" s="368" t="s">
        <v>18</v>
      </c>
      <c r="C46" s="727">
        <v>0</v>
      </c>
      <c r="D46" s="727">
        <v>0</v>
      </c>
      <c r="E46" s="727">
        <v>0</v>
      </c>
      <c r="F46" s="56">
        <f t="shared" si="4"/>
        <v>0</v>
      </c>
    </row>
    <row r="47" spans="1:21">
      <c r="A47" s="542">
        <f>+A46+1</f>
        <v>5</v>
      </c>
      <c r="B47" s="368" t="s">
        <v>19</v>
      </c>
      <c r="C47" s="727">
        <v>0</v>
      </c>
      <c r="D47" s="727">
        <v>0</v>
      </c>
      <c r="E47" s="727">
        <v>0</v>
      </c>
      <c r="F47" s="56">
        <f t="shared" si="4"/>
        <v>0</v>
      </c>
    </row>
    <row r="48" spans="1:21">
      <c r="A48" s="542">
        <f>+A47+1</f>
        <v>6</v>
      </c>
      <c r="B48" s="368" t="s">
        <v>20</v>
      </c>
      <c r="C48" s="727">
        <v>0</v>
      </c>
      <c r="D48" s="727">
        <v>0</v>
      </c>
      <c r="E48" s="727">
        <v>0</v>
      </c>
      <c r="F48" s="56">
        <f t="shared" si="4"/>
        <v>0</v>
      </c>
      <c r="I48" s="399"/>
      <c r="J48" s="399"/>
      <c r="K48" s="399"/>
      <c r="L48" s="399"/>
      <c r="M48" s="399"/>
      <c r="N48" s="399"/>
      <c r="O48" s="399"/>
      <c r="P48" s="399"/>
      <c r="Q48" s="399"/>
      <c r="R48" s="399"/>
      <c r="S48" s="399"/>
      <c r="T48" s="399"/>
      <c r="U48" s="399"/>
    </row>
    <row r="49" spans="1:8">
      <c r="A49" s="542">
        <f t="shared" ref="A49:A57" si="5">+A48+1</f>
        <v>7</v>
      </c>
      <c r="B49" s="368" t="s">
        <v>21</v>
      </c>
      <c r="C49" s="727">
        <v>0</v>
      </c>
      <c r="D49" s="727">
        <v>0</v>
      </c>
      <c r="E49" s="727">
        <v>0</v>
      </c>
      <c r="F49" s="56">
        <f t="shared" si="4"/>
        <v>0</v>
      </c>
    </row>
    <row r="50" spans="1:8">
      <c r="A50" s="542">
        <f t="shared" si="5"/>
        <v>8</v>
      </c>
      <c r="B50" s="368" t="s">
        <v>22</v>
      </c>
      <c r="C50" s="727">
        <v>0</v>
      </c>
      <c r="D50" s="727">
        <v>0</v>
      </c>
      <c r="E50" s="727">
        <v>0</v>
      </c>
      <c r="F50" s="56">
        <f t="shared" si="4"/>
        <v>0</v>
      </c>
    </row>
    <row r="51" spans="1:8">
      <c r="A51" s="542">
        <f t="shared" si="5"/>
        <v>9</v>
      </c>
      <c r="B51" s="368" t="s">
        <v>23</v>
      </c>
      <c r="C51" s="727">
        <v>0</v>
      </c>
      <c r="D51" s="727">
        <v>0</v>
      </c>
      <c r="E51" s="727">
        <v>0</v>
      </c>
      <c r="F51" s="56">
        <f t="shared" si="4"/>
        <v>0</v>
      </c>
    </row>
    <row r="52" spans="1:8">
      <c r="A52" s="542">
        <f t="shared" si="5"/>
        <v>10</v>
      </c>
      <c r="B52" s="368" t="s">
        <v>24</v>
      </c>
      <c r="C52" s="727">
        <v>0</v>
      </c>
      <c r="D52" s="727">
        <v>0</v>
      </c>
      <c r="E52" s="727">
        <v>0</v>
      </c>
      <c r="F52" s="56">
        <f t="shared" si="4"/>
        <v>0</v>
      </c>
    </row>
    <row r="53" spans="1:8">
      <c r="A53" s="542">
        <f t="shared" si="5"/>
        <v>11</v>
      </c>
      <c r="B53" s="368" t="s">
        <v>25</v>
      </c>
      <c r="C53" s="727">
        <v>0</v>
      </c>
      <c r="D53" s="727">
        <v>0</v>
      </c>
      <c r="E53" s="727">
        <v>0</v>
      </c>
      <c r="F53" s="56">
        <f t="shared" si="4"/>
        <v>0</v>
      </c>
    </row>
    <row r="54" spans="1:8">
      <c r="A54" s="542">
        <f t="shared" si="5"/>
        <v>12</v>
      </c>
      <c r="B54" s="368" t="s">
        <v>26</v>
      </c>
      <c r="C54" s="727">
        <v>0</v>
      </c>
      <c r="D54" s="727">
        <v>0</v>
      </c>
      <c r="E54" s="727">
        <v>0</v>
      </c>
      <c r="F54" s="56">
        <f t="shared" si="4"/>
        <v>0</v>
      </c>
    </row>
    <row r="55" spans="1:8">
      <c r="A55" s="542">
        <f t="shared" si="5"/>
        <v>13</v>
      </c>
      <c r="B55" s="368" t="s">
        <v>27</v>
      </c>
      <c r="C55" s="727">
        <v>0</v>
      </c>
      <c r="D55" s="727">
        <v>0</v>
      </c>
      <c r="E55" s="727">
        <v>0</v>
      </c>
      <c r="F55" s="56">
        <f t="shared" si="4"/>
        <v>0</v>
      </c>
    </row>
    <row r="56" spans="1:8">
      <c r="A56" s="542">
        <f t="shared" si="5"/>
        <v>14</v>
      </c>
      <c r="B56" s="368"/>
      <c r="C56" s="727"/>
      <c r="D56" s="727"/>
      <c r="E56" s="727"/>
      <c r="F56" s="55"/>
    </row>
    <row r="57" spans="1:8">
      <c r="A57" s="542">
        <f t="shared" si="5"/>
        <v>15</v>
      </c>
      <c r="B57" s="427" t="s">
        <v>480</v>
      </c>
      <c r="C57" s="398">
        <f>+AVERAGE(C43:C55)</f>
        <v>0</v>
      </c>
      <c r="D57" s="398">
        <f t="shared" ref="D57:E57" si="6">+AVERAGE(D43:D55)</f>
        <v>0</v>
      </c>
      <c r="E57" s="398">
        <f t="shared" si="6"/>
        <v>0</v>
      </c>
      <c r="F57" s="416">
        <f>+SUM(C57:E57)</f>
        <v>0</v>
      </c>
    </row>
    <row r="58" spans="1:8">
      <c r="A58" s="542"/>
      <c r="B58" s="532"/>
      <c r="C58" s="886"/>
      <c r="D58" s="886"/>
      <c r="E58" s="886"/>
      <c r="F58" s="415"/>
    </row>
    <row r="59" spans="1:8" ht="13.5" thickBot="1">
      <c r="A59" s="542"/>
      <c r="B59" s="427" t="s">
        <v>479</v>
      </c>
      <c r="C59" s="397">
        <f>C27-C57</f>
        <v>12055519.868461531</v>
      </c>
      <c r="D59" s="397">
        <f>D27-D57</f>
        <v>1717564.453076923</v>
      </c>
      <c r="E59" s="397">
        <f>E27-E57</f>
        <v>3452851.4130769214</v>
      </c>
      <c r="F59" s="413">
        <f>F27-F57</f>
        <v>17225935.734615374</v>
      </c>
      <c r="G59" s="431">
        <f>F59-SUM(C59:E59)</f>
        <v>0</v>
      </c>
      <c r="H59" s="430" t="s">
        <v>541</v>
      </c>
    </row>
    <row r="60" spans="1:8" ht="13.5" thickTop="1">
      <c r="A60" s="542"/>
      <c r="B60" s="532"/>
      <c r="C60" s="410"/>
      <c r="D60" s="396"/>
      <c r="E60" s="410"/>
      <c r="F60" s="145"/>
    </row>
    <row r="61" spans="1:8">
      <c r="A61" s="529"/>
      <c r="B61" s="144" t="s">
        <v>477</v>
      </c>
      <c r="C61" s="395">
        <f>C55-C43</f>
        <v>0</v>
      </c>
      <c r="D61" s="394">
        <f>D55-D43</f>
        <v>0</v>
      </c>
      <c r="E61" s="394">
        <f>E55-E43</f>
        <v>0</v>
      </c>
      <c r="F61" s="393">
        <f>F55-F43</f>
        <v>0</v>
      </c>
    </row>
    <row r="62" spans="1:8">
      <c r="F62" s="406">
        <f>F61-SUM(C61:E61)</f>
        <v>0</v>
      </c>
      <c r="G62" s="430" t="s">
        <v>541</v>
      </c>
    </row>
  </sheetData>
  <mergeCells count="6">
    <mergeCell ref="A36:F36"/>
    <mergeCell ref="A4:F4"/>
    <mergeCell ref="A5:F5"/>
    <mergeCell ref="A6:F6"/>
    <mergeCell ref="A34:F34"/>
    <mergeCell ref="A35:F35"/>
  </mergeCells>
  <printOptions horizontalCentered="1"/>
  <pageMargins left="0.75" right="0.75" top="0.75" bottom="0.75" header="0.5" footer="0.5"/>
  <pageSetup scale="75" orientation="portrait" r:id="rId1"/>
  <headerFooter>
    <oddHeader xml:space="preserve">&amp;R&amp;"Arial,Regular"&amp;10Attachment MM Work Paper
Page 1 of 1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4" workbookViewId="0">
      <selection activeCell="E28" sqref="E28"/>
    </sheetView>
  </sheetViews>
  <sheetFormatPr defaultRowHeight="15"/>
  <cols>
    <col min="3" max="3" width="27.77734375" bestFit="1" customWidth="1"/>
  </cols>
  <sheetData>
    <row r="1" spans="1:3" ht="15.75">
      <c r="A1" s="97" t="s">
        <v>553</v>
      </c>
      <c r="B1" s="115">
        <v>66902</v>
      </c>
      <c r="C1" s="97" t="s">
        <v>572</v>
      </c>
    </row>
    <row r="2" spans="1:3" ht="15.75">
      <c r="A2" s="97" t="s">
        <v>446</v>
      </c>
      <c r="B2" s="97">
        <v>2012</v>
      </c>
      <c r="C2" s="97" t="s">
        <v>446</v>
      </c>
    </row>
    <row r="3" spans="1:3" ht="15.75">
      <c r="A3" s="97" t="s">
        <v>446</v>
      </c>
      <c r="B3" s="97">
        <v>2013</v>
      </c>
      <c r="C3" s="97" t="s">
        <v>446</v>
      </c>
    </row>
    <row r="4" spans="1:3" ht="15.75">
      <c r="A4" s="97" t="s">
        <v>554</v>
      </c>
      <c r="B4" s="97">
        <v>1</v>
      </c>
      <c r="C4" s="97" t="s">
        <v>411</v>
      </c>
    </row>
    <row r="5" spans="1:3" ht="15.75">
      <c r="A5" s="97" t="s">
        <v>554</v>
      </c>
      <c r="B5" s="97">
        <v>2</v>
      </c>
      <c r="C5" s="97" t="s">
        <v>412</v>
      </c>
    </row>
    <row r="6" spans="1:3" ht="15.75">
      <c r="A6" s="97" t="s">
        <v>554</v>
      </c>
      <c r="B6" s="97">
        <v>3</v>
      </c>
      <c r="C6" s="97" t="s">
        <v>413</v>
      </c>
    </row>
    <row r="7" spans="1:3" ht="15.75">
      <c r="A7" s="97" t="s">
        <v>554</v>
      </c>
      <c r="B7" s="97">
        <v>4</v>
      </c>
      <c r="C7" s="97" t="s">
        <v>414</v>
      </c>
    </row>
    <row r="8" spans="1:3" ht="15.75">
      <c r="A8" s="97" t="s">
        <v>554</v>
      </c>
      <c r="B8" s="97">
        <v>5</v>
      </c>
      <c r="C8" s="97" t="s">
        <v>20</v>
      </c>
    </row>
    <row r="9" spans="1:3" ht="15.75">
      <c r="A9" s="97" t="s">
        <v>554</v>
      </c>
      <c r="B9" s="97">
        <v>6</v>
      </c>
      <c r="C9" s="97" t="s">
        <v>415</v>
      </c>
    </row>
    <row r="10" spans="1:3" ht="15.75">
      <c r="A10" s="97" t="s">
        <v>554</v>
      </c>
      <c r="B10" s="97">
        <v>7</v>
      </c>
      <c r="C10" s="97" t="s">
        <v>416</v>
      </c>
    </row>
    <row r="11" spans="1:3" ht="15.75">
      <c r="A11" s="97" t="s">
        <v>554</v>
      </c>
      <c r="B11" s="97">
        <v>8</v>
      </c>
      <c r="C11" s="97" t="s">
        <v>417</v>
      </c>
    </row>
    <row r="12" spans="1:3" ht="15.75">
      <c r="A12" s="97" t="s">
        <v>554</v>
      </c>
      <c r="B12" s="97">
        <v>9</v>
      </c>
      <c r="C12" s="97" t="s">
        <v>418</v>
      </c>
    </row>
    <row r="13" spans="1:3" ht="15.75">
      <c r="A13" s="97" t="s">
        <v>554</v>
      </c>
      <c r="B13" s="97">
        <v>10</v>
      </c>
      <c r="C13" s="97" t="s">
        <v>419</v>
      </c>
    </row>
    <row r="14" spans="1:3" ht="15.75">
      <c r="A14" s="97" t="s">
        <v>554</v>
      </c>
      <c r="B14" s="97">
        <v>11</v>
      </c>
      <c r="C14" s="97" t="s">
        <v>420</v>
      </c>
    </row>
    <row r="15" spans="1:3" ht="15.75">
      <c r="A15" s="97" t="s">
        <v>554</v>
      </c>
      <c r="B15" s="97">
        <v>12</v>
      </c>
      <c r="C15" s="97" t="s">
        <v>421</v>
      </c>
    </row>
    <row r="16" spans="1:3" ht="15.75">
      <c r="A16" s="97" t="s">
        <v>554</v>
      </c>
      <c r="B16" s="97">
        <v>0</v>
      </c>
      <c r="C16" s="97" t="s">
        <v>446</v>
      </c>
    </row>
    <row r="17" spans="1:3" ht="15.75">
      <c r="A17" s="97" t="s">
        <v>555</v>
      </c>
      <c r="B17" s="97">
        <v>31700</v>
      </c>
      <c r="C17" s="97" t="s">
        <v>556</v>
      </c>
    </row>
    <row r="18" spans="1:3" ht="15.75">
      <c r="A18" s="97" t="s">
        <v>555</v>
      </c>
      <c r="B18" s="97">
        <v>18500</v>
      </c>
      <c r="C18" s="97" t="s">
        <v>557</v>
      </c>
    </row>
    <row r="19" spans="1:3" ht="15.75">
      <c r="A19" s="97" t="s">
        <v>555</v>
      </c>
      <c r="B19" s="97">
        <v>17506</v>
      </c>
      <c r="C19" s="97" t="s">
        <v>558</v>
      </c>
    </row>
    <row r="20" spans="1:3" ht="15.75">
      <c r="A20" s="97" t="s">
        <v>555</v>
      </c>
      <c r="B20" s="97">
        <v>116303</v>
      </c>
      <c r="C20" s="97" t="s">
        <v>559</v>
      </c>
    </row>
    <row r="21" spans="1:3" ht="15.75">
      <c r="A21" s="97" t="s">
        <v>555</v>
      </c>
      <c r="B21" s="97">
        <v>99927</v>
      </c>
      <c r="C21" s="97" t="s">
        <v>560</v>
      </c>
    </row>
    <row r="22" spans="1:3" ht="15.75">
      <c r="A22" s="97" t="s">
        <v>555</v>
      </c>
      <c r="B22" s="97">
        <v>100001</v>
      </c>
      <c r="C22" s="97" t="s">
        <v>561</v>
      </c>
    </row>
    <row r="23" spans="1:3" ht="15.75">
      <c r="A23" s="97" t="s">
        <v>555</v>
      </c>
      <c r="B23" s="97">
        <v>125100</v>
      </c>
      <c r="C23" s="97" t="s">
        <v>562</v>
      </c>
    </row>
    <row r="24" spans="1:3" ht="15.75">
      <c r="A24" s="97" t="s">
        <v>555</v>
      </c>
      <c r="B24" s="97">
        <v>18300</v>
      </c>
      <c r="C24" s="97" t="s">
        <v>563</v>
      </c>
    </row>
    <row r="25" spans="1:3" ht="15.75">
      <c r="A25" s="97" t="s">
        <v>555</v>
      </c>
      <c r="B25" s="97">
        <v>19200</v>
      </c>
      <c r="C25" s="97" t="s">
        <v>564</v>
      </c>
    </row>
    <row r="26" spans="1:3" ht="15.75">
      <c r="A26" s="97" t="s">
        <v>555</v>
      </c>
      <c r="B26" s="97">
        <v>125987</v>
      </c>
      <c r="C26" s="97" t="s">
        <v>565</v>
      </c>
    </row>
    <row r="27" spans="1:3" ht="15.75">
      <c r="A27" s="97" t="s">
        <v>555</v>
      </c>
      <c r="B27" s="97">
        <v>19500</v>
      </c>
      <c r="C27" s="129" t="s">
        <v>653</v>
      </c>
    </row>
    <row r="28" spans="1:3" ht="15.75">
      <c r="A28" s="97" t="s">
        <v>555</v>
      </c>
      <c r="B28" s="97">
        <v>19503</v>
      </c>
      <c r="C28" s="97" t="s">
        <v>566</v>
      </c>
    </row>
    <row r="29" spans="1:3" ht="15.75">
      <c r="A29" s="97" t="s">
        <v>555</v>
      </c>
      <c r="B29" s="97">
        <v>1501</v>
      </c>
      <c r="C29" s="97" t="s">
        <v>567</v>
      </c>
    </row>
    <row r="30" spans="1:3" ht="15.75">
      <c r="A30" s="97" t="s">
        <v>555</v>
      </c>
      <c r="B30" s="97">
        <v>1503</v>
      </c>
      <c r="C30" s="97" t="s">
        <v>568</v>
      </c>
    </row>
    <row r="31" spans="1:3" ht="15.75">
      <c r="A31" s="97" t="s">
        <v>555</v>
      </c>
      <c r="B31" s="97">
        <v>87300</v>
      </c>
      <c r="C31" s="98" t="s">
        <v>574</v>
      </c>
    </row>
    <row r="32" spans="1:3" ht="15.75">
      <c r="A32" s="97" t="s">
        <v>555</v>
      </c>
      <c r="B32" s="97">
        <v>286100</v>
      </c>
      <c r="C32" s="126" t="s">
        <v>645</v>
      </c>
    </row>
    <row r="33" spans="1:3" ht="15.75">
      <c r="A33" s="104" t="s">
        <v>555</v>
      </c>
      <c r="B33" s="104">
        <v>43550</v>
      </c>
      <c r="C33" s="104" t="s">
        <v>581</v>
      </c>
    </row>
    <row r="34" spans="1:3" ht="15.75">
      <c r="A34" s="104" t="s">
        <v>555</v>
      </c>
      <c r="B34" s="104">
        <v>164900</v>
      </c>
      <c r="C34" s="106" t="s">
        <v>587</v>
      </c>
    </row>
    <row r="35" spans="1:3" ht="15.75">
      <c r="A35" s="97" t="s">
        <v>569</v>
      </c>
      <c r="B35" s="97">
        <v>1206</v>
      </c>
      <c r="C35" s="97" t="s">
        <v>0</v>
      </c>
    </row>
    <row r="36" spans="1:3" ht="15.75">
      <c r="A36" s="97" t="s">
        <v>569</v>
      </c>
      <c r="B36" s="97">
        <v>18594</v>
      </c>
      <c r="C36" s="97" t="s">
        <v>570</v>
      </c>
    </row>
    <row r="37" spans="1:3" ht="15.75">
      <c r="A37" s="97" t="s">
        <v>569</v>
      </c>
      <c r="B37" s="97">
        <v>18595</v>
      </c>
      <c r="C37" s="97" t="s">
        <v>571</v>
      </c>
    </row>
    <row r="38" spans="1:3" ht="15.75">
      <c r="A38" s="130" t="s">
        <v>569</v>
      </c>
      <c r="B38" s="130">
        <v>18596</v>
      </c>
      <c r="C38" s="129" t="s">
        <v>652</v>
      </c>
    </row>
    <row r="39" spans="1:3" ht="15.75">
      <c r="A39" s="130" t="s">
        <v>654</v>
      </c>
      <c r="B39" s="130">
        <v>4139</v>
      </c>
      <c r="C39" s="133" t="s">
        <v>570</v>
      </c>
    </row>
    <row r="40" spans="1:3" ht="15.75">
      <c r="A40" s="130" t="s">
        <v>654</v>
      </c>
      <c r="B40" s="130">
        <v>4140</v>
      </c>
      <c r="C40" s="133" t="s">
        <v>571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4:S62"/>
  <sheetViews>
    <sheetView showGridLines="0" zoomScaleNormal="100" workbookViewId="0">
      <selection activeCell="H31" sqref="H31"/>
    </sheetView>
  </sheetViews>
  <sheetFormatPr defaultRowHeight="12.75"/>
  <cols>
    <col min="1" max="1" width="3.6640625" style="734" customWidth="1"/>
    <col min="2" max="2" width="18.6640625" style="544" bestFit="1" customWidth="1"/>
    <col min="3" max="3" width="15.77734375" style="544" customWidth="1"/>
    <col min="4" max="4" width="17.5546875" style="544" customWidth="1"/>
    <col min="5" max="5" width="12.77734375" style="544" customWidth="1"/>
    <col min="6" max="7" width="15.77734375" style="544" customWidth="1"/>
    <col min="8" max="8" width="18.44140625" style="544" customWidth="1"/>
    <col min="9" max="9" width="12.77734375" style="544" customWidth="1"/>
    <col min="10" max="19" width="9.109375" style="544" customWidth="1"/>
    <col min="20" max="16384" width="8.88671875" style="544"/>
  </cols>
  <sheetData>
    <row r="4" spans="1:19">
      <c r="A4" s="937" t="s">
        <v>0</v>
      </c>
      <c r="B4" s="937"/>
      <c r="C4" s="937"/>
      <c r="D4" s="937"/>
      <c r="E4" s="937"/>
      <c r="F4" s="937"/>
      <c r="G4" s="937"/>
      <c r="H4" s="937"/>
      <c r="I4" s="937"/>
    </row>
    <row r="5" spans="1:19">
      <c r="A5" s="937" t="s">
        <v>357</v>
      </c>
      <c r="B5" s="937"/>
      <c r="C5" s="937"/>
      <c r="D5" s="937"/>
      <c r="E5" s="937"/>
      <c r="F5" s="937"/>
      <c r="G5" s="937"/>
      <c r="H5" s="937"/>
      <c r="I5" s="937"/>
      <c r="J5" s="891"/>
    </row>
    <row r="6" spans="1:19">
      <c r="A6" s="938" t="str">
        <f>"For the 13 Months Ended December 31, "&amp;Info!B3</f>
        <v>For the 13 Months Ended December 31, 2013</v>
      </c>
      <c r="B6" s="938"/>
      <c r="C6" s="938"/>
      <c r="D6" s="938"/>
      <c r="E6" s="938"/>
      <c r="F6" s="938"/>
      <c r="G6" s="938"/>
      <c r="H6" s="938"/>
      <c r="I6" s="938"/>
      <c r="J6" s="386"/>
    </row>
    <row r="8" spans="1:19">
      <c r="B8" s="734" t="s">
        <v>1</v>
      </c>
      <c r="C8" s="734" t="s">
        <v>2</v>
      </c>
      <c r="D8" s="734" t="s">
        <v>3</v>
      </c>
      <c r="E8" s="734" t="s">
        <v>4</v>
      </c>
      <c r="F8" s="734" t="s">
        <v>5</v>
      </c>
      <c r="G8" s="543" t="s">
        <v>7</v>
      </c>
      <c r="H8" s="543" t="s">
        <v>6</v>
      </c>
      <c r="I8" s="543" t="s">
        <v>30</v>
      </c>
    </row>
    <row r="10" spans="1:19">
      <c r="A10" s="376"/>
      <c r="B10" s="378"/>
      <c r="C10" s="375" t="s">
        <v>358</v>
      </c>
      <c r="D10" s="375" t="s">
        <v>358</v>
      </c>
      <c r="E10" s="375" t="s">
        <v>359</v>
      </c>
      <c r="F10" s="375" t="s">
        <v>360</v>
      </c>
      <c r="G10" s="375" t="s">
        <v>526</v>
      </c>
      <c r="H10" s="375" t="s">
        <v>525</v>
      </c>
      <c r="I10" s="374"/>
    </row>
    <row r="11" spans="1:19">
      <c r="A11" s="542" t="s">
        <v>8</v>
      </c>
      <c r="B11" s="373"/>
      <c r="C11" s="541" t="s">
        <v>470</v>
      </c>
      <c r="D11" s="541" t="s">
        <v>549</v>
      </c>
      <c r="E11" s="541" t="s">
        <v>588</v>
      </c>
      <c r="F11" s="541" t="s">
        <v>588</v>
      </c>
      <c r="G11" s="541" t="s">
        <v>544</v>
      </c>
      <c r="H11" s="541" t="s">
        <v>588</v>
      </c>
      <c r="I11" s="372"/>
    </row>
    <row r="12" spans="1:19">
      <c r="A12" s="540" t="s">
        <v>10</v>
      </c>
      <c r="B12" s="371" t="s">
        <v>46</v>
      </c>
      <c r="C12" s="539" t="s">
        <v>471</v>
      </c>
      <c r="D12" s="539" t="s">
        <v>550</v>
      </c>
      <c r="E12" s="539" t="s">
        <v>472</v>
      </c>
      <c r="F12" s="539" t="s">
        <v>473</v>
      </c>
      <c r="G12" s="539" t="s">
        <v>527</v>
      </c>
      <c r="H12" s="539" t="s">
        <v>528</v>
      </c>
      <c r="I12" s="370" t="s">
        <v>16</v>
      </c>
    </row>
    <row r="13" spans="1:19">
      <c r="A13" s="376">
        <v>1</v>
      </c>
      <c r="B13" s="546" t="str">
        <f>"December "&amp;Info!B2</f>
        <v>December 2012</v>
      </c>
      <c r="C13" s="369">
        <v>0</v>
      </c>
      <c r="D13" s="369">
        <v>1440885.77</v>
      </c>
      <c r="E13" s="369">
        <v>19275091.689999998</v>
      </c>
      <c r="F13" s="369">
        <v>7421770.9299999997</v>
      </c>
      <c r="G13" s="369">
        <v>841286.71</v>
      </c>
      <c r="H13" s="369">
        <v>2256487.19</v>
      </c>
      <c r="I13" s="538">
        <f t="shared" ref="I13:I25" si="0">+SUM(C13:H13)</f>
        <v>31235522.289999999</v>
      </c>
      <c r="J13" s="537"/>
      <c r="K13" s="537"/>
      <c r="L13" s="537"/>
      <c r="M13" s="537"/>
      <c r="N13" s="537"/>
      <c r="O13" s="537"/>
      <c r="P13" s="537"/>
      <c r="Q13" s="537"/>
      <c r="R13" s="537"/>
      <c r="S13" s="537"/>
    </row>
    <row r="14" spans="1:19" s="537" customFormat="1">
      <c r="A14" s="542">
        <f>+A13+1</f>
        <v>2</v>
      </c>
      <c r="B14" s="546" t="str">
        <f>"January "&amp;Info!B3</f>
        <v>January 2013</v>
      </c>
      <c r="C14" s="369">
        <v>19944</v>
      </c>
      <c r="D14" s="369">
        <v>1488980.29999999</v>
      </c>
      <c r="E14" s="369">
        <v>21468566.789999999</v>
      </c>
      <c r="F14" s="369">
        <v>8075794.6999999899</v>
      </c>
      <c r="G14" s="369">
        <v>809126.41</v>
      </c>
      <c r="H14" s="369">
        <v>2258049.67</v>
      </c>
      <c r="I14" s="538">
        <f t="shared" si="0"/>
        <v>34120461.869999975</v>
      </c>
      <c r="J14" s="536"/>
      <c r="K14" s="536"/>
      <c r="L14" s="536"/>
      <c r="M14" s="536"/>
      <c r="N14" s="536"/>
      <c r="O14" s="536"/>
      <c r="P14" s="536"/>
      <c r="Q14" s="536"/>
      <c r="R14" s="536"/>
      <c r="S14" s="536"/>
    </row>
    <row r="15" spans="1:19">
      <c r="A15" s="542">
        <f>+A14+1</f>
        <v>3</v>
      </c>
      <c r="B15" s="368" t="s">
        <v>17</v>
      </c>
      <c r="C15" s="369">
        <v>28859</v>
      </c>
      <c r="D15" s="369">
        <v>3581.4799999995098</v>
      </c>
      <c r="E15" s="369">
        <v>22584026.010000002</v>
      </c>
      <c r="F15" s="369">
        <v>8749895.5899999999</v>
      </c>
      <c r="G15" s="369">
        <v>900443.69</v>
      </c>
      <c r="H15" s="369">
        <v>3124276.04</v>
      </c>
      <c r="I15" s="538">
        <f t="shared" si="0"/>
        <v>35391081.810000002</v>
      </c>
      <c r="J15" s="537"/>
    </row>
    <row r="16" spans="1:19">
      <c r="A16" s="542">
        <f>+A15+1</f>
        <v>4</v>
      </c>
      <c r="B16" s="368" t="s">
        <v>18</v>
      </c>
      <c r="C16" s="369">
        <v>102712</v>
      </c>
      <c r="D16" s="369">
        <v>-3404.9100000001399</v>
      </c>
      <c r="E16" s="369">
        <v>23348169.219999999</v>
      </c>
      <c r="F16" s="369">
        <v>9530361.3399999999</v>
      </c>
      <c r="G16" s="369">
        <v>952370.72</v>
      </c>
      <c r="H16" s="369">
        <v>3314120.56</v>
      </c>
      <c r="I16" s="538">
        <f t="shared" si="0"/>
        <v>37244328.93</v>
      </c>
    </row>
    <row r="17" spans="1:19">
      <c r="A17" s="542">
        <f>+A16+1</f>
        <v>5</v>
      </c>
      <c r="B17" s="368" t="s">
        <v>19</v>
      </c>
      <c r="C17" s="369">
        <v>83328</v>
      </c>
      <c r="D17" s="369">
        <v>-8341.9600000008904</v>
      </c>
      <c r="E17" s="369">
        <v>24811692.180000003</v>
      </c>
      <c r="F17" s="369">
        <v>10153730.6399999</v>
      </c>
      <c r="G17" s="369">
        <v>1109942.98</v>
      </c>
      <c r="H17" s="369">
        <v>3339200.9499999899</v>
      </c>
      <c r="I17" s="538">
        <f t="shared" si="0"/>
        <v>39489552.789999887</v>
      </c>
    </row>
    <row r="18" spans="1:19">
      <c r="A18" s="542">
        <f>+A17+1</f>
        <v>6</v>
      </c>
      <c r="B18" s="368" t="s">
        <v>20</v>
      </c>
      <c r="C18" s="369">
        <v>90991</v>
      </c>
      <c r="D18" s="369">
        <v>-8341.9600000008904</v>
      </c>
      <c r="E18" s="369">
        <v>26670944.25</v>
      </c>
      <c r="F18" s="369">
        <v>10819063.33</v>
      </c>
      <c r="G18" s="369">
        <v>1327298.94</v>
      </c>
      <c r="H18" s="369">
        <v>3423056.74</v>
      </c>
      <c r="I18" s="538">
        <f t="shared" si="0"/>
        <v>42323012.299999997</v>
      </c>
      <c r="J18" s="537"/>
      <c r="K18" s="537"/>
      <c r="L18" s="537"/>
      <c r="M18" s="537"/>
      <c r="N18" s="537"/>
      <c r="O18" s="537"/>
      <c r="P18" s="537"/>
    </row>
    <row r="19" spans="1:19">
      <c r="A19" s="542">
        <f t="shared" ref="A19:A27" si="1">+A18+1</f>
        <v>7</v>
      </c>
      <c r="B19" s="368" t="s">
        <v>21</v>
      </c>
      <c r="C19" s="369">
        <v>99415</v>
      </c>
      <c r="D19" s="369">
        <v>-37417.950000000797</v>
      </c>
      <c r="E19" s="369">
        <v>28052760.190000005</v>
      </c>
      <c r="F19" s="369">
        <v>11577430.220000001</v>
      </c>
      <c r="G19" s="369">
        <v>1442188.25</v>
      </c>
      <c r="H19" s="369">
        <v>3658328.33</v>
      </c>
      <c r="I19" s="538">
        <f t="shared" si="0"/>
        <v>44792704.040000007</v>
      </c>
      <c r="L19" s="537"/>
      <c r="M19" s="537"/>
      <c r="N19" s="537"/>
      <c r="O19" s="537"/>
      <c r="P19" s="537"/>
      <c r="Q19" s="537"/>
      <c r="R19" s="537"/>
      <c r="S19" s="537"/>
    </row>
    <row r="20" spans="1:19">
      <c r="A20" s="542">
        <f t="shared" si="1"/>
        <v>8</v>
      </c>
      <c r="B20" s="368" t="s">
        <v>22</v>
      </c>
      <c r="C20" s="369">
        <v>115820</v>
      </c>
      <c r="D20" s="369">
        <v>-2441.02000000001</v>
      </c>
      <c r="E20" s="369">
        <v>29901797.270000003</v>
      </c>
      <c r="F20" s="369">
        <v>12544708.18</v>
      </c>
      <c r="G20" s="369">
        <v>1812078.25</v>
      </c>
      <c r="H20" s="369">
        <v>3719440.67</v>
      </c>
      <c r="I20" s="538">
        <f t="shared" si="0"/>
        <v>48091403.350000009</v>
      </c>
    </row>
    <row r="21" spans="1:19">
      <c r="A21" s="542">
        <f t="shared" si="1"/>
        <v>9</v>
      </c>
      <c r="B21" s="368" t="s">
        <v>23</v>
      </c>
      <c r="C21" s="369">
        <v>110035</v>
      </c>
      <c r="D21" s="369">
        <v>0</v>
      </c>
      <c r="E21" s="369">
        <v>32894289.390000001</v>
      </c>
      <c r="F21" s="369">
        <v>13566477.119999999</v>
      </c>
      <c r="G21" s="369">
        <v>2104471.14</v>
      </c>
      <c r="H21" s="369">
        <v>3808276.71</v>
      </c>
      <c r="I21" s="538">
        <f t="shared" si="0"/>
        <v>52483549.359999999</v>
      </c>
    </row>
    <row r="22" spans="1:19">
      <c r="A22" s="542">
        <f t="shared" si="1"/>
        <v>10</v>
      </c>
      <c r="B22" s="368" t="s">
        <v>24</v>
      </c>
      <c r="C22" s="369">
        <v>117444</v>
      </c>
      <c r="D22" s="369">
        <v>0</v>
      </c>
      <c r="E22" s="369">
        <v>36018824.979999907</v>
      </c>
      <c r="F22" s="369">
        <v>14634263.07</v>
      </c>
      <c r="G22" s="369">
        <v>2422591.92</v>
      </c>
      <c r="H22" s="369">
        <v>3902405.8299999898</v>
      </c>
      <c r="I22" s="538">
        <f t="shared" si="0"/>
        <v>57095529.7999999</v>
      </c>
      <c r="J22" s="537"/>
      <c r="K22" s="535"/>
    </row>
    <row r="23" spans="1:19">
      <c r="A23" s="542">
        <f t="shared" si="1"/>
        <v>11</v>
      </c>
      <c r="B23" s="368" t="s">
        <v>25</v>
      </c>
      <c r="C23" s="369">
        <v>123752</v>
      </c>
      <c r="D23" s="369">
        <v>0</v>
      </c>
      <c r="E23" s="369">
        <v>38548232.729999997</v>
      </c>
      <c r="F23" s="369">
        <v>15744230.59</v>
      </c>
      <c r="G23" s="369">
        <v>2566394.11</v>
      </c>
      <c r="H23" s="369">
        <v>3987827.4</v>
      </c>
      <c r="I23" s="538">
        <f t="shared" si="0"/>
        <v>60970436.829999991</v>
      </c>
    </row>
    <row r="24" spans="1:19">
      <c r="A24" s="542">
        <f t="shared" si="1"/>
        <v>12</v>
      </c>
      <c r="B24" s="368" t="s">
        <v>26</v>
      </c>
      <c r="C24" s="369">
        <v>137840</v>
      </c>
      <c r="D24" s="369">
        <v>-1415.08000000007</v>
      </c>
      <c r="E24" s="369">
        <v>42661635.079999901</v>
      </c>
      <c r="F24" s="369">
        <v>16479610</v>
      </c>
      <c r="G24" s="369">
        <v>2778724.74</v>
      </c>
      <c r="H24" s="369">
        <v>3972362.0799999898</v>
      </c>
      <c r="I24" s="538">
        <f t="shared" si="0"/>
        <v>66028756.819999896</v>
      </c>
    </row>
    <row r="25" spans="1:19">
      <c r="A25" s="542">
        <f t="shared" si="1"/>
        <v>13</v>
      </c>
      <c r="B25" s="368" t="s">
        <v>27</v>
      </c>
      <c r="C25" s="369">
        <v>0</v>
      </c>
      <c r="D25" s="369">
        <v>0</v>
      </c>
      <c r="E25" s="369">
        <v>46050853.840000004</v>
      </c>
      <c r="F25" s="369">
        <v>17424422.579999998</v>
      </c>
      <c r="G25" s="369">
        <v>3261420.03</v>
      </c>
      <c r="H25" s="369">
        <v>4123236.2</v>
      </c>
      <c r="I25" s="538">
        <f t="shared" si="0"/>
        <v>70859932.650000006</v>
      </c>
    </row>
    <row r="26" spans="1:19">
      <c r="A26" s="542">
        <f t="shared" si="1"/>
        <v>14</v>
      </c>
      <c r="B26" s="368"/>
      <c r="C26" s="534"/>
      <c r="D26" s="534"/>
      <c r="E26" s="534"/>
      <c r="F26" s="534"/>
      <c r="G26" s="534"/>
      <c r="H26" s="534"/>
      <c r="I26" s="533"/>
    </row>
    <row r="27" spans="1:19">
      <c r="A27" s="542">
        <f t="shared" si="1"/>
        <v>15</v>
      </c>
      <c r="B27" s="532" t="s">
        <v>28</v>
      </c>
      <c r="C27" s="531">
        <f t="shared" ref="C27:H27" si="2">+AVERAGE(C13:C25)</f>
        <v>79241.538461538468</v>
      </c>
      <c r="D27" s="531">
        <f t="shared" ref="D27" si="3">+AVERAGE(D13:D25)</f>
        <v>220929.58999999898</v>
      </c>
      <c r="E27" s="531">
        <f>+AVERAGE(E13:E25)</f>
        <v>30175914.124615375</v>
      </c>
      <c r="F27" s="531">
        <f t="shared" si="2"/>
        <v>12055519.868461531</v>
      </c>
      <c r="G27" s="531">
        <f t="shared" si="2"/>
        <v>1717564.453076923</v>
      </c>
      <c r="H27" s="531">
        <f t="shared" si="2"/>
        <v>3452851.4130769214</v>
      </c>
      <c r="I27" s="530">
        <f>+SUM(C27:H27)</f>
        <v>47702020.987692289</v>
      </c>
    </row>
    <row r="28" spans="1:19">
      <c r="A28" s="529"/>
      <c r="B28" s="528"/>
      <c r="C28" s="527"/>
      <c r="D28" s="527"/>
      <c r="E28" s="527"/>
      <c r="F28" s="527"/>
      <c r="G28" s="527"/>
      <c r="H28" s="527"/>
      <c r="I28" s="526"/>
    </row>
    <row r="29" spans="1:19">
      <c r="E29" s="727"/>
    </row>
    <row r="31" spans="1:19">
      <c r="A31" s="910">
        <f>A27+1</f>
        <v>16</v>
      </c>
      <c r="B31" s="909" t="s">
        <v>706</v>
      </c>
      <c r="C31" s="903"/>
      <c r="D31" s="903"/>
      <c r="E31" s="903"/>
      <c r="F31" s="903"/>
      <c r="G31" s="903"/>
      <c r="H31" s="903"/>
      <c r="I31" s="911"/>
    </row>
    <row r="32" spans="1:19" ht="15">
      <c r="A32" s="912">
        <f>A31+1</f>
        <v>17</v>
      </c>
      <c r="B32" s="913" t="s">
        <v>707</v>
      </c>
      <c r="C32" s="914"/>
      <c r="D32" s="914"/>
      <c r="E32" s="905">
        <v>22677217</v>
      </c>
      <c r="F32" s="914"/>
      <c r="G32" s="914"/>
      <c r="H32" s="914"/>
      <c r="I32" s="915"/>
    </row>
    <row r="33" spans="1:9" ht="15">
      <c r="A33" s="912">
        <f t="shared" ref="A33:A62" si="4">A32+1</f>
        <v>18</v>
      </c>
      <c r="B33" s="913" t="s">
        <v>708</v>
      </c>
      <c r="C33" s="914"/>
      <c r="D33" s="914"/>
      <c r="E33" s="905">
        <v>23441793</v>
      </c>
      <c r="F33" s="914"/>
      <c r="G33" s="914"/>
      <c r="H33" s="914"/>
      <c r="I33" s="915"/>
    </row>
    <row r="34" spans="1:9" ht="15">
      <c r="A34" s="912">
        <f t="shared" si="4"/>
        <v>19</v>
      </c>
      <c r="B34" s="913" t="s">
        <v>709</v>
      </c>
      <c r="C34" s="914"/>
      <c r="D34" s="914"/>
      <c r="E34" s="905">
        <v>-68156</v>
      </c>
      <c r="F34" s="914"/>
      <c r="G34" s="914"/>
      <c r="H34" s="914"/>
      <c r="I34" s="915"/>
    </row>
    <row r="35" spans="1:9" ht="15">
      <c r="A35" s="912">
        <f t="shared" si="4"/>
        <v>20</v>
      </c>
      <c r="B35" s="907" t="s">
        <v>16</v>
      </c>
      <c r="C35" s="914"/>
      <c r="D35" s="914"/>
      <c r="E35" s="904">
        <f>SUM(E32:E34)</f>
        <v>46050854</v>
      </c>
      <c r="F35" s="914"/>
      <c r="G35" s="914"/>
      <c r="H35" s="914"/>
      <c r="I35" s="915"/>
    </row>
    <row r="36" spans="1:9" ht="15">
      <c r="A36" s="912">
        <f t="shared" si="4"/>
        <v>21</v>
      </c>
      <c r="B36" s="907" t="s">
        <v>704</v>
      </c>
      <c r="C36" s="914"/>
      <c r="D36" s="914"/>
      <c r="E36" s="906">
        <f>E35-E25</f>
        <v>0.15999999642372131</v>
      </c>
      <c r="F36" s="914"/>
      <c r="G36" s="914"/>
      <c r="H36" s="914"/>
      <c r="I36" s="915"/>
    </row>
    <row r="37" spans="1:9">
      <c r="A37" s="912">
        <f t="shared" si="4"/>
        <v>22</v>
      </c>
      <c r="B37" s="907"/>
      <c r="C37" s="907"/>
      <c r="D37" s="907"/>
      <c r="E37" s="907"/>
      <c r="F37" s="907"/>
      <c r="G37" s="907"/>
      <c r="H37" s="907"/>
      <c r="I37" s="916"/>
    </row>
    <row r="38" spans="1:9" ht="15">
      <c r="A38" s="912">
        <f t="shared" si="4"/>
        <v>23</v>
      </c>
      <c r="B38" s="917" t="s">
        <v>710</v>
      </c>
      <c r="C38" s="914"/>
      <c r="D38" s="914"/>
      <c r="E38" s="914"/>
      <c r="F38" s="914"/>
      <c r="G38" s="914"/>
      <c r="H38" s="914"/>
      <c r="I38" s="915"/>
    </row>
    <row r="39" spans="1:9" ht="15">
      <c r="A39" s="912">
        <f t="shared" si="4"/>
        <v>24</v>
      </c>
      <c r="B39" s="913" t="s">
        <v>711</v>
      </c>
      <c r="C39" s="914"/>
      <c r="D39" s="914"/>
      <c r="E39" s="905"/>
      <c r="F39" s="905">
        <v>2859611</v>
      </c>
      <c r="G39" s="905"/>
      <c r="H39" s="914"/>
      <c r="I39" s="915"/>
    </row>
    <row r="40" spans="1:9" ht="15">
      <c r="A40" s="912">
        <f t="shared" si="4"/>
        <v>25</v>
      </c>
      <c r="B40" s="913" t="s">
        <v>712</v>
      </c>
      <c r="C40" s="914"/>
      <c r="D40" s="914"/>
      <c r="E40" s="905"/>
      <c r="F40" s="905">
        <v>467032</v>
      </c>
      <c r="G40" s="905"/>
      <c r="H40" s="914"/>
      <c r="I40" s="915"/>
    </row>
    <row r="41" spans="1:9" ht="15">
      <c r="A41" s="912">
        <f t="shared" si="4"/>
        <v>26</v>
      </c>
      <c r="B41" s="913" t="s">
        <v>713</v>
      </c>
      <c r="C41" s="914"/>
      <c r="D41" s="914"/>
      <c r="E41" s="905"/>
      <c r="F41" s="905">
        <v>856821</v>
      </c>
      <c r="G41" s="905"/>
      <c r="H41" s="914"/>
      <c r="I41" s="916"/>
    </row>
    <row r="42" spans="1:9" ht="15">
      <c r="A42" s="912">
        <f t="shared" si="4"/>
        <v>27</v>
      </c>
      <c r="B42" s="913" t="s">
        <v>714</v>
      </c>
      <c r="C42" s="914"/>
      <c r="D42" s="914"/>
      <c r="E42" s="905"/>
      <c r="F42" s="905">
        <v>3476397</v>
      </c>
      <c r="G42" s="905"/>
      <c r="H42" s="914"/>
      <c r="I42" s="916"/>
    </row>
    <row r="43" spans="1:9" ht="15">
      <c r="A43" s="912">
        <f t="shared" si="4"/>
        <v>28</v>
      </c>
      <c r="B43" s="913" t="s">
        <v>715</v>
      </c>
      <c r="C43" s="914"/>
      <c r="D43" s="914"/>
      <c r="E43" s="906"/>
      <c r="F43" s="905">
        <v>6049844</v>
      </c>
      <c r="G43" s="905"/>
      <c r="H43" s="914"/>
      <c r="I43" s="916"/>
    </row>
    <row r="44" spans="1:9" ht="15">
      <c r="A44" s="912">
        <f t="shared" si="4"/>
        <v>29</v>
      </c>
      <c r="B44" s="913" t="s">
        <v>716</v>
      </c>
      <c r="C44" s="914"/>
      <c r="D44" s="914"/>
      <c r="E44" s="914"/>
      <c r="F44" s="905">
        <v>2033438</v>
      </c>
      <c r="G44" s="905"/>
      <c r="H44" s="907"/>
      <c r="I44" s="916"/>
    </row>
    <row r="45" spans="1:9" ht="15">
      <c r="A45" s="912">
        <f t="shared" si="4"/>
        <v>30</v>
      </c>
      <c r="B45" s="913" t="s">
        <v>717</v>
      </c>
      <c r="C45" s="914"/>
      <c r="D45" s="914"/>
      <c r="E45" s="914"/>
      <c r="F45" s="905">
        <v>1180541</v>
      </c>
      <c r="G45" s="905"/>
      <c r="H45" s="907"/>
      <c r="I45" s="916"/>
    </row>
    <row r="46" spans="1:9" ht="15">
      <c r="A46" s="912">
        <f t="shared" si="4"/>
        <v>31</v>
      </c>
      <c r="B46" s="913" t="s">
        <v>718</v>
      </c>
      <c r="C46" s="914"/>
      <c r="D46" s="914"/>
      <c r="E46" s="914"/>
      <c r="F46" s="905">
        <v>141727</v>
      </c>
      <c r="G46" s="905"/>
      <c r="H46" s="907"/>
      <c r="I46" s="916"/>
    </row>
    <row r="47" spans="1:9" ht="15">
      <c r="A47" s="912">
        <f t="shared" si="4"/>
        <v>32</v>
      </c>
      <c r="B47" s="913" t="s">
        <v>719</v>
      </c>
      <c r="C47" s="914"/>
      <c r="D47" s="914"/>
      <c r="E47" s="914"/>
      <c r="F47" s="905">
        <v>325559</v>
      </c>
      <c r="G47" s="905"/>
      <c r="H47" s="907"/>
      <c r="I47" s="916"/>
    </row>
    <row r="48" spans="1:9" ht="15">
      <c r="A48" s="912">
        <f t="shared" si="4"/>
        <v>33</v>
      </c>
      <c r="B48" s="913" t="s">
        <v>720</v>
      </c>
      <c r="C48" s="914"/>
      <c r="D48" s="914"/>
      <c r="E48" s="914"/>
      <c r="F48" s="905">
        <v>33452</v>
      </c>
      <c r="G48" s="905"/>
      <c r="H48" s="907"/>
      <c r="I48" s="916"/>
    </row>
    <row r="49" spans="1:9" ht="15">
      <c r="A49" s="912">
        <f t="shared" si="4"/>
        <v>34</v>
      </c>
      <c r="B49" s="907" t="s">
        <v>16</v>
      </c>
      <c r="C49" s="914"/>
      <c r="D49" s="914"/>
      <c r="E49" s="914"/>
      <c r="F49" s="904">
        <f>SUM(F39:F48)</f>
        <v>17424422</v>
      </c>
      <c r="G49" s="905"/>
      <c r="H49" s="907"/>
      <c r="I49" s="916"/>
    </row>
    <row r="50" spans="1:9" ht="15">
      <c r="A50" s="912">
        <f t="shared" si="4"/>
        <v>35</v>
      </c>
      <c r="B50" s="907" t="s">
        <v>704</v>
      </c>
      <c r="C50" s="914"/>
      <c r="D50" s="914"/>
      <c r="E50" s="914"/>
      <c r="F50" s="905">
        <f>F49-F25</f>
        <v>-0.57999999821186066</v>
      </c>
      <c r="G50" s="905"/>
      <c r="H50" s="907"/>
      <c r="I50" s="916"/>
    </row>
    <row r="51" spans="1:9" ht="15">
      <c r="A51" s="912">
        <f t="shared" si="4"/>
        <v>36</v>
      </c>
      <c r="B51" s="914"/>
      <c r="C51" s="914"/>
      <c r="D51" s="914"/>
      <c r="E51" s="914"/>
      <c r="F51" s="905"/>
      <c r="G51" s="905"/>
      <c r="H51" s="905"/>
      <c r="I51" s="916"/>
    </row>
    <row r="52" spans="1:9" ht="15">
      <c r="A52" s="912">
        <f t="shared" si="4"/>
        <v>37</v>
      </c>
      <c r="B52" s="917" t="s">
        <v>721</v>
      </c>
      <c r="C52" s="914"/>
      <c r="D52" s="914"/>
      <c r="E52" s="914"/>
      <c r="F52" s="914"/>
      <c r="G52" s="907"/>
      <c r="H52" s="905"/>
      <c r="I52" s="916"/>
    </row>
    <row r="53" spans="1:9" ht="15">
      <c r="A53" s="912">
        <f t="shared" si="4"/>
        <v>38</v>
      </c>
      <c r="B53" s="913" t="s">
        <v>722</v>
      </c>
      <c r="C53" s="914"/>
      <c r="D53" s="914"/>
      <c r="E53" s="914"/>
      <c r="F53" s="914"/>
      <c r="G53" s="905">
        <v>3261420</v>
      </c>
      <c r="H53" s="905"/>
      <c r="I53" s="916"/>
    </row>
    <row r="54" spans="1:9" ht="15">
      <c r="A54" s="912">
        <f t="shared" si="4"/>
        <v>39</v>
      </c>
      <c r="B54" s="907" t="s">
        <v>704</v>
      </c>
      <c r="C54" s="914"/>
      <c r="D54" s="914"/>
      <c r="E54" s="914"/>
      <c r="F54" s="914"/>
      <c r="G54" s="908">
        <f>G53-G25</f>
        <v>-2.9999999795109034E-2</v>
      </c>
      <c r="H54" s="905"/>
      <c r="I54" s="916"/>
    </row>
    <row r="55" spans="1:9" ht="15">
      <c r="A55" s="912">
        <f t="shared" si="4"/>
        <v>40</v>
      </c>
      <c r="B55" s="914"/>
      <c r="C55" s="914"/>
      <c r="D55" s="914"/>
      <c r="E55" s="914"/>
      <c r="F55" s="914"/>
      <c r="G55" s="907"/>
      <c r="H55" s="906"/>
      <c r="I55" s="916"/>
    </row>
    <row r="56" spans="1:9" ht="15">
      <c r="A56" s="912">
        <f t="shared" si="4"/>
        <v>41</v>
      </c>
      <c r="B56" s="917" t="s">
        <v>723</v>
      </c>
      <c r="C56" s="914"/>
      <c r="D56" s="914"/>
      <c r="E56" s="914"/>
      <c r="F56" s="914"/>
      <c r="G56" s="907"/>
      <c r="H56" s="907"/>
      <c r="I56" s="916"/>
    </row>
    <row r="57" spans="1:9" ht="15">
      <c r="A57" s="912">
        <f t="shared" si="4"/>
        <v>42</v>
      </c>
      <c r="B57" s="913" t="s">
        <v>724</v>
      </c>
      <c r="C57" s="914"/>
      <c r="D57" s="914"/>
      <c r="E57" s="914"/>
      <c r="F57" s="914"/>
      <c r="G57" s="907"/>
      <c r="H57" s="905">
        <v>4001571</v>
      </c>
      <c r="I57" s="916"/>
    </row>
    <row r="58" spans="1:9" ht="15">
      <c r="A58" s="912">
        <f t="shared" si="4"/>
        <v>43</v>
      </c>
      <c r="B58" s="913" t="s">
        <v>725</v>
      </c>
      <c r="C58" s="914"/>
      <c r="D58" s="914"/>
      <c r="E58" s="914"/>
      <c r="F58" s="914"/>
      <c r="G58" s="907"/>
      <c r="H58" s="905">
        <v>65717</v>
      </c>
      <c r="I58" s="916"/>
    </row>
    <row r="59" spans="1:9" ht="15">
      <c r="A59" s="912">
        <f t="shared" si="4"/>
        <v>44</v>
      </c>
      <c r="B59" s="913" t="s">
        <v>726</v>
      </c>
      <c r="C59" s="914"/>
      <c r="D59" s="914"/>
      <c r="E59" s="914"/>
      <c r="F59" s="914"/>
      <c r="G59" s="914"/>
      <c r="H59" s="905">
        <v>21021</v>
      </c>
      <c r="I59" s="916"/>
    </row>
    <row r="60" spans="1:9" ht="15">
      <c r="A60" s="912">
        <f t="shared" si="4"/>
        <v>45</v>
      </c>
      <c r="B60" s="913" t="s">
        <v>727</v>
      </c>
      <c r="C60" s="914"/>
      <c r="D60" s="914"/>
      <c r="E60" s="914"/>
      <c r="F60" s="914"/>
      <c r="G60" s="914"/>
      <c r="H60" s="905">
        <v>34927</v>
      </c>
      <c r="I60" s="916"/>
    </row>
    <row r="61" spans="1:9" ht="15">
      <c r="A61" s="912">
        <f t="shared" si="4"/>
        <v>46</v>
      </c>
      <c r="B61" s="907" t="s">
        <v>16</v>
      </c>
      <c r="C61" s="914"/>
      <c r="D61" s="914"/>
      <c r="E61" s="914"/>
      <c r="F61" s="914"/>
      <c r="G61" s="914"/>
      <c r="H61" s="904">
        <f>SUM(H57:H60)</f>
        <v>4123236</v>
      </c>
      <c r="I61" s="916"/>
    </row>
    <row r="62" spans="1:9" ht="15">
      <c r="A62" s="918">
        <f t="shared" si="4"/>
        <v>47</v>
      </c>
      <c r="B62" s="919" t="s">
        <v>704</v>
      </c>
      <c r="C62" s="920"/>
      <c r="D62" s="920"/>
      <c r="E62" s="920"/>
      <c r="F62" s="920"/>
      <c r="G62" s="920"/>
      <c r="H62" s="921">
        <f>H61-H25</f>
        <v>-0.20000000018626451</v>
      </c>
      <c r="I62" s="922"/>
    </row>
  </sheetData>
  <mergeCells count="3">
    <mergeCell ref="A6:I6"/>
    <mergeCell ref="A4:I4"/>
    <mergeCell ref="A5:I5"/>
  </mergeCells>
  <printOptions horizontalCentered="1"/>
  <pageMargins left="0.75" right="0.75" top="0.75" bottom="0.75" header="0.5" footer="0.3"/>
  <pageSetup scale="58" orientation="landscape" r:id="rId1"/>
  <headerFooter>
    <oddHeader>&amp;R&amp;"Arial,Regular"&amp;10Attachment O Work Paper
Page 3 of 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G26"/>
  <sheetViews>
    <sheetView showGridLines="0" topLeftCell="B1" zoomScaleNormal="100" workbookViewId="0">
      <selection activeCell="B48" sqref="B48"/>
    </sheetView>
  </sheetViews>
  <sheetFormatPr defaultColWidth="8.5546875" defaultRowHeight="12.75"/>
  <cols>
    <col min="1" max="1" width="7.109375" style="589" customWidth="1"/>
    <col min="2" max="2" width="43.77734375" style="584" bestFit="1" customWidth="1"/>
    <col min="3" max="6" width="12.77734375" style="584" customWidth="1"/>
    <col min="7" max="7" width="8.5546875" style="584"/>
    <col min="8" max="8" width="9.109375" style="584" customWidth="1"/>
    <col min="9" max="16384" width="8.5546875" style="584"/>
  </cols>
  <sheetData>
    <row r="1" spans="1:7">
      <c r="B1" s="523"/>
    </row>
    <row r="2" spans="1:7">
      <c r="B2" s="522"/>
      <c r="F2" s="386"/>
    </row>
    <row r="3" spans="1:7" ht="12.75" customHeight="1">
      <c r="A3" s="939" t="s">
        <v>0</v>
      </c>
      <c r="B3" s="939"/>
      <c r="C3" s="939"/>
      <c r="D3" s="939"/>
      <c r="E3" s="939"/>
      <c r="F3" s="939"/>
    </row>
    <row r="4" spans="1:7" ht="12.75" customHeight="1">
      <c r="A4" s="939" t="s">
        <v>37</v>
      </c>
      <c r="B4" s="939"/>
      <c r="C4" s="939"/>
      <c r="D4" s="939"/>
      <c r="E4" s="939"/>
      <c r="F4" s="939"/>
    </row>
    <row r="5" spans="1:7" ht="12.75" customHeight="1">
      <c r="A5" s="939" t="s">
        <v>573</v>
      </c>
      <c r="B5" s="939"/>
      <c r="C5" s="939"/>
      <c r="D5" s="939"/>
      <c r="E5" s="939"/>
      <c r="F5" s="939"/>
    </row>
    <row r="6" spans="1:7" ht="12.75" customHeight="1">
      <c r="C6" s="520"/>
      <c r="D6" s="521"/>
      <c r="G6" s="386"/>
    </row>
    <row r="7" spans="1:7" ht="12.75" customHeight="1">
      <c r="B7" s="589" t="s">
        <v>1</v>
      </c>
      <c r="C7" s="589" t="s">
        <v>2</v>
      </c>
      <c r="D7" s="589" t="s">
        <v>3</v>
      </c>
      <c r="E7" s="589" t="s">
        <v>4</v>
      </c>
      <c r="F7" s="589" t="s">
        <v>5</v>
      </c>
    </row>
    <row r="9" spans="1:7" ht="25.5">
      <c r="A9" s="517" t="s">
        <v>38</v>
      </c>
      <c r="B9" s="519" t="s">
        <v>39</v>
      </c>
      <c r="C9" s="518">
        <v>41274</v>
      </c>
      <c r="D9" s="514" t="s">
        <v>40</v>
      </c>
      <c r="E9" s="518">
        <v>41639</v>
      </c>
      <c r="F9" s="590" t="s">
        <v>342</v>
      </c>
    </row>
    <row r="10" spans="1:7">
      <c r="A10" s="516">
        <v>1</v>
      </c>
      <c r="B10" s="521" t="s">
        <v>44</v>
      </c>
      <c r="C10" s="875">
        <f>C25</f>
        <v>91165958</v>
      </c>
      <c r="D10" s="876">
        <f>E10-C10</f>
        <v>-7459022</v>
      </c>
      <c r="E10" s="875">
        <f>E25</f>
        <v>83706936</v>
      </c>
      <c r="F10" s="515">
        <f>(C10+E10)/2</f>
        <v>87436447</v>
      </c>
      <c r="G10" s="865"/>
    </row>
    <row r="11" spans="1:7">
      <c r="A11" s="511">
        <f>A10+1</f>
        <v>2</v>
      </c>
      <c r="B11" s="521"/>
      <c r="C11" s="876"/>
      <c r="D11" s="876"/>
      <c r="E11" s="876"/>
      <c r="F11" s="515"/>
    </row>
    <row r="12" spans="1:7">
      <c r="A12" s="511">
        <f t="shared" ref="A12:A18" si="0">A11+1</f>
        <v>3</v>
      </c>
      <c r="B12" s="521" t="s">
        <v>41</v>
      </c>
      <c r="C12" s="876">
        <v>-273887732</v>
      </c>
      <c r="D12" s="876">
        <f>E12-C12</f>
        <v>-4070231</v>
      </c>
      <c r="E12" s="876">
        <v>-277957963</v>
      </c>
      <c r="F12" s="515">
        <f>(C12+E12)/2</f>
        <v>-275922847.5</v>
      </c>
    </row>
    <row r="13" spans="1:7">
      <c r="A13" s="511">
        <f t="shared" si="0"/>
        <v>4</v>
      </c>
      <c r="B13" s="521"/>
      <c r="C13" s="876"/>
      <c r="D13" s="876"/>
      <c r="E13" s="876"/>
      <c r="F13" s="515"/>
    </row>
    <row r="14" spans="1:7">
      <c r="A14" s="511">
        <f t="shared" si="0"/>
        <v>5</v>
      </c>
      <c r="B14" s="521" t="s">
        <v>42</v>
      </c>
      <c r="C14" s="876">
        <v>-14337589</v>
      </c>
      <c r="D14" s="876">
        <f>E14-C14</f>
        <v>-1490676.1799999997</v>
      </c>
      <c r="E14" s="876">
        <v>-15828265.18</v>
      </c>
      <c r="F14" s="515">
        <f>(C14+E14)/2</f>
        <v>-15082927.09</v>
      </c>
    </row>
    <row r="15" spans="1:7">
      <c r="A15" s="511">
        <f t="shared" si="0"/>
        <v>6</v>
      </c>
      <c r="B15" s="521" t="s">
        <v>43</v>
      </c>
      <c r="C15" s="513">
        <v>0</v>
      </c>
      <c r="D15" s="513">
        <v>0</v>
      </c>
      <c r="E15" s="513">
        <f>C15-D15</f>
        <v>0</v>
      </c>
      <c r="F15" s="512">
        <f>(C15+E15)/2</f>
        <v>0</v>
      </c>
    </row>
    <row r="16" spans="1:7">
      <c r="A16" s="511">
        <f t="shared" si="0"/>
        <v>7</v>
      </c>
      <c r="B16" s="367" t="s">
        <v>341</v>
      </c>
      <c r="C16" s="876">
        <f>+SUM(C14:C15)</f>
        <v>-14337589</v>
      </c>
      <c r="D16" s="876">
        <f>+SUM(D14:D15)</f>
        <v>-1490676.1799999997</v>
      </c>
      <c r="E16" s="876">
        <f>+SUM(E14:E15)</f>
        <v>-15828265.18</v>
      </c>
      <c r="F16" s="366">
        <f>+SUM(F14:F15)</f>
        <v>-15082927.09</v>
      </c>
    </row>
    <row r="17" spans="1:7">
      <c r="A17" s="511">
        <f t="shared" si="0"/>
        <v>8</v>
      </c>
      <c r="B17" s="367"/>
      <c r="C17" s="876"/>
      <c r="D17" s="876"/>
      <c r="E17" s="365"/>
      <c r="F17" s="364"/>
    </row>
    <row r="18" spans="1:7">
      <c r="A18" s="511">
        <f t="shared" si="0"/>
        <v>9</v>
      </c>
      <c r="B18" s="510" t="s">
        <v>343</v>
      </c>
      <c r="C18" s="363">
        <f>SUM(C10:C12)+C16</f>
        <v>-197059363</v>
      </c>
      <c r="D18" s="363">
        <f>SUM(D10:D12)+D16</f>
        <v>-13019929.18</v>
      </c>
      <c r="E18" s="362">
        <f>SUM(E10:E12)+E16</f>
        <v>-210079292.18000001</v>
      </c>
      <c r="F18" s="361">
        <f>SUM(F10:F12)+F16</f>
        <v>-203569327.59</v>
      </c>
    </row>
    <row r="19" spans="1:7">
      <c r="A19" s="360"/>
      <c r="B19" s="359"/>
      <c r="C19" s="358"/>
      <c r="D19" s="358"/>
      <c r="E19" s="358"/>
      <c r="F19" s="591"/>
    </row>
    <row r="20" spans="1:7">
      <c r="C20" s="357"/>
      <c r="D20" s="357"/>
      <c r="E20" s="357"/>
    </row>
    <row r="21" spans="1:7">
      <c r="B21" s="356" t="s">
        <v>656</v>
      </c>
      <c r="C21" s="727">
        <v>115976211</v>
      </c>
      <c r="D21" s="727"/>
      <c r="E21" s="727">
        <v>108426748</v>
      </c>
      <c r="F21" s="727">
        <f>AVERAGE(C21:E21)</f>
        <v>112201479.5</v>
      </c>
      <c r="G21" s="727"/>
    </row>
    <row r="22" spans="1:7">
      <c r="B22" s="356" t="s">
        <v>657</v>
      </c>
      <c r="C22" s="727">
        <v>-2553864</v>
      </c>
      <c r="D22" s="727"/>
      <c r="E22" s="727">
        <v>-1959731</v>
      </c>
      <c r="F22" s="727">
        <f t="shared" ref="F22:F24" si="1">AVERAGE(C22:E22)</f>
        <v>-2256797.5</v>
      </c>
      <c r="G22" s="727"/>
    </row>
    <row r="23" spans="1:7">
      <c r="B23" s="356" t="s">
        <v>658</v>
      </c>
      <c r="C23" s="727">
        <v>-3167609</v>
      </c>
      <c r="D23" s="727"/>
      <c r="E23" s="727">
        <v>-3042153</v>
      </c>
      <c r="F23" s="727">
        <f t="shared" si="1"/>
        <v>-3104881</v>
      </c>
      <c r="G23" s="727"/>
    </row>
    <row r="24" spans="1:7">
      <c r="B24" s="356" t="s">
        <v>659</v>
      </c>
      <c r="C24" s="727">
        <v>-19088780</v>
      </c>
      <c r="D24" s="727"/>
      <c r="E24" s="355">
        <v>-19717928</v>
      </c>
      <c r="F24" s="727">
        <f t="shared" si="1"/>
        <v>-19403354</v>
      </c>
      <c r="G24" s="727"/>
    </row>
    <row r="25" spans="1:7">
      <c r="B25" s="356"/>
      <c r="C25" s="892">
        <f>SUM(C21:C24)</f>
        <v>91165958</v>
      </c>
      <c r="D25" s="727"/>
      <c r="E25" s="892">
        <f>SUM(E21:E24)</f>
        <v>83706936</v>
      </c>
      <c r="F25" s="892">
        <f>SUM(F21:F24)</f>
        <v>87436447</v>
      </c>
      <c r="G25" s="727"/>
    </row>
    <row r="26" spans="1:7">
      <c r="B26" s="356"/>
      <c r="C26" s="727"/>
      <c r="D26" s="727"/>
      <c r="E26" s="727"/>
      <c r="F26" s="727"/>
      <c r="G26" s="727"/>
    </row>
  </sheetData>
  <mergeCells count="3">
    <mergeCell ref="A3:F3"/>
    <mergeCell ref="A4:F4"/>
    <mergeCell ref="A5:F5"/>
  </mergeCells>
  <printOptions horizontalCentered="1"/>
  <pageMargins left="0.75" right="0.75" top="0.75" bottom="0.75" header="0.5" footer="0.5"/>
  <pageSetup scale="73" orientation="portrait" r:id="rId1"/>
  <headerFooter alignWithMargins="0">
    <oddHeader>&amp;R&amp;"Arial,Regular"&amp;10Attachment O Work Paper
Page 4 of 22</oddHeader>
  </headerFooter>
  <ignoredErrors>
    <ignoredError sqref="C11:F11 C20:D20 D10 F10 C13:F13 D12 F12 C15:F17 D14 F14 D18:F18" unlockedFormula="1"/>
    <ignoredError sqref="F19" numberStoredAsText="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2"/>
  <sheetViews>
    <sheetView showGridLines="0" zoomScaleNormal="100" workbookViewId="0">
      <selection activeCell="E19" sqref="E19"/>
    </sheetView>
  </sheetViews>
  <sheetFormatPr defaultRowHeight="12.75"/>
  <cols>
    <col min="1" max="1" width="3.6640625" style="734" customWidth="1"/>
    <col min="2" max="2" width="18.6640625" style="544" bestFit="1" customWidth="1"/>
    <col min="3" max="5" width="15.77734375" style="544" customWidth="1"/>
    <col min="6" max="6" width="12.77734375" style="544" customWidth="1"/>
    <col min="7" max="16" width="9.109375" style="544" customWidth="1"/>
    <col min="17" max="16384" width="8.88671875" style="544"/>
  </cols>
  <sheetData>
    <row r="3" spans="1:16">
      <c r="F3" s="891"/>
    </row>
    <row r="4" spans="1:16">
      <c r="A4" s="937" t="s">
        <v>0</v>
      </c>
      <c r="B4" s="937"/>
      <c r="C4" s="937"/>
      <c r="D4" s="937"/>
      <c r="E4" s="937"/>
      <c r="F4" s="937"/>
    </row>
    <row r="5" spans="1:16">
      <c r="A5" s="937" t="s">
        <v>363</v>
      </c>
      <c r="B5" s="937"/>
      <c r="C5" s="937"/>
      <c r="D5" s="937"/>
      <c r="E5" s="937"/>
      <c r="F5" s="937"/>
      <c r="G5" s="386"/>
    </row>
    <row r="6" spans="1:16">
      <c r="A6" s="938" t="str">
        <f>"For the 13 Months Ended December 31, "&amp;Info!B3</f>
        <v>For the 13 Months Ended December 31, 2013</v>
      </c>
      <c r="B6" s="938"/>
      <c r="C6" s="938"/>
      <c r="D6" s="938"/>
      <c r="E6" s="938"/>
      <c r="F6" s="938"/>
      <c r="G6" s="868"/>
      <c r="H6" s="868"/>
      <c r="I6" s="868"/>
    </row>
    <row r="8" spans="1:16">
      <c r="B8" s="734" t="s">
        <v>1</v>
      </c>
      <c r="C8" s="734" t="s">
        <v>2</v>
      </c>
      <c r="D8" s="734" t="s">
        <v>3</v>
      </c>
      <c r="E8" s="734" t="s">
        <v>4</v>
      </c>
      <c r="F8" s="734" t="s">
        <v>5</v>
      </c>
    </row>
    <row r="10" spans="1:16">
      <c r="A10" s="376"/>
      <c r="B10" s="378"/>
      <c r="C10" s="375" t="s">
        <v>358</v>
      </c>
      <c r="D10" s="375" t="s">
        <v>359</v>
      </c>
      <c r="E10" s="375" t="s">
        <v>360</v>
      </c>
      <c r="F10" s="374"/>
    </row>
    <row r="11" spans="1:16">
      <c r="A11" s="542" t="s">
        <v>8</v>
      </c>
      <c r="B11" s="373"/>
      <c r="C11" s="541" t="s">
        <v>364</v>
      </c>
      <c r="D11" s="541" t="s">
        <v>364</v>
      </c>
      <c r="E11" s="541" t="s">
        <v>364</v>
      </c>
      <c r="F11" s="372"/>
    </row>
    <row r="12" spans="1:16">
      <c r="A12" s="540" t="s">
        <v>10</v>
      </c>
      <c r="B12" s="371" t="s">
        <v>46</v>
      </c>
      <c r="C12" s="354" t="s">
        <v>361</v>
      </c>
      <c r="D12" s="354" t="s">
        <v>588</v>
      </c>
      <c r="E12" s="354" t="s">
        <v>588</v>
      </c>
      <c r="F12" s="370" t="s">
        <v>16</v>
      </c>
    </row>
    <row r="13" spans="1:16">
      <c r="A13" s="376">
        <v>1</v>
      </c>
      <c r="B13" s="546" t="str">
        <f>"December "&amp;Info!B2</f>
        <v>December 2012</v>
      </c>
      <c r="C13" s="509">
        <v>0</v>
      </c>
      <c r="D13" s="509">
        <v>0</v>
      </c>
      <c r="E13" s="509">
        <v>0</v>
      </c>
      <c r="F13" s="508">
        <f t="shared" ref="F13:F25" si="0">+SUM(C13:E13)</f>
        <v>0</v>
      </c>
      <c r="G13" s="537"/>
      <c r="H13" s="537"/>
      <c r="I13" s="537"/>
      <c r="J13" s="537"/>
      <c r="K13" s="537"/>
      <c r="L13" s="537"/>
      <c r="M13" s="537"/>
      <c r="N13" s="537"/>
      <c r="O13" s="537"/>
      <c r="P13" s="537"/>
    </row>
    <row r="14" spans="1:16" s="537" customFormat="1">
      <c r="A14" s="542">
        <f>+A13+1</f>
        <v>2</v>
      </c>
      <c r="B14" s="546" t="str">
        <f>"January "&amp;Info!B3</f>
        <v>January 2013</v>
      </c>
      <c r="C14" s="509">
        <v>0</v>
      </c>
      <c r="D14" s="509">
        <v>0</v>
      </c>
      <c r="E14" s="509">
        <v>0</v>
      </c>
      <c r="F14" s="508">
        <f t="shared" si="0"/>
        <v>0</v>
      </c>
      <c r="G14" s="536"/>
      <c r="H14" s="536"/>
      <c r="I14" s="536"/>
      <c r="J14" s="536"/>
      <c r="K14" s="536"/>
      <c r="L14" s="536"/>
      <c r="M14" s="536"/>
      <c r="N14" s="536"/>
      <c r="O14" s="536"/>
      <c r="P14" s="536"/>
    </row>
    <row r="15" spans="1:16">
      <c r="A15" s="542">
        <f>+A14+1</f>
        <v>3</v>
      </c>
      <c r="B15" s="368" t="s">
        <v>17</v>
      </c>
      <c r="C15" s="509">
        <v>0</v>
      </c>
      <c r="D15" s="509">
        <v>0</v>
      </c>
      <c r="E15" s="509">
        <v>0</v>
      </c>
      <c r="F15" s="508">
        <f t="shared" si="0"/>
        <v>0</v>
      </c>
      <c r="G15" s="537"/>
    </row>
    <row r="16" spans="1:16">
      <c r="A16" s="542">
        <f>+A15+1</f>
        <v>4</v>
      </c>
      <c r="B16" s="368" t="s">
        <v>18</v>
      </c>
      <c r="C16" s="509">
        <v>0</v>
      </c>
      <c r="D16" s="509">
        <v>0</v>
      </c>
      <c r="E16" s="509">
        <v>0</v>
      </c>
      <c r="F16" s="508">
        <f t="shared" si="0"/>
        <v>0</v>
      </c>
    </row>
    <row r="17" spans="1:16">
      <c r="A17" s="542">
        <f>+A16+1</f>
        <v>5</v>
      </c>
      <c r="B17" s="368" t="s">
        <v>19</v>
      </c>
      <c r="C17" s="509">
        <v>0</v>
      </c>
      <c r="D17" s="509">
        <v>0</v>
      </c>
      <c r="E17" s="509">
        <v>0</v>
      </c>
      <c r="F17" s="508">
        <f t="shared" si="0"/>
        <v>0</v>
      </c>
    </row>
    <row r="18" spans="1:16">
      <c r="A18" s="542">
        <f>+A17+1</f>
        <v>6</v>
      </c>
      <c r="B18" s="368" t="s">
        <v>20</v>
      </c>
      <c r="C18" s="509">
        <v>0</v>
      </c>
      <c r="D18" s="509">
        <v>0</v>
      </c>
      <c r="E18" s="509">
        <v>0</v>
      </c>
      <c r="F18" s="508">
        <f t="shared" si="0"/>
        <v>0</v>
      </c>
      <c r="G18" s="537"/>
      <c r="H18" s="537"/>
      <c r="I18" s="537"/>
      <c r="J18" s="537"/>
      <c r="K18" s="537"/>
      <c r="L18" s="537"/>
      <c r="M18" s="537"/>
    </row>
    <row r="19" spans="1:16">
      <c r="A19" s="542">
        <f t="shared" ref="A19:A27" si="1">+A18+1</f>
        <v>7</v>
      </c>
      <c r="B19" s="368" t="s">
        <v>21</v>
      </c>
      <c r="C19" s="509">
        <v>0</v>
      </c>
      <c r="D19" s="509">
        <v>0</v>
      </c>
      <c r="E19" s="509">
        <v>0</v>
      </c>
      <c r="F19" s="508">
        <f t="shared" si="0"/>
        <v>0</v>
      </c>
      <c r="I19" s="537"/>
      <c r="J19" s="537"/>
      <c r="K19" s="537"/>
      <c r="L19" s="537"/>
      <c r="M19" s="537"/>
      <c r="N19" s="537"/>
      <c r="O19" s="537"/>
      <c r="P19" s="537"/>
    </row>
    <row r="20" spans="1:16">
      <c r="A20" s="542">
        <f t="shared" si="1"/>
        <v>8</v>
      </c>
      <c r="B20" s="368" t="s">
        <v>22</v>
      </c>
      <c r="C20" s="509">
        <v>0</v>
      </c>
      <c r="D20" s="509">
        <v>0</v>
      </c>
      <c r="E20" s="509">
        <v>0</v>
      </c>
      <c r="F20" s="508">
        <f t="shared" si="0"/>
        <v>0</v>
      </c>
    </row>
    <row r="21" spans="1:16">
      <c r="A21" s="542">
        <f t="shared" si="1"/>
        <v>9</v>
      </c>
      <c r="B21" s="368" t="s">
        <v>23</v>
      </c>
      <c r="C21" s="509">
        <v>0</v>
      </c>
      <c r="D21" s="509">
        <v>0</v>
      </c>
      <c r="E21" s="509">
        <v>0</v>
      </c>
      <c r="F21" s="508">
        <f t="shared" si="0"/>
        <v>0</v>
      </c>
    </row>
    <row r="22" spans="1:16">
      <c r="A22" s="542">
        <f t="shared" si="1"/>
        <v>10</v>
      </c>
      <c r="B22" s="368" t="s">
        <v>24</v>
      </c>
      <c r="C22" s="509">
        <v>0</v>
      </c>
      <c r="D22" s="509">
        <v>0</v>
      </c>
      <c r="E22" s="509">
        <v>0</v>
      </c>
      <c r="F22" s="508">
        <f t="shared" si="0"/>
        <v>0</v>
      </c>
      <c r="G22" s="537"/>
      <c r="H22" s="535"/>
    </row>
    <row r="23" spans="1:16">
      <c r="A23" s="542">
        <f t="shared" si="1"/>
        <v>11</v>
      </c>
      <c r="B23" s="368" t="s">
        <v>25</v>
      </c>
      <c r="C23" s="509">
        <v>0</v>
      </c>
      <c r="D23" s="509">
        <v>0</v>
      </c>
      <c r="E23" s="509">
        <v>0</v>
      </c>
      <c r="F23" s="508">
        <f t="shared" si="0"/>
        <v>0</v>
      </c>
    </row>
    <row r="24" spans="1:16">
      <c r="A24" s="542">
        <f t="shared" si="1"/>
        <v>12</v>
      </c>
      <c r="B24" s="368" t="s">
        <v>26</v>
      </c>
      <c r="C24" s="509">
        <v>0</v>
      </c>
      <c r="D24" s="509">
        <v>0</v>
      </c>
      <c r="E24" s="509">
        <v>0</v>
      </c>
      <c r="F24" s="508">
        <f t="shared" si="0"/>
        <v>0</v>
      </c>
    </row>
    <row r="25" spans="1:16">
      <c r="A25" s="542">
        <f t="shared" si="1"/>
        <v>13</v>
      </c>
      <c r="B25" s="368" t="s">
        <v>27</v>
      </c>
      <c r="C25" s="509">
        <v>0</v>
      </c>
      <c r="D25" s="509">
        <v>0</v>
      </c>
      <c r="E25" s="509">
        <v>0</v>
      </c>
      <c r="F25" s="508">
        <f t="shared" si="0"/>
        <v>0</v>
      </c>
    </row>
    <row r="26" spans="1:16">
      <c r="A26" s="542">
        <f t="shared" si="1"/>
        <v>14</v>
      </c>
      <c r="B26" s="368"/>
      <c r="C26" s="353"/>
      <c r="D26" s="353"/>
      <c r="E26" s="353"/>
      <c r="F26" s="384"/>
    </row>
    <row r="27" spans="1:16">
      <c r="A27" s="542">
        <f t="shared" si="1"/>
        <v>15</v>
      </c>
      <c r="B27" s="532" t="s">
        <v>28</v>
      </c>
      <c r="C27" s="352">
        <f>+AVERAGE(C13:C25)</f>
        <v>0</v>
      </c>
      <c r="D27" s="352">
        <f>+AVERAGE(D13:D25)</f>
        <v>0</v>
      </c>
      <c r="E27" s="352">
        <f>+AVERAGE(E13:E25)</f>
        <v>0</v>
      </c>
      <c r="F27" s="351">
        <f>+SUM(C27:E27)</f>
        <v>0</v>
      </c>
    </row>
    <row r="28" spans="1:16">
      <c r="A28" s="529"/>
      <c r="B28" s="528"/>
      <c r="C28" s="527"/>
      <c r="D28" s="527"/>
      <c r="E28" s="527"/>
      <c r="F28" s="526"/>
    </row>
    <row r="31" spans="1:16">
      <c r="B31" s="878" t="s">
        <v>589</v>
      </c>
    </row>
    <row r="32" spans="1:16">
      <c r="B32" s="878" t="s">
        <v>546</v>
      </c>
    </row>
  </sheetData>
  <mergeCells count="3">
    <mergeCell ref="A4:F4"/>
    <mergeCell ref="A5:F5"/>
    <mergeCell ref="A6:F6"/>
  </mergeCells>
  <printOptions horizontalCentered="1"/>
  <pageMargins left="0.75" right="0.75" top="0.75" bottom="0.75" header="0.5" footer="0.3"/>
  <pageSetup scale="78" orientation="portrait" r:id="rId1"/>
  <headerFooter>
    <oddHeader>&amp;R&amp;"Arial,Regular"&amp;10Attachment O Work Paper
Page 5 of 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I145"/>
  <sheetViews>
    <sheetView showGridLines="0" zoomScaleNormal="100" workbookViewId="0">
      <selection activeCell="B28" sqref="B28"/>
    </sheetView>
  </sheetViews>
  <sheetFormatPr defaultRowHeight="12.75"/>
  <cols>
    <col min="1" max="1" width="3.44140625" style="564" bestFit="1" customWidth="1"/>
    <col min="2" max="2" width="18.6640625" style="564" bestFit="1" customWidth="1"/>
    <col min="3" max="5" width="10.77734375" style="564" customWidth="1"/>
    <col min="6" max="10" width="11.5546875" style="564" bestFit="1" customWidth="1"/>
    <col min="11" max="16384" width="8.88671875" style="564"/>
  </cols>
  <sheetData>
    <row r="2" spans="1:9">
      <c r="E2" s="386"/>
    </row>
    <row r="3" spans="1:9">
      <c r="A3" s="938" t="s">
        <v>0</v>
      </c>
      <c r="B3" s="938"/>
      <c r="C3" s="938"/>
      <c r="D3" s="938"/>
      <c r="E3" s="938"/>
      <c r="F3" s="891"/>
    </row>
    <row r="4" spans="1:9">
      <c r="A4" s="938" t="s">
        <v>36</v>
      </c>
      <c r="B4" s="938"/>
      <c r="C4" s="938"/>
      <c r="D4" s="938"/>
      <c r="E4" s="938"/>
      <c r="F4" s="386"/>
    </row>
    <row r="5" spans="1:9">
      <c r="A5" s="938" t="str">
        <f>"For the 13 Months Ended December 31, "&amp;Info!B3</f>
        <v>For the 13 Months Ended December 31, 2013</v>
      </c>
      <c r="B5" s="938"/>
      <c r="C5" s="938"/>
      <c r="D5" s="938"/>
      <c r="E5" s="938"/>
      <c r="F5" s="868"/>
      <c r="G5" s="868"/>
      <c r="H5" s="868"/>
      <c r="I5" s="868"/>
    </row>
    <row r="6" spans="1:9">
      <c r="A6" s="565"/>
    </row>
    <row r="7" spans="1:9" s="567" customFormat="1">
      <c r="A7" s="566"/>
      <c r="B7" s="567" t="s">
        <v>1</v>
      </c>
      <c r="C7" s="567" t="s">
        <v>2</v>
      </c>
      <c r="D7" s="567" t="s">
        <v>3</v>
      </c>
      <c r="E7" s="567" t="s">
        <v>4</v>
      </c>
    </row>
    <row r="9" spans="1:9">
      <c r="A9" s="568" t="s">
        <v>8</v>
      </c>
      <c r="B9" s="569"/>
      <c r="C9" s="571"/>
      <c r="D9" s="572"/>
      <c r="E9" s="573"/>
    </row>
    <row r="10" spans="1:9">
      <c r="A10" s="574" t="s">
        <v>10</v>
      </c>
      <c r="B10" s="575" t="s">
        <v>46</v>
      </c>
      <c r="C10" s="1" t="s">
        <v>12</v>
      </c>
      <c r="D10" s="1" t="s">
        <v>13</v>
      </c>
      <c r="E10" s="2" t="s">
        <v>16</v>
      </c>
    </row>
    <row r="11" spans="1:9">
      <c r="A11" s="568">
        <v>1</v>
      </c>
      <c r="B11" s="546" t="str">
        <f>"December "&amp;Info!B2</f>
        <v>December 2012</v>
      </c>
      <c r="C11" s="883">
        <v>9037</v>
      </c>
      <c r="D11" s="576">
        <v>20619</v>
      </c>
      <c r="E11" s="3">
        <f t="shared" ref="E11:E23" si="0">+SUM(C11:D11)</f>
        <v>29656</v>
      </c>
    </row>
    <row r="12" spans="1:9">
      <c r="A12" s="577">
        <f t="shared" ref="A12:A25" si="1">+A11+1</f>
        <v>2</v>
      </c>
      <c r="B12" s="546" t="str">
        <f>"January "&amp;Info!B3</f>
        <v>January 2013</v>
      </c>
      <c r="C12" s="883">
        <v>9037</v>
      </c>
      <c r="D12" s="576">
        <v>20619</v>
      </c>
      <c r="E12" s="3">
        <f t="shared" si="0"/>
        <v>29656</v>
      </c>
    </row>
    <row r="13" spans="1:9">
      <c r="A13" s="577">
        <f t="shared" si="1"/>
        <v>3</v>
      </c>
      <c r="B13" s="578" t="s">
        <v>17</v>
      </c>
      <c r="C13" s="883">
        <v>9037</v>
      </c>
      <c r="D13" s="576">
        <v>20619</v>
      </c>
      <c r="E13" s="3">
        <f t="shared" si="0"/>
        <v>29656</v>
      </c>
    </row>
    <row r="14" spans="1:9">
      <c r="A14" s="577">
        <f t="shared" si="1"/>
        <v>4</v>
      </c>
      <c r="B14" s="578" t="s">
        <v>18</v>
      </c>
      <c r="C14" s="883">
        <v>9037</v>
      </c>
      <c r="D14" s="576">
        <v>20619</v>
      </c>
      <c r="E14" s="3">
        <f t="shared" si="0"/>
        <v>29656</v>
      </c>
    </row>
    <row r="15" spans="1:9">
      <c r="A15" s="577">
        <f t="shared" si="1"/>
        <v>5</v>
      </c>
      <c r="B15" s="578" t="s">
        <v>19</v>
      </c>
      <c r="C15" s="883">
        <v>9037</v>
      </c>
      <c r="D15" s="576">
        <v>20619</v>
      </c>
      <c r="E15" s="3">
        <f t="shared" si="0"/>
        <v>29656</v>
      </c>
    </row>
    <row r="16" spans="1:9">
      <c r="A16" s="577">
        <f t="shared" si="1"/>
        <v>6</v>
      </c>
      <c r="B16" s="578" t="s">
        <v>20</v>
      </c>
      <c r="C16" s="883">
        <v>9037</v>
      </c>
      <c r="D16" s="576">
        <v>20619</v>
      </c>
      <c r="E16" s="3">
        <f t="shared" si="0"/>
        <v>29656</v>
      </c>
    </row>
    <row r="17" spans="1:5">
      <c r="A17" s="577">
        <f t="shared" si="1"/>
        <v>7</v>
      </c>
      <c r="B17" s="578" t="s">
        <v>21</v>
      </c>
      <c r="C17" s="883">
        <v>9037</v>
      </c>
      <c r="D17" s="576">
        <v>20619</v>
      </c>
      <c r="E17" s="3">
        <f t="shared" si="0"/>
        <v>29656</v>
      </c>
    </row>
    <row r="18" spans="1:5">
      <c r="A18" s="577">
        <f t="shared" si="1"/>
        <v>8</v>
      </c>
      <c r="B18" s="578" t="s">
        <v>22</v>
      </c>
      <c r="C18" s="883">
        <v>9037</v>
      </c>
      <c r="D18" s="576">
        <v>20619</v>
      </c>
      <c r="E18" s="3">
        <f t="shared" si="0"/>
        <v>29656</v>
      </c>
    </row>
    <row r="19" spans="1:5">
      <c r="A19" s="577">
        <f t="shared" si="1"/>
        <v>9</v>
      </c>
      <c r="B19" s="578" t="s">
        <v>23</v>
      </c>
      <c r="C19" s="883">
        <v>9037</v>
      </c>
      <c r="D19" s="576">
        <v>20619</v>
      </c>
      <c r="E19" s="3">
        <f t="shared" si="0"/>
        <v>29656</v>
      </c>
    </row>
    <row r="20" spans="1:5">
      <c r="A20" s="577">
        <f t="shared" si="1"/>
        <v>10</v>
      </c>
      <c r="B20" s="578" t="s">
        <v>24</v>
      </c>
      <c r="C20" s="883">
        <v>9037</v>
      </c>
      <c r="D20" s="576">
        <v>20619</v>
      </c>
      <c r="E20" s="3">
        <f t="shared" si="0"/>
        <v>29656</v>
      </c>
    </row>
    <row r="21" spans="1:5">
      <c r="A21" s="577">
        <f t="shared" si="1"/>
        <v>11</v>
      </c>
      <c r="B21" s="578" t="s">
        <v>25</v>
      </c>
      <c r="C21" s="883">
        <v>9037</v>
      </c>
      <c r="D21" s="576">
        <v>20619</v>
      </c>
      <c r="E21" s="3">
        <f t="shared" si="0"/>
        <v>29656</v>
      </c>
    </row>
    <row r="22" spans="1:5">
      <c r="A22" s="577">
        <f t="shared" si="1"/>
        <v>12</v>
      </c>
      <c r="B22" s="578" t="s">
        <v>26</v>
      </c>
      <c r="C22" s="883">
        <v>9037</v>
      </c>
      <c r="D22" s="576">
        <v>20619</v>
      </c>
      <c r="E22" s="3">
        <f t="shared" si="0"/>
        <v>29656</v>
      </c>
    </row>
    <row r="23" spans="1:5">
      <c r="A23" s="577">
        <f t="shared" si="1"/>
        <v>13</v>
      </c>
      <c r="B23" s="578" t="s">
        <v>27</v>
      </c>
      <c r="C23" s="883">
        <v>9037</v>
      </c>
      <c r="D23" s="576">
        <v>20619</v>
      </c>
      <c r="E23" s="3">
        <f t="shared" si="0"/>
        <v>29656</v>
      </c>
    </row>
    <row r="24" spans="1:5">
      <c r="A24" s="577">
        <f t="shared" si="1"/>
        <v>14</v>
      </c>
      <c r="B24" s="578"/>
      <c r="C24" s="576"/>
      <c r="D24" s="576"/>
      <c r="E24" s="3"/>
    </row>
    <row r="25" spans="1:5">
      <c r="A25" s="577">
        <f t="shared" si="1"/>
        <v>15</v>
      </c>
      <c r="B25" s="614" t="s">
        <v>28</v>
      </c>
      <c r="C25" s="609">
        <f>AVERAGE(C11:C23)</f>
        <v>9037</v>
      </c>
      <c r="D25" s="579">
        <f>AVERAGE(D11:D23)</f>
        <v>20619</v>
      </c>
      <c r="E25" s="580">
        <f>AVERAGE(E11:E23)</f>
        <v>29656</v>
      </c>
    </row>
    <row r="26" spans="1:5">
      <c r="A26" s="577"/>
      <c r="B26" s="581"/>
      <c r="C26" s="4"/>
      <c r="D26" s="4"/>
      <c r="E26" s="5"/>
    </row>
    <row r="27" spans="1:5">
      <c r="A27" s="582"/>
    </row>
    <row r="28" spans="1:5">
      <c r="A28" s="583"/>
    </row>
    <row r="29" spans="1:5">
      <c r="A29" s="583"/>
    </row>
    <row r="30" spans="1:5">
      <c r="A30" s="583"/>
    </row>
    <row r="31" spans="1:5">
      <c r="A31" s="583"/>
    </row>
    <row r="32" spans="1:5">
      <c r="A32" s="583"/>
    </row>
    <row r="33" spans="1:1">
      <c r="A33" s="583"/>
    </row>
    <row r="34" spans="1:1">
      <c r="A34" s="583"/>
    </row>
    <row r="35" spans="1:1">
      <c r="A35" s="583"/>
    </row>
    <row r="36" spans="1:1">
      <c r="A36" s="583"/>
    </row>
    <row r="37" spans="1:1">
      <c r="A37" s="583"/>
    </row>
    <row r="38" spans="1:1">
      <c r="A38" s="583"/>
    </row>
    <row r="39" spans="1:1">
      <c r="A39" s="583"/>
    </row>
    <row r="40" spans="1:1">
      <c r="A40" s="583"/>
    </row>
    <row r="41" spans="1:1">
      <c r="A41" s="583"/>
    </row>
    <row r="42" spans="1:1">
      <c r="A42" s="583"/>
    </row>
    <row r="43" spans="1:1">
      <c r="A43" s="583"/>
    </row>
    <row r="44" spans="1:1">
      <c r="A44" s="583"/>
    </row>
    <row r="45" spans="1:1">
      <c r="A45" s="583"/>
    </row>
    <row r="46" spans="1:1">
      <c r="A46" s="583"/>
    </row>
    <row r="47" spans="1:1">
      <c r="A47" s="583"/>
    </row>
    <row r="48" spans="1:1">
      <c r="A48" s="583"/>
    </row>
    <row r="49" spans="1:1">
      <c r="A49" s="583"/>
    </row>
    <row r="50" spans="1:1">
      <c r="A50" s="583"/>
    </row>
    <row r="51" spans="1:1">
      <c r="A51" s="583"/>
    </row>
    <row r="52" spans="1:1">
      <c r="A52" s="583"/>
    </row>
    <row r="53" spans="1:1">
      <c r="A53" s="583"/>
    </row>
    <row r="54" spans="1:1">
      <c r="A54" s="583"/>
    </row>
    <row r="55" spans="1:1">
      <c r="A55" s="583"/>
    </row>
    <row r="56" spans="1:1">
      <c r="A56" s="583"/>
    </row>
    <row r="57" spans="1:1">
      <c r="A57" s="583"/>
    </row>
    <row r="58" spans="1:1">
      <c r="A58" s="583"/>
    </row>
    <row r="59" spans="1:1">
      <c r="A59" s="583"/>
    </row>
    <row r="60" spans="1:1">
      <c r="A60" s="583"/>
    </row>
    <row r="61" spans="1:1">
      <c r="A61" s="583"/>
    </row>
    <row r="62" spans="1:1">
      <c r="A62" s="583"/>
    </row>
    <row r="63" spans="1:1">
      <c r="A63" s="583"/>
    </row>
    <row r="64" spans="1:1">
      <c r="A64" s="583"/>
    </row>
    <row r="65" spans="1:1">
      <c r="A65" s="583"/>
    </row>
    <row r="66" spans="1:1">
      <c r="A66" s="583"/>
    </row>
    <row r="67" spans="1:1">
      <c r="A67" s="583"/>
    </row>
    <row r="68" spans="1:1">
      <c r="A68" s="583"/>
    </row>
    <row r="69" spans="1:1">
      <c r="A69" s="583"/>
    </row>
    <row r="70" spans="1:1">
      <c r="A70" s="583"/>
    </row>
    <row r="71" spans="1:1">
      <c r="A71" s="583"/>
    </row>
    <row r="72" spans="1:1">
      <c r="A72" s="583"/>
    </row>
    <row r="73" spans="1:1">
      <c r="A73" s="583"/>
    </row>
    <row r="74" spans="1:1">
      <c r="A74" s="583"/>
    </row>
    <row r="75" spans="1:1">
      <c r="A75" s="583"/>
    </row>
    <row r="76" spans="1:1">
      <c r="A76" s="583"/>
    </row>
    <row r="77" spans="1:1">
      <c r="A77" s="583"/>
    </row>
    <row r="78" spans="1:1">
      <c r="A78" s="583"/>
    </row>
    <row r="79" spans="1:1">
      <c r="A79" s="583"/>
    </row>
    <row r="80" spans="1:1">
      <c r="A80" s="583"/>
    </row>
    <row r="81" spans="1:1">
      <c r="A81" s="583"/>
    </row>
    <row r="82" spans="1:1">
      <c r="A82" s="583"/>
    </row>
    <row r="83" spans="1:1">
      <c r="A83" s="583"/>
    </row>
    <row r="84" spans="1:1">
      <c r="A84" s="583"/>
    </row>
    <row r="85" spans="1:1">
      <c r="A85" s="583"/>
    </row>
    <row r="86" spans="1:1">
      <c r="A86" s="583"/>
    </row>
    <row r="87" spans="1:1">
      <c r="A87" s="583"/>
    </row>
    <row r="88" spans="1:1">
      <c r="A88" s="583"/>
    </row>
    <row r="89" spans="1:1">
      <c r="A89" s="583"/>
    </row>
    <row r="90" spans="1:1">
      <c r="A90" s="583"/>
    </row>
    <row r="91" spans="1:1">
      <c r="A91" s="583"/>
    </row>
    <row r="92" spans="1:1">
      <c r="A92" s="583"/>
    </row>
    <row r="93" spans="1:1">
      <c r="A93" s="583"/>
    </row>
    <row r="94" spans="1:1">
      <c r="A94" s="583"/>
    </row>
    <row r="95" spans="1:1">
      <c r="A95" s="583"/>
    </row>
    <row r="96" spans="1:1">
      <c r="A96" s="583"/>
    </row>
    <row r="97" spans="1:1">
      <c r="A97" s="583"/>
    </row>
    <row r="98" spans="1:1">
      <c r="A98" s="583"/>
    </row>
    <row r="99" spans="1:1">
      <c r="A99" s="583"/>
    </row>
    <row r="100" spans="1:1">
      <c r="A100" s="583"/>
    </row>
    <row r="101" spans="1:1">
      <c r="A101" s="583"/>
    </row>
    <row r="102" spans="1:1">
      <c r="A102" s="583"/>
    </row>
    <row r="103" spans="1:1">
      <c r="A103" s="583"/>
    </row>
    <row r="104" spans="1:1">
      <c r="A104" s="583"/>
    </row>
    <row r="105" spans="1:1">
      <c r="A105" s="583"/>
    </row>
    <row r="106" spans="1:1">
      <c r="A106" s="583"/>
    </row>
    <row r="107" spans="1:1">
      <c r="A107" s="583"/>
    </row>
    <row r="108" spans="1:1">
      <c r="A108" s="583"/>
    </row>
    <row r="109" spans="1:1">
      <c r="A109" s="583"/>
    </row>
    <row r="110" spans="1:1">
      <c r="A110" s="583"/>
    </row>
    <row r="111" spans="1:1">
      <c r="A111" s="583"/>
    </row>
    <row r="112" spans="1:1">
      <c r="A112" s="583"/>
    </row>
    <row r="113" spans="1:1">
      <c r="A113" s="583"/>
    </row>
    <row r="114" spans="1:1">
      <c r="A114" s="583"/>
    </row>
    <row r="115" spans="1:1">
      <c r="A115" s="583"/>
    </row>
    <row r="116" spans="1:1">
      <c r="A116" s="583"/>
    </row>
    <row r="117" spans="1:1">
      <c r="A117" s="583"/>
    </row>
    <row r="118" spans="1:1">
      <c r="A118" s="583"/>
    </row>
    <row r="119" spans="1:1">
      <c r="A119" s="583"/>
    </row>
    <row r="120" spans="1:1">
      <c r="A120" s="583"/>
    </row>
    <row r="121" spans="1:1">
      <c r="A121" s="583"/>
    </row>
    <row r="122" spans="1:1">
      <c r="A122" s="583"/>
    </row>
    <row r="123" spans="1:1">
      <c r="A123" s="583"/>
    </row>
    <row r="124" spans="1:1">
      <c r="A124" s="583"/>
    </row>
    <row r="125" spans="1:1">
      <c r="A125" s="583"/>
    </row>
    <row r="126" spans="1:1">
      <c r="A126" s="583"/>
    </row>
    <row r="127" spans="1:1">
      <c r="A127" s="583"/>
    </row>
    <row r="128" spans="1:1">
      <c r="A128" s="583"/>
    </row>
    <row r="129" spans="1:1">
      <c r="A129" s="583"/>
    </row>
    <row r="130" spans="1:1">
      <c r="A130" s="583"/>
    </row>
    <row r="131" spans="1:1">
      <c r="A131" s="583"/>
    </row>
    <row r="132" spans="1:1">
      <c r="A132" s="583"/>
    </row>
    <row r="133" spans="1:1">
      <c r="A133" s="583"/>
    </row>
    <row r="134" spans="1:1">
      <c r="A134" s="583"/>
    </row>
    <row r="135" spans="1:1">
      <c r="A135" s="583"/>
    </row>
    <row r="136" spans="1:1">
      <c r="A136" s="583"/>
    </row>
    <row r="137" spans="1:1">
      <c r="A137" s="583"/>
    </row>
    <row r="138" spans="1:1">
      <c r="A138" s="583"/>
    </row>
    <row r="139" spans="1:1">
      <c r="A139" s="583"/>
    </row>
    <row r="140" spans="1:1">
      <c r="A140" s="583"/>
    </row>
    <row r="141" spans="1:1">
      <c r="A141" s="583"/>
    </row>
    <row r="142" spans="1:1">
      <c r="A142" s="583"/>
    </row>
    <row r="143" spans="1:1">
      <c r="A143" s="583"/>
    </row>
    <row r="144" spans="1:1">
      <c r="A144" s="583"/>
    </row>
    <row r="145" spans="1:1">
      <c r="A145" s="583"/>
    </row>
  </sheetData>
  <mergeCells count="3">
    <mergeCell ref="A3:E3"/>
    <mergeCell ref="A4:E4"/>
    <mergeCell ref="A5:E5"/>
  </mergeCells>
  <printOptions horizontalCentered="1"/>
  <pageMargins left="0.75" right="0.75" top="0.75" bottom="0.75" header="0.5" footer="0.3"/>
  <pageSetup scale="80" orientation="portrait" r:id="rId1"/>
  <headerFooter>
    <oddHeader>&amp;R&amp;"Arial,Regular"&amp;10Attachment O Work Paper
Page 6 of 22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O30"/>
  <sheetViews>
    <sheetView showGridLines="0" zoomScaleNormal="100" workbookViewId="0">
      <selection activeCell="C10" sqref="C10:F10"/>
    </sheetView>
  </sheetViews>
  <sheetFormatPr defaultRowHeight="12.75"/>
  <cols>
    <col min="1" max="1" width="3.44140625" style="589" bestFit="1" customWidth="1"/>
    <col min="2" max="2" width="13.5546875" style="584" bestFit="1" customWidth="1"/>
    <col min="3" max="5" width="11.21875" style="584" customWidth="1"/>
    <col min="6" max="6" width="12.33203125" style="584" bestFit="1" customWidth="1"/>
    <col min="7" max="9" width="8.33203125" style="584" bestFit="1" customWidth="1"/>
    <col min="10" max="16384" width="8.88671875" style="584"/>
  </cols>
  <sheetData>
    <row r="2" spans="1:15">
      <c r="F2" s="386"/>
    </row>
    <row r="3" spans="1:15">
      <c r="A3" s="940" t="s">
        <v>0</v>
      </c>
      <c r="B3" s="940"/>
      <c r="C3" s="940"/>
      <c r="D3" s="940"/>
      <c r="E3" s="940"/>
      <c r="F3" s="940"/>
      <c r="G3" s="891"/>
      <c r="H3" s="377"/>
      <c r="I3" s="377"/>
      <c r="J3" s="377"/>
      <c r="K3" s="377"/>
      <c r="L3" s="377"/>
      <c r="M3" s="377"/>
      <c r="N3" s="377"/>
      <c r="O3" s="377"/>
    </row>
    <row r="4" spans="1:15">
      <c r="A4" s="940" t="s">
        <v>665</v>
      </c>
      <c r="B4" s="940"/>
      <c r="C4" s="940"/>
      <c r="D4" s="940"/>
      <c r="E4" s="940"/>
      <c r="F4" s="940"/>
      <c r="G4" s="377"/>
      <c r="H4" s="377"/>
      <c r="I4" s="377"/>
      <c r="J4" s="377"/>
      <c r="K4" s="377"/>
      <c r="L4" s="377"/>
      <c r="M4" s="377"/>
      <c r="N4" s="377"/>
      <c r="O4" s="377"/>
    </row>
    <row r="5" spans="1:15">
      <c r="A5" s="938" t="str">
        <f>"For the 13 Months Ended December 31, "&amp;Info!B3</f>
        <v>For the 13 Months Ended December 31, 2013</v>
      </c>
      <c r="B5" s="938"/>
      <c r="C5" s="938"/>
      <c r="D5" s="938"/>
      <c r="E5" s="938"/>
      <c r="F5" s="938"/>
      <c r="G5" s="377"/>
      <c r="H5" s="377"/>
      <c r="I5" s="377"/>
      <c r="J5" s="377"/>
      <c r="K5" s="377"/>
      <c r="L5" s="377"/>
      <c r="M5" s="377"/>
      <c r="N5" s="377"/>
      <c r="O5" s="377"/>
    </row>
    <row r="6" spans="1:15">
      <c r="A6" s="940"/>
      <c r="B6" s="940"/>
      <c r="C6" s="940"/>
      <c r="D6" s="940"/>
      <c r="E6" s="940"/>
      <c r="F6" s="377"/>
      <c r="G6" s="377"/>
      <c r="H6" s="377"/>
      <c r="I6" s="377"/>
      <c r="J6" s="377"/>
      <c r="K6" s="377"/>
      <c r="L6" s="377"/>
      <c r="M6" s="377"/>
      <c r="N6" s="377"/>
      <c r="O6" s="377"/>
    </row>
    <row r="8" spans="1:15" ht="15">
      <c r="A8" s="525"/>
      <c r="B8" s="350" t="s">
        <v>1</v>
      </c>
      <c r="C8" s="589" t="s">
        <v>2</v>
      </c>
      <c r="D8" s="589" t="s">
        <v>3</v>
      </c>
      <c r="E8" s="589" t="s">
        <v>4</v>
      </c>
      <c r="F8" s="589" t="s">
        <v>5</v>
      </c>
    </row>
    <row r="10" spans="1:15">
      <c r="A10" s="516" t="s">
        <v>8</v>
      </c>
      <c r="B10" s="349"/>
      <c r="C10" s="941" t="s">
        <v>45</v>
      </c>
      <c r="D10" s="941"/>
      <c r="E10" s="941"/>
      <c r="F10" s="942"/>
    </row>
    <row r="11" spans="1:15">
      <c r="A11" s="360" t="s">
        <v>10</v>
      </c>
      <c r="B11" s="348" t="s">
        <v>46</v>
      </c>
      <c r="C11" s="347" t="s">
        <v>11</v>
      </c>
      <c r="D11" s="346" t="s">
        <v>12</v>
      </c>
      <c r="E11" s="346" t="s">
        <v>13</v>
      </c>
      <c r="F11" s="345" t="s">
        <v>47</v>
      </c>
    </row>
    <row r="12" spans="1:15">
      <c r="A12" s="511">
        <v>1</v>
      </c>
      <c r="B12" s="546" t="str">
        <f>"December "&amp;Info!B2</f>
        <v>December 2012</v>
      </c>
      <c r="C12" s="344">
        <v>5730142.6999999993</v>
      </c>
      <c r="D12" s="344">
        <v>4159175</v>
      </c>
      <c r="E12" s="344">
        <v>6775350</v>
      </c>
      <c r="F12" s="343">
        <f>SUM(C12:E12)</f>
        <v>16664667.699999999</v>
      </c>
    </row>
    <row r="13" spans="1:15">
      <c r="A13" s="511">
        <v>2</v>
      </c>
      <c r="B13" s="546" t="str">
        <f>"January "&amp;Info!B3</f>
        <v>January 2013</v>
      </c>
      <c r="C13" s="344">
        <v>5717939.4499999993</v>
      </c>
      <c r="D13" s="344">
        <v>4149718</v>
      </c>
      <c r="E13" s="344">
        <v>7049154</v>
      </c>
      <c r="F13" s="343">
        <f t="shared" ref="F13:F22" si="0">SUM(C13:E13)</f>
        <v>16916811.449999999</v>
      </c>
    </row>
    <row r="14" spans="1:15">
      <c r="A14" s="511">
        <v>3</v>
      </c>
      <c r="B14" s="342" t="s">
        <v>17</v>
      </c>
      <c r="C14" s="344">
        <v>5673857.4199999999</v>
      </c>
      <c r="D14" s="344">
        <v>4147047</v>
      </c>
      <c r="E14" s="344">
        <v>7120846</v>
      </c>
      <c r="F14" s="343">
        <f t="shared" si="0"/>
        <v>16941750.420000002</v>
      </c>
    </row>
    <row r="15" spans="1:15">
      <c r="A15" s="511">
        <v>4</v>
      </c>
      <c r="B15" s="342" t="s">
        <v>18</v>
      </c>
      <c r="C15" s="344">
        <v>5684032.7100000009</v>
      </c>
      <c r="D15" s="344">
        <v>4160123</v>
      </c>
      <c r="E15" s="344">
        <v>7116202</v>
      </c>
      <c r="F15" s="343">
        <f t="shared" si="0"/>
        <v>16960357.710000001</v>
      </c>
    </row>
    <row r="16" spans="1:15">
      <c r="A16" s="511">
        <v>5</v>
      </c>
      <c r="B16" s="342" t="s">
        <v>19</v>
      </c>
      <c r="C16" s="344">
        <v>5777582.46</v>
      </c>
      <c r="D16" s="344">
        <v>4070180</v>
      </c>
      <c r="E16" s="344">
        <v>7408953</v>
      </c>
      <c r="F16" s="343">
        <f t="shared" si="0"/>
        <v>17256715.460000001</v>
      </c>
    </row>
    <row r="17" spans="1:6">
      <c r="A17" s="511">
        <v>6</v>
      </c>
      <c r="B17" s="342" t="s">
        <v>20</v>
      </c>
      <c r="C17" s="344">
        <v>5728432.7000000002</v>
      </c>
      <c r="D17" s="344">
        <v>4137950</v>
      </c>
      <c r="E17" s="344">
        <v>7105621</v>
      </c>
      <c r="F17" s="343">
        <f t="shared" si="0"/>
        <v>16972003.699999999</v>
      </c>
    </row>
    <row r="18" spans="1:6">
      <c r="A18" s="511">
        <v>7</v>
      </c>
      <c r="B18" s="342" t="s">
        <v>21</v>
      </c>
      <c r="C18" s="344">
        <v>5719612.0800000001</v>
      </c>
      <c r="D18" s="344">
        <v>4104766</v>
      </c>
      <c r="E18" s="344">
        <v>6935903</v>
      </c>
      <c r="F18" s="343">
        <f t="shared" si="0"/>
        <v>16760281.08</v>
      </c>
    </row>
    <row r="19" spans="1:6">
      <c r="A19" s="511">
        <v>8</v>
      </c>
      <c r="B19" s="342" t="s">
        <v>22</v>
      </c>
      <c r="C19" s="344">
        <v>5795229.9400000004</v>
      </c>
      <c r="D19" s="344">
        <v>4019128</v>
      </c>
      <c r="E19" s="344">
        <v>6901218</v>
      </c>
      <c r="F19" s="343">
        <f t="shared" si="0"/>
        <v>16715575.940000001</v>
      </c>
    </row>
    <row r="20" spans="1:6">
      <c r="A20" s="511">
        <v>9</v>
      </c>
      <c r="B20" s="342" t="s">
        <v>23</v>
      </c>
      <c r="C20" s="344">
        <v>5794922.0999999996</v>
      </c>
      <c r="D20" s="344">
        <v>4025670</v>
      </c>
      <c r="E20" s="344">
        <v>6961360</v>
      </c>
      <c r="F20" s="343">
        <f t="shared" si="0"/>
        <v>16781952.100000001</v>
      </c>
    </row>
    <row r="21" spans="1:6">
      <c r="A21" s="511">
        <v>10</v>
      </c>
      <c r="B21" s="342" t="s">
        <v>24</v>
      </c>
      <c r="C21" s="344">
        <v>5846497.4099999992</v>
      </c>
      <c r="D21" s="344">
        <v>3889947</v>
      </c>
      <c r="E21" s="344">
        <v>6962998</v>
      </c>
      <c r="F21" s="343">
        <f t="shared" si="0"/>
        <v>16699442.41</v>
      </c>
    </row>
    <row r="22" spans="1:6">
      <c r="A22" s="511">
        <v>11</v>
      </c>
      <c r="B22" s="342" t="s">
        <v>25</v>
      </c>
      <c r="C22" s="344">
        <v>5840618.3300000001</v>
      </c>
      <c r="D22" s="344">
        <v>4055724</v>
      </c>
      <c r="E22" s="344">
        <v>6860406</v>
      </c>
      <c r="F22" s="343">
        <f t="shared" si="0"/>
        <v>16756748.33</v>
      </c>
    </row>
    <row r="23" spans="1:6">
      <c r="A23" s="511">
        <v>12</v>
      </c>
      <c r="B23" s="342" t="s">
        <v>26</v>
      </c>
      <c r="C23" s="344">
        <v>5795805.3500000015</v>
      </c>
      <c r="D23" s="344">
        <v>4150828</v>
      </c>
      <c r="E23" s="344">
        <v>7336268</v>
      </c>
      <c r="F23" s="343">
        <f>SUM(C23:E23)</f>
        <v>17282901.350000001</v>
      </c>
    </row>
    <row r="24" spans="1:6">
      <c r="A24" s="511">
        <v>13</v>
      </c>
      <c r="B24" s="342" t="s">
        <v>27</v>
      </c>
      <c r="C24" s="344">
        <v>5793263.459999999</v>
      </c>
      <c r="D24" s="344">
        <v>4227947</v>
      </c>
      <c r="E24" s="344">
        <v>7355549</v>
      </c>
      <c r="F24" s="341">
        <f>SUM(C24:E24)</f>
        <v>17376759.460000001</v>
      </c>
    </row>
    <row r="25" spans="1:6">
      <c r="A25" s="511">
        <v>14</v>
      </c>
      <c r="B25" s="342"/>
      <c r="C25" s="340"/>
      <c r="D25" s="340"/>
      <c r="E25" s="340"/>
      <c r="F25" s="339"/>
    </row>
    <row r="26" spans="1:6">
      <c r="A26" s="511">
        <v>15</v>
      </c>
      <c r="B26" s="338" t="s">
        <v>16</v>
      </c>
      <c r="C26" s="507">
        <v>72247932</v>
      </c>
      <c r="D26" s="507">
        <v>49200083</v>
      </c>
      <c r="E26" s="507">
        <v>92366890</v>
      </c>
      <c r="F26" s="341">
        <v>213814905</v>
      </c>
    </row>
    <row r="27" spans="1:6">
      <c r="A27" s="511">
        <v>16</v>
      </c>
      <c r="B27" s="338"/>
      <c r="C27" s="344"/>
      <c r="D27" s="344"/>
      <c r="E27" s="344"/>
      <c r="F27" s="343"/>
    </row>
    <row r="28" spans="1:6" ht="13.5" thickBot="1">
      <c r="A28" s="511">
        <v>17</v>
      </c>
      <c r="B28" s="338" t="s">
        <v>28</v>
      </c>
      <c r="C28" s="388">
        <f>AVERAGE(C12:C24)</f>
        <v>5761379.7007692307</v>
      </c>
      <c r="D28" s="337">
        <f>AVERAGE(D12:D24)</f>
        <v>4099861.769230769</v>
      </c>
      <c r="E28" s="388">
        <f>AVERAGE(E12:E24)</f>
        <v>7068448.307692308</v>
      </c>
      <c r="F28" s="336">
        <f>AVERAGE(F12:F24)</f>
        <v>16929689.777692311</v>
      </c>
    </row>
    <row r="29" spans="1:6" ht="13.5" thickTop="1">
      <c r="A29" s="511"/>
      <c r="B29" s="338"/>
      <c r="C29" s="344"/>
      <c r="D29" s="344"/>
      <c r="E29" s="344"/>
      <c r="F29" s="343"/>
    </row>
    <row r="30" spans="1:6">
      <c r="A30" s="360"/>
      <c r="B30" s="335"/>
      <c r="C30" s="334"/>
      <c r="D30" s="334"/>
      <c r="E30" s="334"/>
      <c r="F30" s="333"/>
    </row>
  </sheetData>
  <mergeCells count="5">
    <mergeCell ref="A6:E6"/>
    <mergeCell ref="C10:F10"/>
    <mergeCell ref="A5:F5"/>
    <mergeCell ref="A3:F3"/>
    <mergeCell ref="A4:F4"/>
  </mergeCells>
  <printOptions horizontalCentered="1"/>
  <pageMargins left="0.75" right="0.75" top="0.75" bottom="0.75" header="0.5" footer="0.5"/>
  <pageSetup scale="80" orientation="portrait" r:id="rId1"/>
  <headerFooter>
    <oddHeader>&amp;R&amp;"Arial,Regular"&amp;10Attachment O Work Paper
Page 7 of 22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pageSetUpPr autoPageBreaks="0"/>
  </sheetPr>
  <dimension ref="A1:F27"/>
  <sheetViews>
    <sheetView showGridLines="0" defaultGridColor="0" colorId="22" zoomScaleNormal="100" workbookViewId="0">
      <selection activeCell="I22" sqref="I22"/>
    </sheetView>
  </sheetViews>
  <sheetFormatPr defaultColWidth="5.6640625" defaultRowHeight="12.75"/>
  <cols>
    <col min="1" max="1" width="3.88671875" style="332" bestFit="1" customWidth="1"/>
    <col min="2" max="2" width="15.44140625" style="331" bestFit="1" customWidth="1"/>
    <col min="3" max="4" width="13.77734375" style="331" customWidth="1"/>
    <col min="5" max="5" width="13.44140625" style="331" bestFit="1" customWidth="1"/>
    <col min="6" max="253" width="9.77734375" style="331" customWidth="1"/>
    <col min="254" max="254" width="3.88671875" style="331" bestFit="1" customWidth="1"/>
    <col min="255" max="255" width="13" style="331" customWidth="1"/>
    <col min="256" max="16384" width="5.6640625" style="331"/>
  </cols>
  <sheetData>
    <row r="1" spans="1:6">
      <c r="D1" s="330"/>
      <c r="E1" s="329"/>
    </row>
    <row r="2" spans="1:6">
      <c r="B2" s="328"/>
      <c r="D2" s="330"/>
      <c r="E2" s="386"/>
    </row>
    <row r="3" spans="1:6" ht="12.75" customHeight="1">
      <c r="A3" s="943" t="s">
        <v>0</v>
      </c>
      <c r="B3" s="944"/>
      <c r="C3" s="944"/>
      <c r="D3" s="944"/>
      <c r="E3" s="891"/>
    </row>
    <row r="4" spans="1:6" ht="12.75" customHeight="1">
      <c r="A4" s="943" t="s">
        <v>48</v>
      </c>
      <c r="B4" s="944"/>
      <c r="C4" s="944"/>
      <c r="D4" s="944"/>
    </row>
    <row r="5" spans="1:6" ht="12.75" customHeight="1">
      <c r="A5" s="945" t="s">
        <v>642</v>
      </c>
      <c r="B5" s="945"/>
      <c r="C5" s="945"/>
      <c r="D5" s="945"/>
      <c r="E5" s="869"/>
    </row>
    <row r="6" spans="1:6">
      <c r="C6" s="327"/>
      <c r="D6" s="327"/>
    </row>
    <row r="7" spans="1:6">
      <c r="B7" s="332" t="s">
        <v>1</v>
      </c>
      <c r="C7" s="326" t="s">
        <v>2</v>
      </c>
      <c r="D7" s="326" t="s">
        <v>3</v>
      </c>
      <c r="E7" s="325"/>
    </row>
    <row r="8" spans="1:6">
      <c r="B8" s="324"/>
      <c r="C8" s="323"/>
      <c r="D8" s="323"/>
    </row>
    <row r="9" spans="1:6" ht="38.25">
      <c r="A9" s="322" t="s">
        <v>38</v>
      </c>
      <c r="B9" s="321" t="s">
        <v>46</v>
      </c>
      <c r="C9" s="320" t="s">
        <v>49</v>
      </c>
      <c r="D9" s="319" t="s">
        <v>50</v>
      </c>
    </row>
    <row r="10" spans="1:6">
      <c r="A10" s="318">
        <f>1</f>
        <v>1</v>
      </c>
      <c r="B10" s="317" t="s">
        <v>643</v>
      </c>
      <c r="C10" s="392">
        <v>0</v>
      </c>
      <c r="D10" s="316">
        <v>376628.93</v>
      </c>
    </row>
    <row r="11" spans="1:6">
      <c r="A11" s="315">
        <f>A10+1</f>
        <v>2</v>
      </c>
      <c r="B11" s="317" t="s">
        <v>644</v>
      </c>
      <c r="C11" s="314">
        <f>D11-D10</f>
        <v>1063220.3600000001</v>
      </c>
      <c r="D11" s="316">
        <v>1439849.29</v>
      </c>
    </row>
    <row r="12" spans="1:6">
      <c r="A12" s="315">
        <f t="shared" ref="A12:A25" si="0">A11+1</f>
        <v>3</v>
      </c>
      <c r="B12" s="313" t="s">
        <v>17</v>
      </c>
      <c r="C12" s="314">
        <f>D12-D11</f>
        <v>-220302.59000000008</v>
      </c>
      <c r="D12" s="316">
        <v>1219546.7</v>
      </c>
    </row>
    <row r="13" spans="1:6">
      <c r="A13" s="315">
        <f t="shared" si="0"/>
        <v>4</v>
      </c>
      <c r="B13" s="313" t="s">
        <v>18</v>
      </c>
      <c r="C13" s="314">
        <f t="shared" ref="C13:C22" si="1">D13-D12</f>
        <v>-193409.64</v>
      </c>
      <c r="D13" s="316">
        <v>1026137.0599999999</v>
      </c>
      <c r="E13" s="312"/>
      <c r="F13" s="327"/>
    </row>
    <row r="14" spans="1:6">
      <c r="A14" s="315">
        <f t="shared" si="0"/>
        <v>5</v>
      </c>
      <c r="B14" s="313" t="s">
        <v>19</v>
      </c>
      <c r="C14" s="314">
        <f t="shared" si="1"/>
        <v>-150466.96999999986</v>
      </c>
      <c r="D14" s="316">
        <v>875670.09000000008</v>
      </c>
      <c r="E14" s="312"/>
      <c r="F14" s="327"/>
    </row>
    <row r="15" spans="1:6">
      <c r="A15" s="315">
        <f t="shared" si="0"/>
        <v>6</v>
      </c>
      <c r="B15" s="313" t="s">
        <v>20</v>
      </c>
      <c r="C15" s="314">
        <f t="shared" si="1"/>
        <v>1235270.3100000003</v>
      </c>
      <c r="D15" s="316">
        <v>2110940.4000000004</v>
      </c>
    </row>
    <row r="16" spans="1:6">
      <c r="A16" s="315">
        <f t="shared" si="0"/>
        <v>7</v>
      </c>
      <c r="B16" s="313" t="s">
        <v>21</v>
      </c>
      <c r="C16" s="314">
        <f t="shared" si="1"/>
        <v>-275611.23000000045</v>
      </c>
      <c r="D16" s="316">
        <v>1835329.17</v>
      </c>
    </row>
    <row r="17" spans="1:5">
      <c r="A17" s="315">
        <f t="shared" si="0"/>
        <v>8</v>
      </c>
      <c r="B17" s="313" t="s">
        <v>22</v>
      </c>
      <c r="C17" s="314">
        <f t="shared" si="1"/>
        <v>-245475.96999999997</v>
      </c>
      <c r="D17" s="316">
        <v>1589853.2</v>
      </c>
    </row>
    <row r="18" spans="1:5">
      <c r="A18" s="315">
        <f t="shared" si="0"/>
        <v>9</v>
      </c>
      <c r="B18" s="313" t="s">
        <v>23</v>
      </c>
      <c r="C18" s="314">
        <f t="shared" si="1"/>
        <v>-277566.07000000007</v>
      </c>
      <c r="D18" s="316">
        <v>1312287.1299999999</v>
      </c>
    </row>
    <row r="19" spans="1:5">
      <c r="A19" s="315">
        <f t="shared" si="0"/>
        <v>10</v>
      </c>
      <c r="B19" s="313" t="s">
        <v>24</v>
      </c>
      <c r="C19" s="314">
        <f t="shared" si="1"/>
        <v>-173452.63999999966</v>
      </c>
      <c r="D19" s="316">
        <v>1138834.4900000002</v>
      </c>
    </row>
    <row r="20" spans="1:5">
      <c r="A20" s="315">
        <f t="shared" si="0"/>
        <v>11</v>
      </c>
      <c r="B20" s="313" t="s">
        <v>25</v>
      </c>
      <c r="C20" s="314">
        <f t="shared" si="1"/>
        <v>-226404.08000000019</v>
      </c>
      <c r="D20" s="316">
        <v>912430.41</v>
      </c>
    </row>
    <row r="21" spans="1:5">
      <c r="A21" s="315">
        <f t="shared" si="0"/>
        <v>12</v>
      </c>
      <c r="B21" s="313" t="s">
        <v>26</v>
      </c>
      <c r="C21" s="314">
        <f t="shared" si="1"/>
        <v>-256733.08000000007</v>
      </c>
      <c r="D21" s="316">
        <v>655697.32999999996</v>
      </c>
    </row>
    <row r="22" spans="1:5">
      <c r="A22" s="315">
        <f t="shared" si="0"/>
        <v>13</v>
      </c>
      <c r="B22" s="313" t="s">
        <v>27</v>
      </c>
      <c r="C22" s="314">
        <f t="shared" si="1"/>
        <v>-256699.98999999993</v>
      </c>
      <c r="D22" s="316">
        <v>398997.34</v>
      </c>
      <c r="E22" s="311"/>
    </row>
    <row r="23" spans="1:5">
      <c r="A23" s="315">
        <f t="shared" si="0"/>
        <v>14</v>
      </c>
      <c r="B23" s="313"/>
      <c r="C23" s="314"/>
      <c r="D23" s="316"/>
      <c r="E23" s="311"/>
    </row>
    <row r="24" spans="1:5">
      <c r="A24" s="315">
        <f t="shared" si="0"/>
        <v>15</v>
      </c>
      <c r="B24" s="310" t="s">
        <v>16</v>
      </c>
      <c r="C24" s="309"/>
      <c r="D24" s="308">
        <f>SUM(D10:D22)</f>
        <v>14892201.539999999</v>
      </c>
    </row>
    <row r="25" spans="1:5">
      <c r="A25" s="315">
        <f t="shared" si="0"/>
        <v>16</v>
      </c>
      <c r="B25" s="310" t="s">
        <v>28</v>
      </c>
      <c r="C25" s="307"/>
      <c r="D25" s="306">
        <f>D24/13</f>
        <v>1145553.9646153846</v>
      </c>
    </row>
    <row r="26" spans="1:5">
      <c r="A26" s="305"/>
      <c r="B26" s="304"/>
      <c r="C26" s="324"/>
      <c r="D26" s="303"/>
    </row>
    <row r="27" spans="1:5">
      <c r="A27" s="389"/>
      <c r="B27" s="302"/>
      <c r="C27" s="302"/>
      <c r="D27" s="302"/>
    </row>
  </sheetData>
  <mergeCells count="3">
    <mergeCell ref="A3:D3"/>
    <mergeCell ref="A4:D4"/>
    <mergeCell ref="A5:D5"/>
  </mergeCells>
  <printOptions horizontalCentered="1"/>
  <pageMargins left="0.75" right="0.75" top="0.5" bottom="0.5" header="0.5" footer="0.5"/>
  <pageSetup scale="80" orientation="portrait" r:id="rId1"/>
  <headerFooter alignWithMargins="0">
    <oddHeader>&amp;R&amp;"Arial,Regular"&amp;10Attachment O Work Paper
Page 8 of 22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97"/>
  <sheetViews>
    <sheetView showGridLines="0" zoomScaleNormal="100" workbookViewId="0">
      <pane ySplit="9" topLeftCell="A163" activePane="bottomLeft" state="frozen"/>
      <selection activeCell="B1" sqref="B1"/>
      <selection pane="bottomLeft" activeCell="I182" sqref="I182"/>
    </sheetView>
  </sheetViews>
  <sheetFormatPr defaultColWidth="16.77734375" defaultRowHeight="12.75"/>
  <cols>
    <col min="1" max="1" width="4.33203125" style="616" bestFit="1" customWidth="1"/>
    <col min="2" max="2" width="55.88671875" style="616" customWidth="1"/>
    <col min="3" max="3" width="14.109375" style="679" customWidth="1"/>
    <col min="4" max="4" width="20.88671875" style="680" bestFit="1" customWidth="1"/>
    <col min="5" max="5" width="15.109375" style="616" customWidth="1"/>
    <col min="6" max="6" width="16" style="616" bestFit="1" customWidth="1"/>
    <col min="7" max="248" width="8.88671875" style="616" customWidth="1"/>
    <col min="249" max="249" width="9.44140625" style="616" customWidth="1"/>
    <col min="250" max="250" width="55.88671875" style="616" customWidth="1"/>
    <col min="251" max="251" width="14.109375" style="616" customWidth="1"/>
    <col min="252" max="252" width="18.33203125" style="616" customWidth="1"/>
    <col min="253" max="253" width="16.77734375" style="616" customWidth="1"/>
    <col min="254" max="254" width="13.88671875" style="616" customWidth="1"/>
    <col min="255" max="16384" width="16.77734375" style="616"/>
  </cols>
  <sheetData>
    <row r="1" spans="1:6">
      <c r="A1" s="952"/>
      <c r="B1" s="952"/>
      <c r="C1" s="615"/>
      <c r="D1" s="386"/>
    </row>
    <row r="2" spans="1:6" ht="12.75" customHeight="1">
      <c r="A2" s="953" t="s">
        <v>0</v>
      </c>
      <c r="B2" s="954"/>
      <c r="C2" s="954"/>
      <c r="D2" s="954"/>
      <c r="E2" s="737"/>
      <c r="F2" s="737"/>
    </row>
    <row r="3" spans="1:6" ht="12.75" customHeight="1">
      <c r="A3" s="953" t="s">
        <v>362</v>
      </c>
      <c r="B3" s="954"/>
      <c r="C3" s="954"/>
      <c r="D3" s="954"/>
      <c r="E3" s="891"/>
      <c r="F3" s="60"/>
    </row>
    <row r="4" spans="1:6" ht="12.75" customHeight="1">
      <c r="A4" s="953" t="str">
        <f>"Actual Year "&amp;Info!B3</f>
        <v>Actual Year 2013</v>
      </c>
      <c r="B4" s="954"/>
      <c r="C4" s="954"/>
      <c r="D4" s="954"/>
      <c r="E4" s="386"/>
    </row>
    <row r="5" spans="1:6">
      <c r="A5" s="617"/>
      <c r="B5" s="618"/>
      <c r="C5" s="619"/>
      <c r="D5" s="620"/>
    </row>
    <row r="6" spans="1:6">
      <c r="A6" s="617"/>
      <c r="B6" s="681" t="s">
        <v>1</v>
      </c>
      <c r="C6" s="589" t="s">
        <v>2</v>
      </c>
      <c r="D6" s="589" t="s">
        <v>3</v>
      </c>
    </row>
    <row r="7" spans="1:6">
      <c r="A7" s="617"/>
      <c r="B7" s="621"/>
      <c r="C7" s="615"/>
      <c r="D7" s="622"/>
    </row>
    <row r="8" spans="1:6">
      <c r="A8" s="623" t="s">
        <v>8</v>
      </c>
      <c r="B8" s="946" t="s">
        <v>35</v>
      </c>
      <c r="C8" s="950" t="s">
        <v>103</v>
      </c>
      <c r="D8" s="624" t="s">
        <v>331</v>
      </c>
    </row>
    <row r="9" spans="1:6">
      <c r="A9" s="625" t="s">
        <v>10</v>
      </c>
      <c r="B9" s="947"/>
      <c r="C9" s="951"/>
      <c r="D9" s="626" t="str">
        <f>A4</f>
        <v>Actual Year 2013</v>
      </c>
    </row>
    <row r="10" spans="1:6">
      <c r="A10" s="627">
        <v>1</v>
      </c>
      <c r="B10" s="628" t="s">
        <v>106</v>
      </c>
      <c r="C10" s="629"/>
      <c r="D10" s="630"/>
    </row>
    <row r="11" spans="1:6">
      <c r="A11" s="627">
        <f>+A10+1</f>
        <v>2</v>
      </c>
      <c r="B11" s="631" t="s">
        <v>107</v>
      </c>
      <c r="C11" s="632" t="s">
        <v>108</v>
      </c>
      <c r="D11" s="301">
        <v>1718195.3900000001</v>
      </c>
    </row>
    <row r="12" spans="1:6">
      <c r="A12" s="627">
        <f>+A11+1</f>
        <v>3</v>
      </c>
      <c r="B12" s="631" t="s">
        <v>109</v>
      </c>
      <c r="C12" s="632" t="s">
        <v>110</v>
      </c>
      <c r="D12" s="301">
        <v>69634962.939999998</v>
      </c>
    </row>
    <row r="13" spans="1:6">
      <c r="A13" s="627">
        <f t="shared" ref="A13:A74" si="0">+A12+1</f>
        <v>4</v>
      </c>
      <c r="B13" s="631" t="s">
        <v>111</v>
      </c>
      <c r="C13" s="632" t="s">
        <v>112</v>
      </c>
      <c r="D13" s="301">
        <v>3115567.43</v>
      </c>
    </row>
    <row r="14" spans="1:6">
      <c r="A14" s="627">
        <f t="shared" si="0"/>
        <v>5</v>
      </c>
      <c r="B14" s="631" t="s">
        <v>113</v>
      </c>
      <c r="C14" s="632" t="s">
        <v>114</v>
      </c>
      <c r="D14" s="301">
        <v>2689109</v>
      </c>
    </row>
    <row r="15" spans="1:6">
      <c r="A15" s="627">
        <f t="shared" si="0"/>
        <v>6</v>
      </c>
      <c r="B15" s="631" t="s">
        <v>115</v>
      </c>
      <c r="C15" s="632" t="s">
        <v>116</v>
      </c>
      <c r="D15" s="301">
        <v>4669709.8</v>
      </c>
    </row>
    <row r="16" spans="1:6" ht="15" customHeight="1">
      <c r="A16" s="627">
        <f t="shared" si="0"/>
        <v>7</v>
      </c>
      <c r="B16" s="631" t="s">
        <v>117</v>
      </c>
      <c r="C16" s="632" t="s">
        <v>118</v>
      </c>
      <c r="D16" s="301">
        <v>534.52</v>
      </c>
    </row>
    <row r="17" spans="1:4">
      <c r="A17" s="627">
        <f t="shared" si="0"/>
        <v>8</v>
      </c>
      <c r="B17" s="633" t="s">
        <v>344</v>
      </c>
      <c r="C17" s="634"/>
      <c r="D17" s="300">
        <f>+SUM(D11:D16)</f>
        <v>81828079.079999998</v>
      </c>
    </row>
    <row r="18" spans="1:4" ht="7.5" customHeight="1">
      <c r="A18" s="627"/>
      <c r="B18" s="635"/>
      <c r="C18" s="636"/>
      <c r="D18" s="299"/>
    </row>
    <row r="19" spans="1:4">
      <c r="A19" s="627">
        <f>+A17+1</f>
        <v>9</v>
      </c>
      <c r="B19" s="628" t="s">
        <v>119</v>
      </c>
      <c r="C19" s="629"/>
      <c r="D19" s="298"/>
    </row>
    <row r="20" spans="1:4">
      <c r="A20" s="627">
        <f t="shared" si="0"/>
        <v>10</v>
      </c>
      <c r="B20" s="631" t="s">
        <v>107</v>
      </c>
      <c r="C20" s="637" t="s">
        <v>120</v>
      </c>
      <c r="D20" s="297">
        <v>758276.6100000001</v>
      </c>
    </row>
    <row r="21" spans="1:4">
      <c r="A21" s="627">
        <f t="shared" si="0"/>
        <v>11</v>
      </c>
      <c r="B21" s="631" t="s">
        <v>121</v>
      </c>
      <c r="C21" s="632" t="s">
        <v>122</v>
      </c>
      <c r="D21" s="297">
        <v>770212.14</v>
      </c>
    </row>
    <row r="22" spans="1:4">
      <c r="A22" s="627">
        <f t="shared" si="0"/>
        <v>12</v>
      </c>
      <c r="B22" s="631" t="s">
        <v>123</v>
      </c>
      <c r="C22" s="632" t="s">
        <v>124</v>
      </c>
      <c r="D22" s="297">
        <v>6172349.6800000006</v>
      </c>
    </row>
    <row r="23" spans="1:4">
      <c r="A23" s="627">
        <f t="shared" si="0"/>
        <v>13</v>
      </c>
      <c r="B23" s="631" t="s">
        <v>125</v>
      </c>
      <c r="C23" s="632" t="s">
        <v>126</v>
      </c>
      <c r="D23" s="297">
        <v>1139055.82</v>
      </c>
    </row>
    <row r="24" spans="1:4">
      <c r="A24" s="627">
        <f t="shared" si="0"/>
        <v>14</v>
      </c>
      <c r="B24" s="631" t="s">
        <v>127</v>
      </c>
      <c r="C24" s="632" t="s">
        <v>128</v>
      </c>
      <c r="D24" s="297">
        <v>1037412.3600000001</v>
      </c>
    </row>
    <row r="25" spans="1:4">
      <c r="A25" s="627">
        <f t="shared" si="0"/>
        <v>15</v>
      </c>
      <c r="B25" s="633" t="s">
        <v>345</v>
      </c>
      <c r="C25" s="634"/>
      <c r="D25" s="300">
        <f>+SUM(D20:D24)</f>
        <v>9877306.6099999994</v>
      </c>
    </row>
    <row r="26" spans="1:4" ht="7.5" customHeight="1">
      <c r="A26" s="627"/>
      <c r="B26" s="635"/>
      <c r="C26" s="636"/>
      <c r="D26" s="299"/>
    </row>
    <row r="27" spans="1:4">
      <c r="A27" s="627">
        <f>+A25+1</f>
        <v>16</v>
      </c>
      <c r="B27" s="628" t="s">
        <v>129</v>
      </c>
      <c r="C27" s="629"/>
      <c r="D27" s="298"/>
    </row>
    <row r="28" spans="1:4">
      <c r="A28" s="627">
        <f t="shared" si="0"/>
        <v>17</v>
      </c>
      <c r="B28" s="631" t="s">
        <v>107</v>
      </c>
      <c r="C28" s="632" t="s">
        <v>130</v>
      </c>
      <c r="D28" s="296">
        <v>17436.54</v>
      </c>
    </row>
    <row r="29" spans="1:4">
      <c r="A29" s="627">
        <f t="shared" si="0"/>
        <v>18</v>
      </c>
      <c r="B29" s="631" t="s">
        <v>131</v>
      </c>
      <c r="C29" s="632" t="s">
        <v>485</v>
      </c>
      <c r="D29" s="296">
        <v>117733.33999999998</v>
      </c>
    </row>
    <row r="30" spans="1:4">
      <c r="A30" s="627">
        <f t="shared" si="0"/>
        <v>19</v>
      </c>
      <c r="B30" s="631" t="s">
        <v>115</v>
      </c>
      <c r="C30" s="632" t="s">
        <v>132</v>
      </c>
      <c r="D30" s="296">
        <v>37329.960000000006</v>
      </c>
    </row>
    <row r="31" spans="1:4">
      <c r="A31" s="627"/>
      <c r="B31" s="755" t="s">
        <v>486</v>
      </c>
      <c r="C31" s="632" t="s">
        <v>487</v>
      </c>
      <c r="D31" s="296">
        <v>0</v>
      </c>
    </row>
    <row r="32" spans="1:4">
      <c r="A32" s="627">
        <f>+A30+1</f>
        <v>20</v>
      </c>
      <c r="B32" s="631" t="s">
        <v>133</v>
      </c>
      <c r="C32" s="637" t="s">
        <v>134</v>
      </c>
      <c r="D32" s="296">
        <v>3186.5</v>
      </c>
    </row>
    <row r="33" spans="1:4">
      <c r="A33" s="627">
        <f t="shared" si="0"/>
        <v>21</v>
      </c>
      <c r="B33" s="631" t="s">
        <v>121</v>
      </c>
      <c r="C33" s="632" t="s">
        <v>135</v>
      </c>
      <c r="D33" s="296">
        <v>9994.2100000000009</v>
      </c>
    </row>
    <row r="34" spans="1:4">
      <c r="A34" s="627">
        <f t="shared" si="0"/>
        <v>22</v>
      </c>
      <c r="B34" s="631" t="s">
        <v>136</v>
      </c>
      <c r="C34" s="632" t="s">
        <v>137</v>
      </c>
      <c r="D34" s="296">
        <v>220301.58</v>
      </c>
    </row>
    <row r="35" spans="1:4">
      <c r="A35" s="627">
        <f t="shared" si="0"/>
        <v>23</v>
      </c>
      <c r="B35" s="631" t="s">
        <v>125</v>
      </c>
      <c r="C35" s="632" t="s">
        <v>138</v>
      </c>
      <c r="D35" s="296">
        <v>27163.56</v>
      </c>
    </row>
    <row r="36" spans="1:4">
      <c r="A36" s="627">
        <f t="shared" si="0"/>
        <v>24</v>
      </c>
      <c r="B36" s="631" t="s">
        <v>115</v>
      </c>
      <c r="C36" s="632" t="s">
        <v>139</v>
      </c>
      <c r="D36" s="296">
        <v>0</v>
      </c>
    </row>
    <row r="37" spans="1:4">
      <c r="A37" s="627">
        <f t="shared" si="0"/>
        <v>25</v>
      </c>
      <c r="B37" s="633" t="s">
        <v>346</v>
      </c>
      <c r="C37" s="634"/>
      <c r="D37" s="300">
        <f>+SUM(D28:D36)</f>
        <v>433145.68999999994</v>
      </c>
    </row>
    <row r="38" spans="1:4" ht="7.5" customHeight="1">
      <c r="A38" s="627"/>
      <c r="B38" s="635"/>
      <c r="C38" s="636"/>
      <c r="D38" s="299"/>
    </row>
    <row r="39" spans="1:4">
      <c r="A39" s="627">
        <f>+A37+1</f>
        <v>26</v>
      </c>
      <c r="B39" s="628" t="s">
        <v>140</v>
      </c>
      <c r="C39" s="629"/>
      <c r="D39" s="298"/>
    </row>
    <row r="40" spans="1:4">
      <c r="A40" s="627">
        <f t="shared" si="0"/>
        <v>27</v>
      </c>
      <c r="B40" s="631" t="s">
        <v>107</v>
      </c>
      <c r="C40" s="632" t="s">
        <v>141</v>
      </c>
      <c r="D40" s="764">
        <v>177535.30000000002</v>
      </c>
    </row>
    <row r="41" spans="1:4">
      <c r="A41" s="627">
        <f t="shared" si="0"/>
        <v>28</v>
      </c>
      <c r="B41" s="631" t="s">
        <v>109</v>
      </c>
      <c r="C41" s="632" t="s">
        <v>142</v>
      </c>
      <c r="D41" s="764">
        <v>2139680.56</v>
      </c>
    </row>
    <row r="42" spans="1:4">
      <c r="A42" s="627">
        <f t="shared" si="0"/>
        <v>29</v>
      </c>
      <c r="B42" s="631" t="s">
        <v>143</v>
      </c>
      <c r="C42" s="632" t="s">
        <v>144</v>
      </c>
      <c r="D42" s="764">
        <v>2392405.4299999997</v>
      </c>
    </row>
    <row r="43" spans="1:4">
      <c r="A43" s="627">
        <f t="shared" si="0"/>
        <v>30</v>
      </c>
      <c r="B43" s="631" t="s">
        <v>115</v>
      </c>
      <c r="C43" s="632" t="s">
        <v>145</v>
      </c>
      <c r="D43" s="764">
        <v>558504.07999999996</v>
      </c>
    </row>
    <row r="44" spans="1:4">
      <c r="A44" s="627">
        <f t="shared" si="0"/>
        <v>31</v>
      </c>
      <c r="B44" s="631" t="s">
        <v>146</v>
      </c>
      <c r="C44" s="632" t="s">
        <v>147</v>
      </c>
      <c r="D44" s="764">
        <v>562117.34</v>
      </c>
    </row>
    <row r="45" spans="1:4">
      <c r="A45" s="627">
        <f t="shared" si="0"/>
        <v>32</v>
      </c>
      <c r="B45" s="631" t="s">
        <v>107</v>
      </c>
      <c r="C45" s="637" t="s">
        <v>148</v>
      </c>
      <c r="D45" s="764">
        <v>40779.49</v>
      </c>
    </row>
    <row r="46" spans="1:4">
      <c r="A46" s="627">
        <f t="shared" si="0"/>
        <v>33</v>
      </c>
      <c r="B46" s="631" t="s">
        <v>121</v>
      </c>
      <c r="C46" s="632" t="s">
        <v>149</v>
      </c>
      <c r="D46" s="764">
        <v>39732.47</v>
      </c>
    </row>
    <row r="47" spans="1:4">
      <c r="A47" s="627">
        <f t="shared" si="0"/>
        <v>34</v>
      </c>
      <c r="B47" s="631" t="s">
        <v>150</v>
      </c>
      <c r="C47" s="632" t="s">
        <v>151</v>
      </c>
      <c r="D47" s="764">
        <v>692028.80999999994</v>
      </c>
    </row>
    <row r="48" spans="1:4">
      <c r="A48" s="627">
        <f t="shared" si="0"/>
        <v>35</v>
      </c>
      <c r="B48" s="631" t="s">
        <v>115</v>
      </c>
      <c r="C48" s="632" t="s">
        <v>152</v>
      </c>
      <c r="D48" s="764">
        <v>57896.749999999985</v>
      </c>
    </row>
    <row r="49" spans="1:4">
      <c r="A49" s="627">
        <f t="shared" si="0"/>
        <v>36</v>
      </c>
      <c r="B49" s="633" t="s">
        <v>347</v>
      </c>
      <c r="C49" s="634"/>
      <c r="D49" s="300">
        <f>+SUM(D40:D48)</f>
        <v>6660680.2299999986</v>
      </c>
    </row>
    <row r="50" spans="1:4" ht="7.5" customHeight="1">
      <c r="A50" s="627"/>
      <c r="B50" s="635"/>
      <c r="C50" s="636"/>
      <c r="D50" s="299"/>
    </row>
    <row r="51" spans="1:4">
      <c r="A51" s="627">
        <f>+A49+1</f>
        <v>37</v>
      </c>
      <c r="B51" s="628" t="s">
        <v>153</v>
      </c>
      <c r="C51" s="638"/>
      <c r="D51" s="295"/>
    </row>
    <row r="52" spans="1:4">
      <c r="A52" s="627">
        <f t="shared" si="0"/>
        <v>38</v>
      </c>
      <c r="B52" s="639" t="s">
        <v>154</v>
      </c>
      <c r="C52" s="640" t="s">
        <v>155</v>
      </c>
      <c r="D52" s="764">
        <v>450909.86000000004</v>
      </c>
    </row>
    <row r="53" spans="1:4">
      <c r="A53" s="627">
        <f t="shared" si="0"/>
        <v>39</v>
      </c>
      <c r="B53" s="639" t="s">
        <v>156</v>
      </c>
      <c r="C53" s="640" t="s">
        <v>157</v>
      </c>
      <c r="D53" s="764">
        <v>516418.21999999991</v>
      </c>
    </row>
    <row r="54" spans="1:4">
      <c r="A54" s="627">
        <f t="shared" si="0"/>
        <v>40</v>
      </c>
      <c r="B54" s="633" t="s">
        <v>348</v>
      </c>
      <c r="C54" s="634"/>
      <c r="D54" s="300">
        <f>+SUM(D52:D53)</f>
        <v>967328.08</v>
      </c>
    </row>
    <row r="55" spans="1:4" ht="7.5" customHeight="1">
      <c r="A55" s="627"/>
      <c r="B55" s="635"/>
      <c r="C55" s="636"/>
      <c r="D55" s="299"/>
    </row>
    <row r="56" spans="1:4">
      <c r="A56" s="627">
        <f>+A54+1</f>
        <v>41</v>
      </c>
      <c r="B56" s="9" t="s">
        <v>349</v>
      </c>
      <c r="C56" s="638"/>
      <c r="D56" s="295"/>
    </row>
    <row r="57" spans="1:4">
      <c r="A57" s="627">
        <f t="shared" si="0"/>
        <v>42</v>
      </c>
      <c r="B57" s="631" t="s">
        <v>107</v>
      </c>
      <c r="C57" s="640" t="s">
        <v>158</v>
      </c>
      <c r="D57" s="764">
        <v>394683.37000000011</v>
      </c>
    </row>
    <row r="58" spans="1:4">
      <c r="A58" s="627">
        <f t="shared" si="0"/>
        <v>43</v>
      </c>
      <c r="B58" s="631" t="s">
        <v>159</v>
      </c>
      <c r="C58" s="640" t="s">
        <v>160</v>
      </c>
      <c r="D58" s="764">
        <v>3124164.8</v>
      </c>
    </row>
    <row r="59" spans="1:4">
      <c r="A59" s="627">
        <f t="shared" si="0"/>
        <v>44</v>
      </c>
      <c r="B59" s="631" t="s">
        <v>161</v>
      </c>
      <c r="C59" s="640" t="s">
        <v>162</v>
      </c>
      <c r="D59" s="764">
        <v>264873.51</v>
      </c>
    </row>
    <row r="60" spans="1:4">
      <c r="A60" s="627">
        <f t="shared" si="0"/>
        <v>45</v>
      </c>
      <c r="B60" s="631" t="s">
        <v>163</v>
      </c>
      <c r="C60" s="640" t="s">
        <v>164</v>
      </c>
      <c r="D60" s="764">
        <v>256920.84000000003</v>
      </c>
    </row>
    <row r="61" spans="1:4">
      <c r="A61" s="627">
        <f t="shared" si="0"/>
        <v>46</v>
      </c>
      <c r="B61" s="631" t="s">
        <v>165</v>
      </c>
      <c r="C61" s="640" t="s">
        <v>166</v>
      </c>
      <c r="D61" s="294">
        <v>9892518.8399999999</v>
      </c>
    </row>
    <row r="62" spans="1:4">
      <c r="A62" s="627">
        <f t="shared" si="0"/>
        <v>47</v>
      </c>
      <c r="B62" s="631" t="s">
        <v>115</v>
      </c>
      <c r="C62" s="640" t="s">
        <v>167</v>
      </c>
      <c r="D62" s="764">
        <v>1333633.9100000001</v>
      </c>
    </row>
    <row r="63" spans="1:4">
      <c r="A63" s="627">
        <f t="shared" si="0"/>
        <v>48</v>
      </c>
      <c r="B63" s="631" t="s">
        <v>146</v>
      </c>
      <c r="C63" s="640" t="s">
        <v>168</v>
      </c>
      <c r="D63" s="764">
        <v>57166.069999999992</v>
      </c>
    </row>
    <row r="64" spans="1:4">
      <c r="A64" s="627">
        <f t="shared" si="0"/>
        <v>49</v>
      </c>
      <c r="B64" s="631" t="s">
        <v>107</v>
      </c>
      <c r="C64" s="641" t="s">
        <v>169</v>
      </c>
      <c r="D64" s="764">
        <v>177026.95</v>
      </c>
    </row>
    <row r="65" spans="1:4">
      <c r="A65" s="627">
        <f t="shared" si="0"/>
        <v>50</v>
      </c>
      <c r="B65" s="631" t="s">
        <v>170</v>
      </c>
      <c r="C65" s="640" t="s">
        <v>171</v>
      </c>
      <c r="D65" s="764">
        <v>925231.55999999982</v>
      </c>
    </row>
    <row r="66" spans="1:4">
      <c r="A66" s="627">
        <f t="shared" si="0"/>
        <v>51</v>
      </c>
      <c r="B66" s="631" t="s">
        <v>104</v>
      </c>
      <c r="C66" s="640" t="s">
        <v>172</v>
      </c>
      <c r="D66" s="764">
        <v>1096529.48</v>
      </c>
    </row>
    <row r="67" spans="1:4">
      <c r="A67" s="627">
        <f t="shared" si="0"/>
        <v>52</v>
      </c>
      <c r="B67" s="631" t="s">
        <v>173</v>
      </c>
      <c r="C67" s="640" t="s">
        <v>174</v>
      </c>
      <c r="D67" s="764">
        <v>1762918.46</v>
      </c>
    </row>
    <row r="68" spans="1:4">
      <c r="A68" s="627">
        <f t="shared" si="0"/>
        <v>53</v>
      </c>
      <c r="B68" s="631" t="s">
        <v>175</v>
      </c>
      <c r="C68" s="640" t="s">
        <v>176</v>
      </c>
      <c r="D68" s="764">
        <v>360</v>
      </c>
    </row>
    <row r="69" spans="1:4">
      <c r="A69" s="627">
        <f t="shared" si="0"/>
        <v>54</v>
      </c>
      <c r="B69" s="631" t="s">
        <v>177</v>
      </c>
      <c r="C69" s="640" t="s">
        <v>178</v>
      </c>
      <c r="D69" s="293">
        <v>0</v>
      </c>
    </row>
    <row r="70" spans="1:4">
      <c r="A70" s="627">
        <f t="shared" si="0"/>
        <v>55</v>
      </c>
      <c r="B70" s="631" t="s">
        <v>179</v>
      </c>
      <c r="C70" s="640" t="s">
        <v>180</v>
      </c>
      <c r="D70" s="293">
        <v>1404111.2400000002</v>
      </c>
    </row>
    <row r="71" spans="1:4">
      <c r="A71" s="627">
        <f t="shared" si="0"/>
        <v>56</v>
      </c>
      <c r="B71" s="631" t="s">
        <v>181</v>
      </c>
      <c r="C71" s="640" t="s">
        <v>182</v>
      </c>
      <c r="D71" s="292">
        <v>355415.04999999993</v>
      </c>
    </row>
    <row r="72" spans="1:4">
      <c r="A72" s="627">
        <f t="shared" si="0"/>
        <v>57</v>
      </c>
      <c r="B72" s="682" t="s">
        <v>366</v>
      </c>
      <c r="C72" s="640"/>
      <c r="D72" s="62">
        <f>SUM(D57:D71)</f>
        <v>21045554.080000002</v>
      </c>
    </row>
    <row r="73" spans="1:4">
      <c r="A73" s="627">
        <f t="shared" si="0"/>
        <v>58</v>
      </c>
      <c r="B73" s="18" t="s">
        <v>367</v>
      </c>
      <c r="C73" s="19"/>
      <c r="D73" s="61">
        <f>D70+D71</f>
        <v>1759526.29</v>
      </c>
    </row>
    <row r="74" spans="1:4">
      <c r="A74" s="627">
        <f t="shared" si="0"/>
        <v>59</v>
      </c>
      <c r="B74" s="633" t="s">
        <v>365</v>
      </c>
      <c r="C74" s="643"/>
      <c r="D74" s="291">
        <f>D72-D73</f>
        <v>19286027.790000003</v>
      </c>
    </row>
    <row r="75" spans="1:4">
      <c r="A75" s="15"/>
      <c r="B75" s="16"/>
      <c r="C75" s="17"/>
      <c r="D75" s="290"/>
    </row>
    <row r="76" spans="1:4">
      <c r="A76" s="12"/>
      <c r="B76" s="13"/>
      <c r="C76" s="14"/>
      <c r="D76" s="289"/>
    </row>
    <row r="77" spans="1:4">
      <c r="A77" s="644" t="s">
        <v>8</v>
      </c>
      <c r="B77" s="946" t="s">
        <v>35</v>
      </c>
      <c r="C77" s="948" t="s">
        <v>103</v>
      </c>
      <c r="D77" s="624" t="s">
        <v>331</v>
      </c>
    </row>
    <row r="78" spans="1:4">
      <c r="A78" s="645" t="s">
        <v>10</v>
      </c>
      <c r="B78" s="947"/>
      <c r="C78" s="949"/>
      <c r="D78" s="626" t="str">
        <f>C11</f>
        <v>401 - 500</v>
      </c>
    </row>
    <row r="79" spans="1:4">
      <c r="A79" s="642">
        <v>1</v>
      </c>
      <c r="B79" s="646" t="s">
        <v>183</v>
      </c>
      <c r="C79" s="647"/>
      <c r="D79" s="288"/>
    </row>
    <row r="80" spans="1:4">
      <c r="A80" s="642">
        <f>+A79+1</f>
        <v>2</v>
      </c>
      <c r="B80" s="648" t="s">
        <v>184</v>
      </c>
      <c r="C80" s="649" t="s">
        <v>185</v>
      </c>
      <c r="D80" s="764">
        <v>391934.41</v>
      </c>
    </row>
    <row r="81" spans="1:4">
      <c r="A81" s="642">
        <f t="shared" ref="A81:A108" si="1">+A80+1</f>
        <v>3</v>
      </c>
      <c r="B81" s="648" t="s">
        <v>159</v>
      </c>
      <c r="C81" s="649" t="s">
        <v>186</v>
      </c>
      <c r="D81" s="764">
        <v>279324.48000000004</v>
      </c>
    </row>
    <row r="82" spans="1:4">
      <c r="A82" s="642">
        <f t="shared" si="1"/>
        <v>4</v>
      </c>
      <c r="B82" s="648" t="s">
        <v>187</v>
      </c>
      <c r="C82" s="649" t="s">
        <v>188</v>
      </c>
      <c r="D82" s="764">
        <v>221746.31999999995</v>
      </c>
    </row>
    <row r="83" spans="1:4">
      <c r="A83" s="642">
        <f t="shared" si="1"/>
        <v>5</v>
      </c>
      <c r="B83" s="648" t="s">
        <v>189</v>
      </c>
      <c r="C83" s="649" t="s">
        <v>190</v>
      </c>
      <c r="D83" s="764">
        <v>309682.71000000002</v>
      </c>
    </row>
    <row r="84" spans="1:4">
      <c r="A84" s="642">
        <f t="shared" si="1"/>
        <v>6</v>
      </c>
      <c r="B84" s="648" t="s">
        <v>191</v>
      </c>
      <c r="C84" s="649" t="s">
        <v>192</v>
      </c>
      <c r="D84" s="764">
        <v>1697393.17</v>
      </c>
    </row>
    <row r="85" spans="1:4">
      <c r="A85" s="642">
        <f t="shared" si="1"/>
        <v>7</v>
      </c>
      <c r="B85" s="648" t="s">
        <v>193</v>
      </c>
      <c r="C85" s="649" t="s">
        <v>194</v>
      </c>
      <c r="D85" s="764">
        <v>0</v>
      </c>
    </row>
    <row r="86" spans="1:4">
      <c r="A86" s="642">
        <f t="shared" si="1"/>
        <v>8</v>
      </c>
      <c r="B86" s="650" t="s">
        <v>195</v>
      </c>
      <c r="C86" s="649" t="s">
        <v>196</v>
      </c>
      <c r="D86" s="651">
        <v>0</v>
      </c>
    </row>
    <row r="87" spans="1:4">
      <c r="A87" s="642">
        <f t="shared" si="1"/>
        <v>9</v>
      </c>
      <c r="B87" s="650" t="s">
        <v>195</v>
      </c>
      <c r="C87" s="649" t="s">
        <v>197</v>
      </c>
      <c r="D87" s="651">
        <v>0</v>
      </c>
    </row>
    <row r="88" spans="1:4">
      <c r="A88" s="642">
        <f t="shared" si="1"/>
        <v>10</v>
      </c>
      <c r="B88" s="650" t="s">
        <v>195</v>
      </c>
      <c r="C88" s="649" t="s">
        <v>198</v>
      </c>
      <c r="D88" s="651">
        <v>0</v>
      </c>
    </row>
    <row r="89" spans="1:4">
      <c r="A89" s="642">
        <f t="shared" si="1"/>
        <v>11</v>
      </c>
      <c r="B89" s="650" t="s">
        <v>195</v>
      </c>
      <c r="C89" s="649" t="s">
        <v>199</v>
      </c>
      <c r="D89" s="651">
        <v>0</v>
      </c>
    </row>
    <row r="90" spans="1:4">
      <c r="A90" s="642">
        <f t="shared" si="1"/>
        <v>12</v>
      </c>
      <c r="B90" s="650" t="s">
        <v>195</v>
      </c>
      <c r="C90" s="649" t="s">
        <v>200</v>
      </c>
      <c r="D90" s="651">
        <v>0</v>
      </c>
    </row>
    <row r="91" spans="1:4">
      <c r="A91" s="642">
        <f t="shared" si="1"/>
        <v>13</v>
      </c>
      <c r="B91" s="650" t="s">
        <v>195</v>
      </c>
      <c r="C91" s="649" t="s">
        <v>201</v>
      </c>
      <c r="D91" s="651">
        <v>0</v>
      </c>
    </row>
    <row r="92" spans="1:4">
      <c r="A92" s="642">
        <f t="shared" si="1"/>
        <v>14</v>
      </c>
      <c r="B92" s="650" t="s">
        <v>195</v>
      </c>
      <c r="C92" s="649" t="s">
        <v>202</v>
      </c>
      <c r="D92" s="651">
        <v>0</v>
      </c>
    </row>
    <row r="93" spans="1:4">
      <c r="A93" s="642">
        <f t="shared" si="1"/>
        <v>15</v>
      </c>
      <c r="B93" s="648" t="s">
        <v>203</v>
      </c>
      <c r="C93" s="649" t="s">
        <v>204</v>
      </c>
      <c r="D93" s="764">
        <v>906678.35999999964</v>
      </c>
    </row>
    <row r="94" spans="1:4">
      <c r="A94" s="642">
        <f t="shared" si="1"/>
        <v>16</v>
      </c>
      <c r="B94" s="648" t="s">
        <v>205</v>
      </c>
      <c r="C94" s="649" t="s">
        <v>206</v>
      </c>
      <c r="D94" s="764">
        <v>191353.88</v>
      </c>
    </row>
    <row r="95" spans="1:4">
      <c r="A95" s="642">
        <f t="shared" si="1"/>
        <v>17</v>
      </c>
      <c r="B95" s="648" t="s">
        <v>207</v>
      </c>
      <c r="C95" s="649" t="s">
        <v>208</v>
      </c>
      <c r="D95" s="764">
        <v>2911754.16</v>
      </c>
    </row>
    <row r="96" spans="1:4">
      <c r="A96" s="642">
        <f t="shared" si="1"/>
        <v>18</v>
      </c>
      <c r="B96" s="648" t="s">
        <v>146</v>
      </c>
      <c r="C96" s="649" t="s">
        <v>209</v>
      </c>
      <c r="D96" s="764">
        <v>238521.74000000002</v>
      </c>
    </row>
    <row r="97" spans="1:4">
      <c r="A97" s="642">
        <f t="shared" si="1"/>
        <v>19</v>
      </c>
      <c r="B97" s="648" t="s">
        <v>210</v>
      </c>
      <c r="C97" s="652" t="s">
        <v>211</v>
      </c>
      <c r="D97" s="764">
        <v>906854.49</v>
      </c>
    </row>
    <row r="98" spans="1:4">
      <c r="A98" s="642">
        <f t="shared" si="1"/>
        <v>20</v>
      </c>
      <c r="B98" s="648" t="s">
        <v>212</v>
      </c>
      <c r="C98" s="649" t="s">
        <v>213</v>
      </c>
      <c r="D98" s="764">
        <v>998236.93000000017</v>
      </c>
    </row>
    <row r="99" spans="1:4">
      <c r="A99" s="642">
        <f t="shared" si="1"/>
        <v>21</v>
      </c>
      <c r="B99" s="648" t="s">
        <v>214</v>
      </c>
      <c r="C99" s="649" t="s">
        <v>215</v>
      </c>
      <c r="D99" s="764">
        <v>4539232.26</v>
      </c>
    </row>
    <row r="100" spans="1:4">
      <c r="A100" s="642">
        <f t="shared" si="1"/>
        <v>22</v>
      </c>
      <c r="B100" s="648" t="s">
        <v>216</v>
      </c>
      <c r="C100" s="649" t="s">
        <v>217</v>
      </c>
      <c r="D100" s="764">
        <v>1116095.54</v>
      </c>
    </row>
    <row r="101" spans="1:4">
      <c r="A101" s="642">
        <f t="shared" si="1"/>
        <v>23</v>
      </c>
      <c r="B101" s="648" t="s">
        <v>218</v>
      </c>
      <c r="C101" s="649" t="s">
        <v>219</v>
      </c>
      <c r="D101" s="764">
        <v>59065.880000000012</v>
      </c>
    </row>
    <row r="102" spans="1:4">
      <c r="A102" s="642">
        <f t="shared" si="1"/>
        <v>24</v>
      </c>
      <c r="B102" s="648" t="s">
        <v>220</v>
      </c>
      <c r="C102" s="649" t="s">
        <v>221</v>
      </c>
      <c r="D102" s="764">
        <v>1082338.3299999998</v>
      </c>
    </row>
    <row r="103" spans="1:4">
      <c r="A103" s="642">
        <f t="shared" si="1"/>
        <v>25</v>
      </c>
      <c r="B103" s="648" t="s">
        <v>222</v>
      </c>
      <c r="C103" s="653"/>
      <c r="D103" s="287"/>
    </row>
    <row r="104" spans="1:4">
      <c r="A104" s="642">
        <f t="shared" si="1"/>
        <v>26</v>
      </c>
      <c r="B104" s="654" t="s">
        <v>333</v>
      </c>
      <c r="C104" s="649" t="s">
        <v>223</v>
      </c>
      <c r="D104" s="764">
        <v>744889.25</v>
      </c>
    </row>
    <row r="105" spans="1:4">
      <c r="A105" s="642">
        <f t="shared" si="1"/>
        <v>27</v>
      </c>
      <c r="B105" s="654" t="s">
        <v>334</v>
      </c>
      <c r="C105" s="649" t="s">
        <v>224</v>
      </c>
      <c r="D105" s="651">
        <v>0</v>
      </c>
    </row>
    <row r="106" spans="1:4">
      <c r="A106" s="642">
        <f t="shared" si="1"/>
        <v>28</v>
      </c>
      <c r="B106" s="654" t="s">
        <v>335</v>
      </c>
      <c r="C106" s="649" t="s">
        <v>225</v>
      </c>
      <c r="D106" s="651">
        <v>0</v>
      </c>
    </row>
    <row r="107" spans="1:4">
      <c r="A107" s="642">
        <f t="shared" si="1"/>
        <v>29</v>
      </c>
      <c r="B107" s="648" t="s">
        <v>226</v>
      </c>
      <c r="C107" s="655" t="s">
        <v>227</v>
      </c>
      <c r="D107" s="764">
        <v>103584.07999999999</v>
      </c>
    </row>
    <row r="108" spans="1:4">
      <c r="A108" s="642">
        <f t="shared" si="1"/>
        <v>30</v>
      </c>
      <c r="B108" s="656" t="s">
        <v>350</v>
      </c>
      <c r="C108" s="657"/>
      <c r="D108" s="286">
        <f>+SUM(D80:D107)</f>
        <v>16698685.99</v>
      </c>
    </row>
    <row r="109" spans="1:4" ht="7.5" customHeight="1">
      <c r="A109" s="642"/>
      <c r="B109" s="658"/>
      <c r="C109" s="659"/>
      <c r="D109" s="285"/>
    </row>
    <row r="110" spans="1:4">
      <c r="A110" s="642">
        <f>+A108+1</f>
        <v>31</v>
      </c>
      <c r="B110" s="660" t="s">
        <v>228</v>
      </c>
      <c r="C110" s="653"/>
      <c r="D110" s="661"/>
    </row>
    <row r="111" spans="1:4">
      <c r="A111" s="642">
        <f t="shared" ref="A111:A116" si="2">+A110+1</f>
        <v>32</v>
      </c>
      <c r="B111" s="648" t="s">
        <v>229</v>
      </c>
      <c r="C111" s="649" t="s">
        <v>230</v>
      </c>
      <c r="D111" s="764">
        <v>131373.53</v>
      </c>
    </row>
    <row r="112" spans="1:4">
      <c r="A112" s="642">
        <f t="shared" si="2"/>
        <v>33</v>
      </c>
      <c r="B112" s="648" t="s">
        <v>231</v>
      </c>
      <c r="C112" s="649" t="s">
        <v>232</v>
      </c>
      <c r="D112" s="764">
        <v>6059233.6499999994</v>
      </c>
    </row>
    <row r="113" spans="1:4">
      <c r="A113" s="642">
        <f t="shared" si="2"/>
        <v>34</v>
      </c>
      <c r="B113" s="648" t="s">
        <v>233</v>
      </c>
      <c r="C113" s="649" t="s">
        <v>234</v>
      </c>
      <c r="D113" s="764">
        <v>6141525.2600000007</v>
      </c>
    </row>
    <row r="114" spans="1:4">
      <c r="A114" s="642">
        <f t="shared" si="2"/>
        <v>35</v>
      </c>
      <c r="B114" s="648" t="s">
        <v>235</v>
      </c>
      <c r="C114" s="649" t="s">
        <v>236</v>
      </c>
      <c r="D114" s="764">
        <v>760000</v>
      </c>
    </row>
    <row r="115" spans="1:4">
      <c r="A115" s="642">
        <f t="shared" si="2"/>
        <v>36</v>
      </c>
      <c r="B115" s="10" t="s">
        <v>237</v>
      </c>
      <c r="C115" s="11" t="s">
        <v>238</v>
      </c>
      <c r="D115" s="764">
        <v>330155.62999999995</v>
      </c>
    </row>
    <row r="116" spans="1:4">
      <c r="A116" s="642">
        <f t="shared" si="2"/>
        <v>37</v>
      </c>
      <c r="B116" s="284" t="s">
        <v>351</v>
      </c>
      <c r="C116" s="283"/>
      <c r="D116" s="282">
        <f>+SUM(D111:D115)</f>
        <v>13422288.070000002</v>
      </c>
    </row>
    <row r="117" spans="1:4" ht="8.25" customHeight="1">
      <c r="A117" s="642"/>
      <c r="B117" s="281"/>
      <c r="C117" s="893"/>
      <c r="D117" s="280"/>
    </row>
    <row r="118" spans="1:4">
      <c r="A118" s="642">
        <f>+A116+1</f>
        <v>38</v>
      </c>
      <c r="B118" s="660" t="s">
        <v>239</v>
      </c>
      <c r="C118" s="653"/>
      <c r="D118" s="295"/>
    </row>
    <row r="119" spans="1:4">
      <c r="A119" s="642">
        <f>+A118+1</f>
        <v>39</v>
      </c>
      <c r="B119" s="648" t="s">
        <v>229</v>
      </c>
      <c r="C119" s="649" t="s">
        <v>240</v>
      </c>
      <c r="D119" s="764">
        <v>751283.1</v>
      </c>
    </row>
    <row r="120" spans="1:4">
      <c r="A120" s="642">
        <f t="shared" ref="A120:A135" si="3">+A119+1</f>
        <v>40</v>
      </c>
      <c r="B120" s="650" t="s">
        <v>241</v>
      </c>
      <c r="C120" s="653"/>
      <c r="D120" s="742"/>
    </row>
    <row r="121" spans="1:4">
      <c r="A121" s="642">
        <f t="shared" si="3"/>
        <v>41</v>
      </c>
      <c r="B121" s="648" t="s">
        <v>242</v>
      </c>
      <c r="C121" s="649" t="s">
        <v>243</v>
      </c>
      <c r="D121" s="764">
        <v>1399213.66</v>
      </c>
    </row>
    <row r="122" spans="1:4">
      <c r="A122" s="642">
        <f t="shared" si="3"/>
        <v>42</v>
      </c>
      <c r="B122" s="648" t="s">
        <v>195</v>
      </c>
      <c r="C122" s="662" t="s">
        <v>244</v>
      </c>
      <c r="D122" s="651">
        <v>0</v>
      </c>
    </row>
    <row r="123" spans="1:4">
      <c r="A123" s="642">
        <f t="shared" si="3"/>
        <v>43</v>
      </c>
      <c r="B123" s="648" t="s">
        <v>195</v>
      </c>
      <c r="C123" s="662" t="s">
        <v>245</v>
      </c>
      <c r="D123" s="651">
        <v>0</v>
      </c>
    </row>
    <row r="124" spans="1:4">
      <c r="A124" s="642">
        <f t="shared" si="3"/>
        <v>44</v>
      </c>
      <c r="B124" s="648" t="s">
        <v>195</v>
      </c>
      <c r="C124" s="662" t="s">
        <v>246</v>
      </c>
      <c r="D124" s="651">
        <v>0</v>
      </c>
    </row>
    <row r="125" spans="1:4">
      <c r="A125" s="642">
        <f t="shared" si="3"/>
        <v>45</v>
      </c>
      <c r="B125" s="648" t="s">
        <v>195</v>
      </c>
      <c r="C125" s="662" t="s">
        <v>247</v>
      </c>
      <c r="D125" s="651">
        <v>0</v>
      </c>
    </row>
    <row r="126" spans="1:4">
      <c r="A126" s="642">
        <f t="shared" si="3"/>
        <v>46</v>
      </c>
      <c r="B126" s="648" t="s">
        <v>195</v>
      </c>
      <c r="C126" s="662" t="s">
        <v>248</v>
      </c>
      <c r="D126" s="651">
        <v>0</v>
      </c>
    </row>
    <row r="127" spans="1:4">
      <c r="A127" s="642">
        <f t="shared" si="3"/>
        <v>47</v>
      </c>
      <c r="B127" s="648" t="s">
        <v>195</v>
      </c>
      <c r="C127" s="662" t="s">
        <v>249</v>
      </c>
      <c r="D127" s="651">
        <v>0</v>
      </c>
    </row>
    <row r="128" spans="1:4">
      <c r="A128" s="642">
        <f t="shared" si="3"/>
        <v>48</v>
      </c>
      <c r="B128" s="648" t="s">
        <v>250</v>
      </c>
      <c r="C128" s="649" t="s">
        <v>251</v>
      </c>
      <c r="D128" s="764">
        <v>281548.75</v>
      </c>
    </row>
    <row r="129" spans="1:4">
      <c r="A129" s="642">
        <f t="shared" si="3"/>
        <v>49</v>
      </c>
      <c r="B129" s="648" t="s">
        <v>252</v>
      </c>
      <c r="C129" s="649" t="s">
        <v>253</v>
      </c>
      <c r="D129" s="651">
        <v>0</v>
      </c>
    </row>
    <row r="130" spans="1:4">
      <c r="A130" s="642">
        <f t="shared" si="3"/>
        <v>50</v>
      </c>
      <c r="B130" s="648" t="s">
        <v>254</v>
      </c>
      <c r="C130" s="649" t="s">
        <v>255</v>
      </c>
      <c r="D130" s="764">
        <v>5248243.78</v>
      </c>
    </row>
    <row r="131" spans="1:4">
      <c r="A131" s="642">
        <f t="shared" si="3"/>
        <v>51</v>
      </c>
      <c r="B131" s="648" t="s">
        <v>195</v>
      </c>
      <c r="C131" s="649" t="s">
        <v>256</v>
      </c>
      <c r="D131" s="651">
        <v>0</v>
      </c>
    </row>
    <row r="132" spans="1:4">
      <c r="A132" s="642">
        <f t="shared" si="3"/>
        <v>52</v>
      </c>
      <c r="B132" s="648" t="s">
        <v>195</v>
      </c>
      <c r="C132" s="649" t="s">
        <v>257</v>
      </c>
      <c r="D132" s="651">
        <v>0</v>
      </c>
    </row>
    <row r="133" spans="1:4">
      <c r="A133" s="642">
        <f t="shared" si="3"/>
        <v>53</v>
      </c>
      <c r="B133" s="648" t="s">
        <v>258</v>
      </c>
      <c r="C133" s="649" t="s">
        <v>259</v>
      </c>
      <c r="D133" s="764">
        <v>390445.61</v>
      </c>
    </row>
    <row r="134" spans="1:4">
      <c r="A134" s="642">
        <f t="shared" si="3"/>
        <v>54</v>
      </c>
      <c r="B134" s="10" t="s">
        <v>260</v>
      </c>
      <c r="C134" s="11" t="s">
        <v>261</v>
      </c>
      <c r="D134" s="764">
        <v>61032.020000000004</v>
      </c>
    </row>
    <row r="135" spans="1:4">
      <c r="A135" s="642">
        <f t="shared" si="3"/>
        <v>55</v>
      </c>
      <c r="B135" s="281" t="s">
        <v>352</v>
      </c>
      <c r="C135" s="283"/>
      <c r="D135" s="279">
        <f>+SUM(D119:D134)</f>
        <v>8131766.9199999999</v>
      </c>
    </row>
    <row r="136" spans="1:4">
      <c r="A136" s="663"/>
      <c r="B136" s="664"/>
      <c r="C136" s="665"/>
      <c r="D136" s="278"/>
    </row>
    <row r="137" spans="1:4">
      <c r="A137" s="666"/>
      <c r="B137" s="618"/>
      <c r="C137" s="667"/>
      <c r="D137" s="277"/>
    </row>
    <row r="138" spans="1:4">
      <c r="A138" s="644" t="s">
        <v>8</v>
      </c>
      <c r="B138" s="946" t="s">
        <v>35</v>
      </c>
      <c r="C138" s="950" t="s">
        <v>103</v>
      </c>
      <c r="D138" s="624" t="s">
        <v>331</v>
      </c>
    </row>
    <row r="139" spans="1:4">
      <c r="A139" s="645" t="s">
        <v>10</v>
      </c>
      <c r="B139" s="947"/>
      <c r="C139" s="951"/>
      <c r="D139" s="626" t="str">
        <f>C77</f>
        <v>Accounts</v>
      </c>
    </row>
    <row r="140" spans="1:4">
      <c r="A140" s="642">
        <v>1</v>
      </c>
      <c r="B140" s="646" t="s">
        <v>262</v>
      </c>
      <c r="C140" s="636"/>
      <c r="D140" s="276"/>
    </row>
    <row r="141" spans="1:4">
      <c r="A141" s="642">
        <f>+A140+1</f>
        <v>2</v>
      </c>
      <c r="B141" s="648" t="s">
        <v>263</v>
      </c>
      <c r="C141" s="632" t="s">
        <v>264</v>
      </c>
      <c r="D141" s="767">
        <v>0</v>
      </c>
    </row>
    <row r="142" spans="1:4">
      <c r="A142" s="642">
        <f>+A141+1</f>
        <v>3</v>
      </c>
      <c r="B142" s="648" t="s">
        <v>265</v>
      </c>
      <c r="C142" s="632" t="s">
        <v>266</v>
      </c>
      <c r="D142" s="764">
        <v>210759.81000000003</v>
      </c>
    </row>
    <row r="143" spans="1:4">
      <c r="A143" s="642">
        <f t="shared" ref="A143:A176" si="4">+A142+1</f>
        <v>4</v>
      </c>
      <c r="B143" s="648" t="s">
        <v>267</v>
      </c>
      <c r="C143" s="632" t="s">
        <v>266</v>
      </c>
      <c r="D143" s="764">
        <v>51883.389999999992</v>
      </c>
    </row>
    <row r="144" spans="1:4">
      <c r="A144" s="642">
        <f t="shared" si="4"/>
        <v>5</v>
      </c>
      <c r="B144" s="648" t="s">
        <v>268</v>
      </c>
      <c r="C144" s="632" t="s">
        <v>266</v>
      </c>
      <c r="D144" s="764">
        <v>4062.48</v>
      </c>
    </row>
    <row r="145" spans="1:4">
      <c r="A145" s="642">
        <f t="shared" si="4"/>
        <v>6</v>
      </c>
      <c r="B145" s="648" t="s">
        <v>269</v>
      </c>
      <c r="C145" s="632" t="s">
        <v>270</v>
      </c>
      <c r="D145" s="764">
        <v>0</v>
      </c>
    </row>
    <row r="146" spans="1:4">
      <c r="A146" s="642">
        <f t="shared" si="4"/>
        <v>7</v>
      </c>
      <c r="B146" s="648" t="s">
        <v>271</v>
      </c>
      <c r="C146" s="632" t="s">
        <v>266</v>
      </c>
      <c r="D146" s="764">
        <v>58129.89</v>
      </c>
    </row>
    <row r="147" spans="1:4">
      <c r="A147" s="642">
        <f t="shared" si="4"/>
        <v>8</v>
      </c>
      <c r="B147" s="648" t="s">
        <v>272</v>
      </c>
      <c r="C147" s="632" t="s">
        <v>273</v>
      </c>
      <c r="D147" s="668">
        <v>0</v>
      </c>
    </row>
    <row r="148" spans="1:4">
      <c r="A148" s="642">
        <f t="shared" si="4"/>
        <v>9</v>
      </c>
      <c r="B148" s="648" t="s">
        <v>272</v>
      </c>
      <c r="C148" s="632" t="s">
        <v>274</v>
      </c>
      <c r="D148" s="668">
        <v>0</v>
      </c>
    </row>
    <row r="149" spans="1:4">
      <c r="A149" s="642">
        <f t="shared" si="4"/>
        <v>10</v>
      </c>
      <c r="B149" s="648" t="s">
        <v>272</v>
      </c>
      <c r="C149" s="632" t="s">
        <v>275</v>
      </c>
      <c r="D149" s="668">
        <v>0</v>
      </c>
    </row>
    <row r="150" spans="1:4">
      <c r="A150" s="642">
        <f t="shared" si="4"/>
        <v>11</v>
      </c>
      <c r="B150" s="648" t="s">
        <v>272</v>
      </c>
      <c r="C150" s="632" t="s">
        <v>276</v>
      </c>
      <c r="D150" s="668">
        <v>0</v>
      </c>
    </row>
    <row r="151" spans="1:4">
      <c r="A151" s="642">
        <f t="shared" si="4"/>
        <v>12</v>
      </c>
      <c r="B151" s="648" t="s">
        <v>272</v>
      </c>
      <c r="C151" s="632" t="s">
        <v>277</v>
      </c>
      <c r="D151" s="668">
        <v>0</v>
      </c>
    </row>
    <row r="152" spans="1:4">
      <c r="A152" s="642">
        <f t="shared" si="4"/>
        <v>13</v>
      </c>
      <c r="B152" s="648" t="s">
        <v>272</v>
      </c>
      <c r="C152" s="632" t="s">
        <v>278</v>
      </c>
      <c r="D152" s="668">
        <v>0</v>
      </c>
    </row>
    <row r="153" spans="1:4">
      <c r="A153" s="642">
        <f t="shared" si="4"/>
        <v>14</v>
      </c>
      <c r="B153" s="648" t="s">
        <v>272</v>
      </c>
      <c r="C153" s="632" t="s">
        <v>279</v>
      </c>
      <c r="D153" s="668">
        <v>0</v>
      </c>
    </row>
    <row r="154" spans="1:4">
      <c r="A154" s="642">
        <f t="shared" si="4"/>
        <v>15</v>
      </c>
      <c r="B154" s="648" t="s">
        <v>272</v>
      </c>
      <c r="C154" s="632" t="s">
        <v>280</v>
      </c>
      <c r="D154" s="668">
        <v>0</v>
      </c>
    </row>
    <row r="155" spans="1:4">
      <c r="A155" s="642">
        <f t="shared" si="4"/>
        <v>16</v>
      </c>
      <c r="B155" s="648" t="s">
        <v>272</v>
      </c>
      <c r="C155" s="632" t="s">
        <v>281</v>
      </c>
      <c r="D155" s="668">
        <v>0</v>
      </c>
    </row>
    <row r="156" spans="1:4">
      <c r="A156" s="642">
        <f t="shared" si="4"/>
        <v>17</v>
      </c>
      <c r="B156" s="648" t="s">
        <v>272</v>
      </c>
      <c r="C156" s="632" t="s">
        <v>282</v>
      </c>
      <c r="D156" s="668">
        <v>0</v>
      </c>
    </row>
    <row r="157" spans="1:4">
      <c r="A157" s="642">
        <f t="shared" si="4"/>
        <v>18</v>
      </c>
      <c r="B157" s="648" t="s">
        <v>272</v>
      </c>
      <c r="C157" s="632" t="s">
        <v>283</v>
      </c>
      <c r="D157" s="668">
        <v>0</v>
      </c>
    </row>
    <row r="158" spans="1:4">
      <c r="A158" s="642">
        <f t="shared" si="4"/>
        <v>19</v>
      </c>
      <c r="B158" s="648" t="s">
        <v>272</v>
      </c>
      <c r="C158" s="632" t="s">
        <v>284</v>
      </c>
      <c r="D158" s="669">
        <v>0</v>
      </c>
    </row>
    <row r="159" spans="1:4">
      <c r="A159" s="642">
        <f t="shared" si="4"/>
        <v>20</v>
      </c>
      <c r="B159" s="648" t="s">
        <v>285</v>
      </c>
      <c r="C159" s="632" t="s">
        <v>286</v>
      </c>
      <c r="D159" s="764">
        <v>516.73</v>
      </c>
    </row>
    <row r="160" spans="1:4">
      <c r="A160" s="642">
        <f t="shared" si="4"/>
        <v>21</v>
      </c>
      <c r="B160" s="648" t="s">
        <v>287</v>
      </c>
      <c r="C160" s="632" t="s">
        <v>288</v>
      </c>
      <c r="D160" s="764">
        <v>297970.98</v>
      </c>
    </row>
    <row r="161" spans="1:4">
      <c r="A161" s="642">
        <f t="shared" si="4"/>
        <v>22</v>
      </c>
      <c r="B161" s="648" t="s">
        <v>272</v>
      </c>
      <c r="C161" s="632" t="s">
        <v>289</v>
      </c>
      <c r="D161" s="668">
        <v>0</v>
      </c>
    </row>
    <row r="162" spans="1:4">
      <c r="A162" s="642">
        <f t="shared" si="4"/>
        <v>23</v>
      </c>
      <c r="B162" s="648" t="s">
        <v>272</v>
      </c>
      <c r="C162" s="632" t="s">
        <v>290</v>
      </c>
      <c r="D162" s="668">
        <v>0</v>
      </c>
    </row>
    <row r="163" spans="1:4">
      <c r="A163" s="642">
        <f t="shared" si="4"/>
        <v>24</v>
      </c>
      <c r="B163" s="648" t="s">
        <v>272</v>
      </c>
      <c r="C163" s="632" t="s">
        <v>291</v>
      </c>
      <c r="D163" s="668">
        <v>0</v>
      </c>
    </row>
    <row r="164" spans="1:4">
      <c r="A164" s="642">
        <f t="shared" si="4"/>
        <v>25</v>
      </c>
      <c r="B164" s="648" t="s">
        <v>272</v>
      </c>
      <c r="C164" s="632" t="s">
        <v>292</v>
      </c>
      <c r="D164" s="668">
        <v>0</v>
      </c>
    </row>
    <row r="165" spans="1:4">
      <c r="A165" s="642">
        <f t="shared" si="4"/>
        <v>26</v>
      </c>
      <c r="B165" s="648" t="s">
        <v>272</v>
      </c>
      <c r="C165" s="632" t="s">
        <v>293</v>
      </c>
      <c r="D165" s="668">
        <v>0</v>
      </c>
    </row>
    <row r="166" spans="1:4">
      <c r="A166" s="642">
        <f t="shared" si="4"/>
        <v>27</v>
      </c>
      <c r="B166" s="648" t="s">
        <v>272</v>
      </c>
      <c r="C166" s="632" t="s">
        <v>294</v>
      </c>
      <c r="D166" s="668">
        <v>0</v>
      </c>
    </row>
    <row r="167" spans="1:4">
      <c r="A167" s="642">
        <f t="shared" si="4"/>
        <v>28</v>
      </c>
      <c r="B167" s="648" t="s">
        <v>272</v>
      </c>
      <c r="C167" s="632" t="s">
        <v>295</v>
      </c>
      <c r="D167" s="668">
        <v>0</v>
      </c>
    </row>
    <row r="168" spans="1:4">
      <c r="A168" s="642">
        <f t="shared" si="4"/>
        <v>29</v>
      </c>
      <c r="B168" s="648" t="s">
        <v>272</v>
      </c>
      <c r="C168" s="632" t="s">
        <v>296</v>
      </c>
      <c r="D168" s="668">
        <v>0</v>
      </c>
    </row>
    <row r="169" spans="1:4">
      <c r="A169" s="642">
        <f t="shared" si="4"/>
        <v>30</v>
      </c>
      <c r="B169" s="648" t="s">
        <v>272</v>
      </c>
      <c r="C169" s="632" t="s">
        <v>297</v>
      </c>
      <c r="D169" s="668">
        <v>0</v>
      </c>
    </row>
    <row r="170" spans="1:4">
      <c r="A170" s="642">
        <f t="shared" si="4"/>
        <v>31</v>
      </c>
      <c r="B170" s="648" t="s">
        <v>272</v>
      </c>
      <c r="C170" s="632" t="s">
        <v>298</v>
      </c>
      <c r="D170" s="668">
        <v>0</v>
      </c>
    </row>
    <row r="171" spans="1:4">
      <c r="A171" s="642">
        <f t="shared" si="4"/>
        <v>32</v>
      </c>
      <c r="B171" s="648" t="s">
        <v>272</v>
      </c>
      <c r="C171" s="632" t="s">
        <v>299</v>
      </c>
      <c r="D171" s="668">
        <v>0</v>
      </c>
    </row>
    <row r="172" spans="1:4">
      <c r="A172" s="642">
        <f t="shared" si="4"/>
        <v>33</v>
      </c>
      <c r="B172" s="648" t="s">
        <v>272</v>
      </c>
      <c r="C172" s="632" t="s">
        <v>300</v>
      </c>
      <c r="D172" s="668">
        <v>0</v>
      </c>
    </row>
    <row r="173" spans="1:4">
      <c r="A173" s="642">
        <f t="shared" si="4"/>
        <v>34</v>
      </c>
      <c r="B173" s="648" t="s">
        <v>272</v>
      </c>
      <c r="C173" s="632" t="s">
        <v>301</v>
      </c>
      <c r="D173" s="668">
        <v>0</v>
      </c>
    </row>
    <row r="174" spans="1:4">
      <c r="A174" s="642">
        <f t="shared" si="4"/>
        <v>35</v>
      </c>
      <c r="B174" s="648" t="s">
        <v>272</v>
      </c>
      <c r="C174" s="632" t="s">
        <v>302</v>
      </c>
      <c r="D174" s="668">
        <v>0</v>
      </c>
    </row>
    <row r="175" spans="1:4">
      <c r="A175" s="642">
        <f t="shared" si="4"/>
        <v>36</v>
      </c>
      <c r="B175" s="648" t="s">
        <v>272</v>
      </c>
      <c r="C175" s="632" t="s">
        <v>303</v>
      </c>
      <c r="D175" s="668">
        <v>0</v>
      </c>
    </row>
    <row r="176" spans="1:4">
      <c r="A176" s="642">
        <f t="shared" si="4"/>
        <v>37</v>
      </c>
      <c r="B176" s="648" t="s">
        <v>272</v>
      </c>
      <c r="C176" s="632" t="s">
        <v>304</v>
      </c>
      <c r="D176" s="668">
        <v>0</v>
      </c>
    </row>
    <row r="177" spans="1:7">
      <c r="A177" s="642">
        <f>+A176+1</f>
        <v>38</v>
      </c>
      <c r="B177" s="275" t="s">
        <v>353</v>
      </c>
      <c r="C177" s="274"/>
      <c r="D177" s="273">
        <f>+SUM(D141:D176)</f>
        <v>623323.28</v>
      </c>
    </row>
    <row r="178" spans="1:7" ht="8.25" customHeight="1">
      <c r="A178" s="642"/>
      <c r="B178" s="272"/>
      <c r="C178" s="271"/>
      <c r="D178" s="279"/>
    </row>
    <row r="179" spans="1:7">
      <c r="A179" s="642">
        <f>+A177+1</f>
        <v>39</v>
      </c>
      <c r="B179" s="660" t="s">
        <v>305</v>
      </c>
      <c r="C179" s="629"/>
      <c r="D179" s="270"/>
      <c r="E179" s="934">
        <v>2012</v>
      </c>
      <c r="F179" s="931" t="s">
        <v>728</v>
      </c>
      <c r="G179" s="928" t="s">
        <v>729</v>
      </c>
    </row>
    <row r="180" spans="1:7">
      <c r="A180" s="642">
        <f>+A179+1</f>
        <v>40</v>
      </c>
      <c r="B180" s="648" t="s">
        <v>306</v>
      </c>
      <c r="C180" s="632" t="s">
        <v>307</v>
      </c>
      <c r="D180" s="764">
        <v>20664049.43</v>
      </c>
      <c r="E180" s="933">
        <v>18693578</v>
      </c>
      <c r="F180" s="926">
        <f>D180-E180</f>
        <v>1970471.4299999997</v>
      </c>
      <c r="G180" s="923">
        <f>F180/E180</f>
        <v>0.10540900356261385</v>
      </c>
    </row>
    <row r="181" spans="1:7">
      <c r="A181" s="642">
        <f t="shared" ref="A181:A194" si="5">+A180+1</f>
        <v>41</v>
      </c>
      <c r="B181" s="648" t="s">
        <v>308</v>
      </c>
      <c r="C181" s="632" t="s">
        <v>309</v>
      </c>
      <c r="D181" s="764">
        <v>6856713.2399999993</v>
      </c>
      <c r="E181" s="933">
        <v>4536852</v>
      </c>
      <c r="F181" s="925">
        <f t="shared" ref="F181:F191" si="6">D181-E181</f>
        <v>2319861.2399999993</v>
      </c>
      <c r="G181" s="923">
        <f t="shared" ref="G181:G193" si="7">F181/E181</f>
        <v>0.51133720914854597</v>
      </c>
    </row>
    <row r="182" spans="1:7">
      <c r="A182" s="642">
        <f t="shared" si="5"/>
        <v>42</v>
      </c>
      <c r="B182" s="648" t="s">
        <v>310</v>
      </c>
      <c r="C182" s="632" t="s">
        <v>311</v>
      </c>
      <c r="D182" s="764">
        <v>-1765172.8399999999</v>
      </c>
      <c r="E182" s="933">
        <v>-1752389</v>
      </c>
      <c r="F182" s="930">
        <f t="shared" si="6"/>
        <v>-12783.839999999851</v>
      </c>
      <c r="G182" s="927">
        <f t="shared" si="7"/>
        <v>7.2950925850366844E-3</v>
      </c>
    </row>
    <row r="183" spans="1:7">
      <c r="A183" s="642">
        <f t="shared" si="5"/>
        <v>43</v>
      </c>
      <c r="B183" s="648" t="s">
        <v>312</v>
      </c>
      <c r="C183" s="632" t="s">
        <v>313</v>
      </c>
      <c r="D183" s="764">
        <v>1218312.1000000001</v>
      </c>
      <c r="E183" s="933">
        <v>1050131</v>
      </c>
      <c r="F183" s="930">
        <f t="shared" si="6"/>
        <v>168181.10000000009</v>
      </c>
      <c r="G183" s="927">
        <f t="shared" si="7"/>
        <v>0.16015249526011527</v>
      </c>
    </row>
    <row r="184" spans="1:7">
      <c r="A184" s="642">
        <f t="shared" si="5"/>
        <v>44</v>
      </c>
      <c r="B184" s="648" t="s">
        <v>314</v>
      </c>
      <c r="C184" s="632" t="s">
        <v>315</v>
      </c>
      <c r="D184" s="764">
        <v>1842172.2799999998</v>
      </c>
      <c r="E184" s="933">
        <v>2155325</v>
      </c>
      <c r="F184" s="930">
        <f t="shared" si="6"/>
        <v>-313152.7200000002</v>
      </c>
      <c r="G184" s="927">
        <f t="shared" si="7"/>
        <v>-0.1452925753656642</v>
      </c>
    </row>
    <row r="185" spans="1:7">
      <c r="A185" s="642">
        <f t="shared" si="5"/>
        <v>45</v>
      </c>
      <c r="B185" s="648" t="s">
        <v>316</v>
      </c>
      <c r="C185" s="632" t="s">
        <v>317</v>
      </c>
      <c r="D185" s="764">
        <v>2027358.9400000002</v>
      </c>
      <c r="E185" s="933">
        <v>1441111</v>
      </c>
      <c r="F185" s="925">
        <f t="shared" si="6"/>
        <v>586247.94000000018</v>
      </c>
      <c r="G185" s="923">
        <f t="shared" si="7"/>
        <v>0.40680276536644311</v>
      </c>
    </row>
    <row r="186" spans="1:7">
      <c r="A186" s="642">
        <f t="shared" si="5"/>
        <v>46</v>
      </c>
      <c r="B186" s="648" t="s">
        <v>318</v>
      </c>
      <c r="C186" s="632" t="s">
        <v>319</v>
      </c>
      <c r="D186" s="764">
        <v>3027595.9299999997</v>
      </c>
      <c r="E186" s="933">
        <v>2218402</v>
      </c>
      <c r="F186" s="925">
        <f t="shared" si="6"/>
        <v>809193.9299999997</v>
      </c>
      <c r="G186" s="923">
        <f t="shared" si="7"/>
        <v>0.36476433486807158</v>
      </c>
    </row>
    <row r="187" spans="1:7">
      <c r="A187" s="642">
        <f t="shared" si="5"/>
        <v>47</v>
      </c>
      <c r="B187" s="648" t="s">
        <v>320</v>
      </c>
      <c r="C187" s="632" t="s">
        <v>321</v>
      </c>
      <c r="D187" s="764">
        <v>1087449.3500000001</v>
      </c>
      <c r="E187" s="933">
        <v>855803</v>
      </c>
      <c r="F187" s="925">
        <f t="shared" si="6"/>
        <v>231646.35000000009</v>
      </c>
      <c r="G187" s="923">
        <f t="shared" si="7"/>
        <v>0.27067718855858192</v>
      </c>
    </row>
    <row r="188" spans="1:7">
      <c r="A188" s="642">
        <f t="shared" si="5"/>
        <v>48</v>
      </c>
      <c r="B188" s="648" t="s">
        <v>322</v>
      </c>
      <c r="C188" s="632" t="s">
        <v>323</v>
      </c>
      <c r="D188" s="764">
        <v>1702446.61</v>
      </c>
      <c r="E188" s="932">
        <v>1058139</v>
      </c>
      <c r="F188" s="925">
        <f t="shared" si="6"/>
        <v>644307.6100000001</v>
      </c>
      <c r="G188" s="923">
        <f t="shared" si="7"/>
        <v>0.60890640076587299</v>
      </c>
    </row>
    <row r="189" spans="1:7">
      <c r="A189" s="642">
        <f t="shared" si="5"/>
        <v>49</v>
      </c>
      <c r="B189" s="648" t="s">
        <v>324</v>
      </c>
      <c r="C189" s="632" t="s">
        <v>325</v>
      </c>
      <c r="D189" s="764">
        <v>361178.96999999991</v>
      </c>
      <c r="E189" s="933">
        <v>364303</v>
      </c>
      <c r="F189" s="930">
        <f t="shared" si="6"/>
        <v>-3124.0300000000861</v>
      </c>
      <c r="G189" s="927">
        <f t="shared" si="7"/>
        <v>-8.5753617181304736E-3</v>
      </c>
    </row>
    <row r="190" spans="1:7">
      <c r="A190" s="642">
        <f t="shared" si="5"/>
        <v>50</v>
      </c>
      <c r="B190" s="648" t="s">
        <v>146</v>
      </c>
      <c r="C190" s="632" t="s">
        <v>326</v>
      </c>
      <c r="D190" s="764">
        <v>284005.14000000007</v>
      </c>
      <c r="E190" s="933">
        <v>237149</v>
      </c>
      <c r="F190" s="930">
        <f t="shared" si="6"/>
        <v>46856.140000000072</v>
      </c>
      <c r="G190" s="927">
        <f t="shared" si="7"/>
        <v>0.19758101446769782</v>
      </c>
    </row>
    <row r="191" spans="1:7">
      <c r="A191" s="642">
        <f t="shared" si="5"/>
        <v>51</v>
      </c>
      <c r="B191" s="648" t="s">
        <v>327</v>
      </c>
      <c r="C191" s="637" t="s">
        <v>328</v>
      </c>
      <c r="D191" s="764">
        <v>2578021.06</v>
      </c>
      <c r="E191" s="929">
        <v>1793879</v>
      </c>
      <c r="F191" s="924">
        <f t="shared" si="6"/>
        <v>784142.06</v>
      </c>
      <c r="G191" s="923">
        <f t="shared" si="7"/>
        <v>0.43712093179082873</v>
      </c>
    </row>
    <row r="192" spans="1:7">
      <c r="A192" s="642">
        <f t="shared" si="5"/>
        <v>52</v>
      </c>
      <c r="B192" s="648" t="s">
        <v>105</v>
      </c>
      <c r="C192" s="632" t="s">
        <v>329</v>
      </c>
      <c r="D192" s="64">
        <v>0</v>
      </c>
      <c r="F192" s="930"/>
    </row>
    <row r="193" spans="1:7">
      <c r="A193" s="642">
        <f t="shared" si="5"/>
        <v>53</v>
      </c>
      <c r="B193" s="670" t="s">
        <v>330</v>
      </c>
      <c r="C193" s="671"/>
      <c r="D193" s="885">
        <f>SUM(D180:D192)</f>
        <v>39884130.210000001</v>
      </c>
      <c r="E193" s="935">
        <f>SUM(E180:E191)</f>
        <v>32652283</v>
      </c>
      <c r="F193" s="935">
        <f>SUM(F180:F191)</f>
        <v>7231847.209999999</v>
      </c>
      <c r="G193" s="927">
        <f t="shared" si="7"/>
        <v>0.2214805993810601</v>
      </c>
    </row>
    <row r="194" spans="1:7">
      <c r="A194" s="642">
        <f t="shared" si="5"/>
        <v>54</v>
      </c>
      <c r="B194" s="672" t="s">
        <v>332</v>
      </c>
      <c r="C194" s="673"/>
      <c r="D194" s="674">
        <f>D189</f>
        <v>361178.96999999991</v>
      </c>
    </row>
    <row r="195" spans="1:7">
      <c r="A195" s="642"/>
      <c r="B195" s="848"/>
      <c r="C195" s="849"/>
      <c r="D195" s="89"/>
    </row>
    <row r="196" spans="1:7">
      <c r="A196" s="642">
        <f>+A194+1</f>
        <v>55</v>
      </c>
      <c r="B196" s="850" t="s">
        <v>336</v>
      </c>
      <c r="C196" s="851"/>
      <c r="D196" s="95">
        <f>+D193-D194</f>
        <v>39522951.240000002</v>
      </c>
    </row>
    <row r="197" spans="1:7">
      <c r="A197" s="675"/>
      <c r="B197" s="676"/>
      <c r="C197" s="677"/>
      <c r="D197" s="678"/>
    </row>
  </sheetData>
  <mergeCells count="10">
    <mergeCell ref="B77:B78"/>
    <mergeCell ref="C77:C78"/>
    <mergeCell ref="B138:B139"/>
    <mergeCell ref="C138:C139"/>
    <mergeCell ref="A1:B1"/>
    <mergeCell ref="B8:B9"/>
    <mergeCell ref="C8:C9"/>
    <mergeCell ref="A2:D2"/>
    <mergeCell ref="A3:D3"/>
    <mergeCell ref="A4:D4"/>
  </mergeCells>
  <printOptions horizontalCentered="1"/>
  <pageMargins left="0.75" right="0.75" top="0.75" bottom="0.25" header="0.5" footer="0.5"/>
  <pageSetup scale="64" firstPageNumber="9" fitToHeight="3" orientation="portrait" useFirstPageNumber="1" r:id="rId1"/>
  <headerFooter alignWithMargins="0">
    <oddHeader>&amp;R&amp;"Arial,Regular"&amp;10Attachment O Work Paper
Page &amp;P of 22</oddHeader>
  </headerFooter>
  <rowBreaks count="2" manualBreakCount="2">
    <brk id="75" max="3" man="1"/>
    <brk id="136" max="3" man="1"/>
  </rowBreaks>
  <ignoredErrors>
    <ignoredError sqref="D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13</vt:i4>
      </vt:variant>
    </vt:vector>
  </HeadingPairs>
  <TitlesOfParts>
    <vt:vector size="40" baseType="lpstr">
      <vt:lpstr>Page 1 - PIS</vt:lpstr>
      <vt:lpstr>Page 2 - Accum Depr</vt:lpstr>
      <vt:lpstr>Page 3 - CWIP</vt:lpstr>
      <vt:lpstr>Page 4 - ADIT</vt:lpstr>
      <vt:lpstr>Page 5 - Net Prefunded AFUDC</vt:lpstr>
      <vt:lpstr>Page 6 - PHFU</vt:lpstr>
      <vt:lpstr>Page 7 - M&amp;S</vt:lpstr>
      <vt:lpstr>Page 8 - Prepayments</vt:lpstr>
      <vt:lpstr>Page 9-11 - Funct</vt:lpstr>
      <vt:lpstr>Page 12a - Sch 10 Exp</vt:lpstr>
      <vt:lpstr>Page 12b - A&amp;G Exp</vt:lpstr>
      <vt:lpstr>Page 13 - Depr Exp</vt:lpstr>
      <vt:lpstr>Page 14 - Prop Tax</vt:lpstr>
      <vt:lpstr>Page 15 - Invest Tax</vt:lpstr>
      <vt:lpstr>Page 16 - FERC Acct 561</vt:lpstr>
      <vt:lpstr>Page 17 - Labor Ratios</vt:lpstr>
      <vt:lpstr>Page 18 - Equity</vt:lpstr>
      <vt:lpstr>Page 19 - Elec Debt</vt:lpstr>
      <vt:lpstr>Page 20 - Revenues</vt:lpstr>
      <vt:lpstr>Page 20a - FERC 454 Recon</vt:lpstr>
      <vt:lpstr>Page 20b - MISO Tariff Revenue</vt:lpstr>
      <vt:lpstr>Page 21 - Income Tax Rate Calc</vt:lpstr>
      <vt:lpstr>Page 21a - Income Tax Rate Calc</vt:lpstr>
      <vt:lpstr>Page 22 - Acct Changes</vt:lpstr>
      <vt:lpstr>Attachment GG Projects</vt:lpstr>
      <vt:lpstr>Attachment MM Projects</vt:lpstr>
      <vt:lpstr>Info</vt:lpstr>
      <vt:lpstr>'Page 1 - PIS'!Print_Area</vt:lpstr>
      <vt:lpstr>'Page 17 - Labor Ratios'!Print_Area</vt:lpstr>
      <vt:lpstr>'Page 18 - Equity'!Print_Area</vt:lpstr>
      <vt:lpstr>'Page 19 - Elec Debt'!Print_Area</vt:lpstr>
      <vt:lpstr>'Page 2 - Accum Depr'!Print_Area</vt:lpstr>
      <vt:lpstr>'Page 21 - Income Tax Rate Calc'!Print_Area</vt:lpstr>
      <vt:lpstr>'Page 21a - Income Tax Rate Calc'!Print_Area</vt:lpstr>
      <vt:lpstr>'Page 22 - Acct Changes'!Print_Area</vt:lpstr>
      <vt:lpstr>'Page 3 - CWIP'!Print_Area</vt:lpstr>
      <vt:lpstr>'Page 4 - ADIT'!Print_Area</vt:lpstr>
      <vt:lpstr>'Page 8 - Prepayments'!Print_Area</vt:lpstr>
      <vt:lpstr>'Page 9-11 - Funct'!Print_Area</vt:lpstr>
      <vt:lpstr>'Page 9-11 - Funct'!Print_Titles</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Sem, Kyle</cp:lastModifiedBy>
  <cp:lastPrinted>2014-09-15T18:56:31Z</cp:lastPrinted>
  <dcterms:created xsi:type="dcterms:W3CDTF">2009-10-01T13:58:58Z</dcterms:created>
  <dcterms:modified xsi:type="dcterms:W3CDTF">2014-09-15T19:02:01Z</dcterms:modified>
</cp:coreProperties>
</file>