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80" yWindow="30" windowWidth="19230" windowHeight="10890" tabRatio="863"/>
  </bookViews>
  <sheets>
    <sheet name="Page 1 - PIS" sheetId="17" r:id="rId1"/>
    <sheet name="Page 2 - Accum Depr" sheetId="1" r:id="rId2"/>
    <sheet name="Page 3 - CWIP" sheetId="18" r:id="rId3"/>
    <sheet name="Page 4 - ADIT" sheetId="6" r:id="rId4"/>
    <sheet name="Page 5 - Net Prefunded AFUDC" sheetId="19" r:id="rId5"/>
    <sheet name="Page 6 - PHFU" sheetId="15" r:id="rId6"/>
    <sheet name="Page 7 - M&amp;S" sheetId="7" r:id="rId7"/>
    <sheet name="Page 8 - Prepayments" sheetId="8" r:id="rId8"/>
    <sheet name="Page 9-11 - Funct" sheetId="13" r:id="rId9"/>
    <sheet name="Page 12 - A&amp;G Exp" sheetId="20" r:id="rId10"/>
    <sheet name="Page 13 - Depr Exp" sheetId="9" r:id="rId11"/>
    <sheet name="Page 14 - Prop Tax" sheetId="21" r:id="rId12"/>
    <sheet name="Page 15 - Invest Tax" sheetId="14" r:id="rId13"/>
    <sheet name="Page 16 - FERC Acct 561" sheetId="22" r:id="rId14"/>
    <sheet name="Page 17 - Labor Ratios" sheetId="10" r:id="rId15"/>
    <sheet name="Page 18 - Equity" sheetId="12" r:id="rId16"/>
    <sheet name="Page 19 - Elec Debt" sheetId="11" r:id="rId17"/>
    <sheet name="Page 20 - Revenues" sheetId="23" r:id="rId18"/>
    <sheet name="Page 20A - FERC 454 Recon" sheetId="26" r:id="rId19"/>
    <sheet name="Page 21a - Income Tax RateCalc " sheetId="27" r:id="rId20"/>
    <sheet name="Page 21b - Income Tax Rate Calc" sheetId="28" r:id="rId21"/>
    <sheet name="Attachment GG Projects" sheetId="24" r:id="rId22"/>
  </sheets>
  <externalReferences>
    <externalReference r:id="rId23"/>
  </externalReferences>
  <definedNames>
    <definedName name="\P" localSheetId="2">#REF!</definedName>
    <definedName name="\P" localSheetId="4">#REF!</definedName>
    <definedName name="\P">#REF!</definedName>
    <definedName name="__HH_F">[1]factors:memo!$G$36:$N$82</definedName>
    <definedName name="_Order1" hidden="1">255</definedName>
    <definedName name="_PG1" localSheetId="2">#REF!</definedName>
    <definedName name="_PG1" localSheetId="4">#REF!</definedName>
    <definedName name="_PG1">#REF!</definedName>
    <definedName name="_PG2" localSheetId="2">#REF!</definedName>
    <definedName name="_PG2" localSheetId="4">#REF!</definedName>
    <definedName name="_PG2">#REF!</definedName>
    <definedName name="_PR1" localSheetId="12">#REF!</definedName>
    <definedName name="_PR1" localSheetId="2">#REF!</definedName>
    <definedName name="_PR1" localSheetId="4">#REF!</definedName>
    <definedName name="_PR1">#REF!</definedName>
    <definedName name="_PR2" localSheetId="12">#REF!</definedName>
    <definedName name="_PR2" localSheetId="2">#REF!</definedName>
    <definedName name="_PR2" localSheetId="4">#REF!</definedName>
    <definedName name="_PR2">#REF!</definedName>
    <definedName name="_PR3" localSheetId="12">#REF!</definedName>
    <definedName name="_PR3" localSheetId="2">#REF!</definedName>
    <definedName name="_PR3" localSheetId="4">#REF!</definedName>
    <definedName name="_PR3">#REF!</definedName>
    <definedName name="Amount" localSheetId="2">#REF!</definedName>
    <definedName name="Amount" localSheetId="4">#REF!</definedName>
    <definedName name="Amount">#REF!</definedName>
    <definedName name="CCOSS_Data" localSheetId="12">#REF!</definedName>
    <definedName name="CCOSS_Data" localSheetId="2">#REF!</definedName>
    <definedName name="CCOSS_Data" localSheetId="4">#REF!</definedName>
    <definedName name="CCOSS_Data">#REF!</definedName>
    <definedName name="D__M" localSheetId="12">#REF!</definedName>
    <definedName name="D__M" localSheetId="2">#REF!</definedName>
    <definedName name="D__M" localSheetId="4">#REF!</definedName>
    <definedName name="D__M">#REF!</definedName>
    <definedName name="DB" localSheetId="2">#REF!</definedName>
    <definedName name="DB" localSheetId="4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 localSheetId="2">#REF!</definedName>
    <definedName name="Federal" localSheetId="4">#REF!</definedName>
    <definedName name="Federal">#REF!</definedName>
    <definedName name="FERC" localSheetId="2">#REF!</definedName>
    <definedName name="FERC" localSheetId="4">#REF!</definedName>
    <definedName name="FERC">#REF!</definedName>
    <definedName name="K2_WBEVMODE" hidden="1">0</definedName>
    <definedName name="PNT" localSheetId="2">#REF!</definedName>
    <definedName name="PNT" localSheetId="4">#REF!</definedName>
    <definedName name="PNT">#REF!</definedName>
    <definedName name="PRINT" localSheetId="2">#REF!</definedName>
    <definedName name="PRINT" localSheetId="4">#REF!</definedName>
    <definedName name="PRINT">#REF!</definedName>
    <definedName name="_xlnm.Print_Area" localSheetId="14">'Page 17 - Labor Ratios'!$A$1:$F$30</definedName>
    <definedName name="_xlnm.Print_Area" localSheetId="15">'Page 18 - Equity'!$A$1:$P$29</definedName>
    <definedName name="_xlnm.Print_Area" localSheetId="16">'Page 19 - Elec Debt'!$A$1:$S$47</definedName>
    <definedName name="_xlnm.Print_Area" localSheetId="3">'Page 4 - ADIT'!$A$1:$F$20</definedName>
    <definedName name="_xlnm.Print_Area" localSheetId="7">'Page 8 - Prepayments'!$A$1:$D$27</definedName>
    <definedName name="_xlnm.Print_Area" localSheetId="8">'Page 9-11 - Funct'!$A$1:$D$196</definedName>
    <definedName name="_xlnm.Print_Titles" localSheetId="8">'Page 9-11 - Funct'!$1:$6</definedName>
    <definedName name="Print_Titles_MI" localSheetId="2">#REF!</definedName>
    <definedName name="Print_Titles_MI" localSheetId="4">#REF!</definedName>
    <definedName name="Print_Titles_MI">#REF!</definedName>
    <definedName name="PRNT" localSheetId="2">#REF!</definedName>
    <definedName name="PRNT" localSheetId="4">#REF!</definedName>
    <definedName name="PRNT">#REF!</definedName>
    <definedName name="TOTAL" localSheetId="12">#REF!</definedName>
    <definedName name="TOTAL" localSheetId="2">#REF!</definedName>
    <definedName name="TOTAL" localSheetId="4">#REF!</definedName>
    <definedName name="TOTAL">#REF!</definedName>
    <definedName name="TOTAL2" localSheetId="12">#REF!</definedName>
    <definedName name="TOTAL2" localSheetId="2">#REF!</definedName>
    <definedName name="TOTAL2" localSheetId="4">#REF!</definedName>
    <definedName name="TOTAL2">#REF!</definedName>
  </definedNames>
  <calcPr calcId="125725"/>
</workbook>
</file>

<file path=xl/calcChain.xml><?xml version="1.0" encoding="utf-8"?>
<calcChain xmlns="http://schemas.openxmlformats.org/spreadsheetml/2006/main">
  <c r="F75" i="27"/>
  <c r="I75"/>
  <c r="H75"/>
  <c r="G75"/>
  <c r="J78"/>
  <c r="F19" i="28"/>
  <c r="F23" s="1"/>
  <c r="E19"/>
  <c r="E23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5"/>
  <c r="F17" i="27"/>
  <c r="F16"/>
  <c r="I43"/>
  <c r="I44"/>
  <c r="H25"/>
  <c r="J72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F18" l="1"/>
  <c r="F30" i="28"/>
  <c r="F32" s="1"/>
  <c r="F28"/>
  <c r="D18" s="1"/>
  <c r="E28"/>
  <c r="D17" s="1"/>
  <c r="D19" s="1"/>
  <c r="D23" s="1"/>
  <c r="E30"/>
  <c r="E32" s="1"/>
  <c r="H27" i="27"/>
  <c r="I46"/>
  <c r="G44"/>
  <c r="F56"/>
  <c r="G28"/>
  <c r="G56"/>
  <c r="D65"/>
  <c r="D30" i="28" l="1"/>
  <c r="D28"/>
  <c r="I48" i="27"/>
  <c r="G41"/>
  <c r="G43" s="1"/>
  <c r="G46" s="1"/>
  <c r="G48" s="1"/>
  <c r="F48" s="1"/>
  <c r="J51" s="1"/>
  <c r="H32"/>
  <c r="G25"/>
  <c r="G27" s="1"/>
  <c r="G30" s="1"/>
  <c r="G32" s="1"/>
  <c r="F32" s="1"/>
  <c r="J35" s="1"/>
  <c r="D32" i="28" l="1"/>
  <c r="G32" s="1"/>
  <c r="G30"/>
  <c r="C25" i="24" l="1"/>
  <c r="K19" i="22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E22" i="10"/>
  <c r="E12"/>
  <c r="H18" i="21"/>
  <c r="I18"/>
  <c r="J18"/>
  <c r="K18"/>
  <c r="L18"/>
  <c r="M18"/>
  <c r="N18"/>
  <c r="O18"/>
  <c r="P18"/>
  <c r="Q18"/>
  <c r="R18"/>
  <c r="G18"/>
  <c r="C13" i="9"/>
  <c r="F24" i="17"/>
  <c r="F22"/>
  <c r="F21"/>
  <c r="F20"/>
  <c r="F19"/>
  <c r="F18"/>
  <c r="F17"/>
  <c r="F16"/>
  <c r="F15"/>
  <c r="F14"/>
  <c r="F13"/>
  <c r="F12"/>
  <c r="F11"/>
  <c r="F10"/>
  <c r="C24"/>
  <c r="C10"/>
  <c r="L20" i="23" l="1"/>
  <c r="R47" i="11" l="1"/>
  <c r="S42"/>
  <c r="Q42"/>
  <c r="P42"/>
  <c r="O42"/>
  <c r="N42"/>
  <c r="M42"/>
  <c r="L42"/>
  <c r="K42"/>
  <c r="J42"/>
  <c r="I42"/>
  <c r="H42"/>
  <c r="G42"/>
  <c r="F42"/>
  <c r="E42"/>
  <c r="R41"/>
  <c r="B41"/>
  <c r="R40"/>
  <c r="B40"/>
  <c r="R39"/>
  <c r="B39"/>
  <c r="R38"/>
  <c r="R42" s="1"/>
  <c r="B38"/>
  <c r="S33"/>
  <c r="Q33"/>
  <c r="P33"/>
  <c r="O33"/>
  <c r="N33"/>
  <c r="M33"/>
  <c r="L33"/>
  <c r="K33"/>
  <c r="J33"/>
  <c r="I33"/>
  <c r="H33"/>
  <c r="G33"/>
  <c r="F33"/>
  <c r="E33"/>
  <c r="R32"/>
  <c r="R31"/>
  <c r="B31"/>
  <c r="R30"/>
  <c r="B30"/>
  <c r="S27"/>
  <c r="Q27"/>
  <c r="Q44" s="1"/>
  <c r="Q50" s="1"/>
  <c r="P27"/>
  <c r="P44" s="1"/>
  <c r="P50" s="1"/>
  <c r="O27"/>
  <c r="O44" s="1"/>
  <c r="O50" s="1"/>
  <c r="N27"/>
  <c r="N44" s="1"/>
  <c r="N50" s="1"/>
  <c r="M27"/>
  <c r="M44" s="1"/>
  <c r="M50" s="1"/>
  <c r="L27"/>
  <c r="L44" s="1"/>
  <c r="L50" s="1"/>
  <c r="K27"/>
  <c r="K44" s="1"/>
  <c r="K50" s="1"/>
  <c r="J27"/>
  <c r="J44" s="1"/>
  <c r="J50" s="1"/>
  <c r="I27"/>
  <c r="I44" s="1"/>
  <c r="I50" s="1"/>
  <c r="H27"/>
  <c r="H44" s="1"/>
  <c r="H50" s="1"/>
  <c r="G27"/>
  <c r="G44" s="1"/>
  <c r="G50" s="1"/>
  <c r="F27"/>
  <c r="F44" s="1"/>
  <c r="F50" s="1"/>
  <c r="E27"/>
  <c r="E44" s="1"/>
  <c r="E50" s="1"/>
  <c r="R26"/>
  <c r="B26"/>
  <c r="R25"/>
  <c r="B25"/>
  <c r="R24"/>
  <c r="B24"/>
  <c r="R23"/>
  <c r="B23"/>
  <c r="R22"/>
  <c r="B22"/>
  <c r="R21"/>
  <c r="R20"/>
  <c r="B20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R19"/>
  <c r="R27" s="1"/>
  <c r="B19"/>
  <c r="S44" l="1"/>
  <c r="S50" s="1"/>
  <c r="R33"/>
  <c r="R44" s="1"/>
  <c r="R50" s="1"/>
  <c r="D26" i="12" l="1"/>
  <c r="C25"/>
  <c r="P24"/>
  <c r="P23"/>
  <c r="P22"/>
  <c r="D21"/>
  <c r="C19"/>
  <c r="C27" s="1"/>
  <c r="P17"/>
  <c r="D15"/>
  <c r="D19" s="1"/>
  <c r="E15" l="1"/>
  <c r="E19" s="1"/>
  <c r="D25"/>
  <c r="E21" s="1"/>
  <c r="E25" s="1"/>
  <c r="F21" s="1"/>
  <c r="F25" s="1"/>
  <c r="G21" s="1"/>
  <c r="G25" s="1"/>
  <c r="H21" s="1"/>
  <c r="H25" s="1"/>
  <c r="I21" s="1"/>
  <c r="I25" s="1"/>
  <c r="J21" s="1"/>
  <c r="J25" s="1"/>
  <c r="K21" s="1"/>
  <c r="K25" s="1"/>
  <c r="L21" s="1"/>
  <c r="L25" s="1"/>
  <c r="M21" s="1"/>
  <c r="M25" s="1"/>
  <c r="N21" s="1"/>
  <c r="N25" s="1"/>
  <c r="O21" s="1"/>
  <c r="O25" s="1"/>
  <c r="E26"/>
  <c r="F26" s="1"/>
  <c r="G26" s="1"/>
  <c r="H26" s="1"/>
  <c r="I26" s="1"/>
  <c r="J26" s="1"/>
  <c r="K26" s="1"/>
  <c r="L26" s="1"/>
  <c r="M26" s="1"/>
  <c r="N26" s="1"/>
  <c r="P26" l="1"/>
  <c r="E27"/>
  <c r="F15"/>
  <c r="F19" s="1"/>
  <c r="P21"/>
  <c r="P25" s="1"/>
  <c r="D27"/>
  <c r="F27" l="1"/>
  <c r="G15"/>
  <c r="G19" s="1"/>
  <c r="G27" l="1"/>
  <c r="H15"/>
  <c r="H19" s="1"/>
  <c r="H27" l="1"/>
  <c r="I15"/>
  <c r="I19" s="1"/>
  <c r="I27" l="1"/>
  <c r="J15"/>
  <c r="J19" s="1"/>
  <c r="J27" l="1"/>
  <c r="K15"/>
  <c r="K19" s="1"/>
  <c r="K27" l="1"/>
  <c r="L15"/>
  <c r="L19" s="1"/>
  <c r="L27" l="1"/>
  <c r="M15"/>
  <c r="M19" s="1"/>
  <c r="M27" l="1"/>
  <c r="N15"/>
  <c r="N19" s="1"/>
  <c r="N27" l="1"/>
  <c r="O15"/>
  <c r="O19" l="1"/>
  <c r="O27" s="1"/>
  <c r="P15"/>
  <c r="P19" s="1"/>
  <c r="P27" s="1"/>
  <c r="K110" i="22" l="1"/>
  <c r="K111"/>
  <c r="K108"/>
  <c r="K107"/>
  <c r="K106"/>
  <c r="K105"/>
  <c r="K48" i="20"/>
  <c r="D184" i="13"/>
  <c r="D193" s="1"/>
  <c r="D48"/>
  <c r="D47"/>
  <c r="D45"/>
  <c r="D44"/>
  <c r="D43"/>
  <c r="D42"/>
  <c r="D40"/>
  <c r="C10" i="6"/>
  <c r="E10"/>
  <c r="E18" s="1"/>
  <c r="J24" i="26"/>
  <c r="D28" i="7"/>
  <c r="F28"/>
  <c r="C28"/>
  <c r="C57" i="24"/>
  <c r="E27"/>
  <c r="D12" i="6"/>
  <c r="F12"/>
  <c r="G22" i="1"/>
  <c r="G20"/>
  <c r="G18"/>
  <c r="G14"/>
  <c r="G12"/>
  <c r="G20" i="17"/>
  <c r="G11"/>
  <c r="E24"/>
  <c r="D24"/>
  <c r="D14" i="24"/>
  <c r="D15"/>
  <c r="D16"/>
  <c r="D17"/>
  <c r="D18"/>
  <c r="D19"/>
  <c r="D20"/>
  <c r="D21"/>
  <c r="D22"/>
  <c r="D23"/>
  <c r="D24"/>
  <c r="D25"/>
  <c r="D13"/>
  <c r="C14"/>
  <c r="F14" s="1"/>
  <c r="C15"/>
  <c r="C16"/>
  <c r="F16" s="1"/>
  <c r="C17"/>
  <c r="C18"/>
  <c r="F18" s="1"/>
  <c r="C19"/>
  <c r="C20"/>
  <c r="F20" s="1"/>
  <c r="C21"/>
  <c r="C22"/>
  <c r="F22" s="1"/>
  <c r="C23"/>
  <c r="C24"/>
  <c r="F24" s="1"/>
  <c r="C13"/>
  <c r="F13" s="1"/>
  <c r="C15" i="9"/>
  <c r="C24" s="1"/>
  <c r="F25" i="18"/>
  <c r="F24"/>
  <c r="F23"/>
  <c r="F22"/>
  <c r="F21"/>
  <c r="F20"/>
  <c r="F19"/>
  <c r="F18"/>
  <c r="F17"/>
  <c r="F16"/>
  <c r="F15"/>
  <c r="F14"/>
  <c r="F13"/>
  <c r="L21" i="23"/>
  <c r="K13"/>
  <c r="S17" i="21"/>
  <c r="S16"/>
  <c r="S15"/>
  <c r="S18" s="1"/>
  <c r="S36" s="1"/>
  <c r="K68" i="20"/>
  <c r="K67"/>
  <c r="K65"/>
  <c r="K66"/>
  <c r="K64"/>
  <c r="K63"/>
  <c r="K62"/>
  <c r="K61"/>
  <c r="K60"/>
  <c r="K59"/>
  <c r="K58"/>
  <c r="K57"/>
  <c r="K56"/>
  <c r="K55"/>
  <c r="K52"/>
  <c r="K51"/>
  <c r="K49"/>
  <c r="K47"/>
  <c r="K45"/>
  <c r="K46"/>
  <c r="K44"/>
  <c r="K39"/>
  <c r="K37"/>
  <c r="A38"/>
  <c r="A39" s="1"/>
  <c r="A40" s="1"/>
  <c r="A41" s="1"/>
  <c r="K112"/>
  <c r="K98"/>
  <c r="K99"/>
  <c r="K100"/>
  <c r="K101"/>
  <c r="K102"/>
  <c r="K103"/>
  <c r="K104"/>
  <c r="K88"/>
  <c r="K89"/>
  <c r="K90"/>
  <c r="K78"/>
  <c r="K79"/>
  <c r="K80"/>
  <c r="K81"/>
  <c r="K82"/>
  <c r="K96"/>
  <c r="K97"/>
  <c r="K105"/>
  <c r="K108"/>
  <c r="K109"/>
  <c r="K110"/>
  <c r="K111"/>
  <c r="K113"/>
  <c r="K95"/>
  <c r="K92"/>
  <c r="K91"/>
  <c r="K87"/>
  <c r="K86"/>
  <c r="K83"/>
  <c r="K77"/>
  <c r="K40"/>
  <c r="K41"/>
  <c r="K42"/>
  <c r="K43"/>
  <c r="K50"/>
  <c r="K53"/>
  <c r="K54"/>
  <c r="K69"/>
  <c r="K10" i="22"/>
  <c r="K38" i="20"/>
  <c r="K16" i="22"/>
  <c r="K88"/>
  <c r="K89"/>
  <c r="K90"/>
  <c r="K91"/>
  <c r="K92"/>
  <c r="K93"/>
  <c r="K94"/>
  <c r="K95"/>
  <c r="K96"/>
  <c r="K97"/>
  <c r="K98"/>
  <c r="K99"/>
  <c r="K100"/>
  <c r="K101"/>
  <c r="K102"/>
  <c r="K103"/>
  <c r="K104"/>
  <c r="K109"/>
  <c r="K112"/>
  <c r="K113"/>
  <c r="K114"/>
  <c r="K115"/>
  <c r="K116"/>
  <c r="K15"/>
  <c r="K14"/>
  <c r="K12"/>
  <c r="K86"/>
  <c r="K87"/>
  <c r="K119"/>
  <c r="K13"/>
  <c r="K11"/>
  <c r="L20" i="20"/>
  <c r="L18"/>
  <c r="D194" i="13"/>
  <c r="D73"/>
  <c r="D37"/>
  <c r="C61" i="24"/>
  <c r="D61"/>
  <c r="D57"/>
  <c r="A44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L25" i="23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1" i="22"/>
  <c r="A12" i="21"/>
  <c r="A13" s="1"/>
  <c r="A14" s="1"/>
  <c r="A15" s="1"/>
  <c r="A16" s="1"/>
  <c r="A17" s="1"/>
  <c r="S21"/>
  <c r="S11"/>
  <c r="R9"/>
  <c r="Q9"/>
  <c r="P9"/>
  <c r="O9"/>
  <c r="N9"/>
  <c r="M9"/>
  <c r="L9"/>
  <c r="K9"/>
  <c r="J9"/>
  <c r="I9"/>
  <c r="H9"/>
  <c r="A11" i="20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37" s="1"/>
  <c r="D72" i="13"/>
  <c r="E27" i="19"/>
  <c r="D27"/>
  <c r="C27"/>
  <c r="F27" s="1"/>
  <c r="F25"/>
  <c r="F24"/>
  <c r="F23"/>
  <c r="F22"/>
  <c r="F21"/>
  <c r="F20"/>
  <c r="F19"/>
  <c r="F18"/>
  <c r="F17"/>
  <c r="F16"/>
  <c r="F15"/>
  <c r="F14"/>
  <c r="A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F13"/>
  <c r="E27" i="18"/>
  <c r="D27"/>
  <c r="C27"/>
  <c r="A14"/>
  <c r="A15" s="1"/>
  <c r="A16" s="1"/>
  <c r="A17"/>
  <c r="A18" s="1"/>
  <c r="A19" s="1"/>
  <c r="A20" s="1"/>
  <c r="A21" s="1"/>
  <c r="A22" s="1"/>
  <c r="A23" s="1"/>
  <c r="A24" s="1"/>
  <c r="A25" s="1"/>
  <c r="A26" s="1"/>
  <c r="A27" s="1"/>
  <c r="G15" i="17"/>
  <c r="A11"/>
  <c r="A12" s="1"/>
  <c r="A13" s="1"/>
  <c r="A14" s="1"/>
  <c r="A15" s="1"/>
  <c r="A16"/>
  <c r="A17" s="1"/>
  <c r="A18" s="1"/>
  <c r="A19" s="1"/>
  <c r="A20" s="1"/>
  <c r="A21" s="1"/>
  <c r="A22" s="1"/>
  <c r="A23" s="1"/>
  <c r="A24" s="1"/>
  <c r="F25" i="1"/>
  <c r="E11" i="15"/>
  <c r="E12"/>
  <c r="E13"/>
  <c r="E14"/>
  <c r="E15"/>
  <c r="E16"/>
  <c r="E17"/>
  <c r="E18"/>
  <c r="E19"/>
  <c r="E20"/>
  <c r="E21"/>
  <c r="E22"/>
  <c r="E23"/>
  <c r="D25"/>
  <c r="C25"/>
  <c r="A12"/>
  <c r="A13" s="1"/>
  <c r="A14"/>
  <c r="A15" s="1"/>
  <c r="A16" s="1"/>
  <c r="A17" s="1"/>
  <c r="A18" s="1"/>
  <c r="A19" s="1"/>
  <c r="A20" s="1"/>
  <c r="A21" s="1"/>
  <c r="A22" s="1"/>
  <c r="A23" s="1"/>
  <c r="A24" s="1"/>
  <c r="A25" s="1"/>
  <c r="E23" i="10"/>
  <c r="E25" i="15"/>
  <c r="C14" i="14"/>
  <c r="A11"/>
  <c r="A12" s="1"/>
  <c r="A13" s="1"/>
  <c r="A14" s="1"/>
  <c r="D139" i="13"/>
  <c r="D78"/>
  <c r="A11"/>
  <c r="A12" s="1"/>
  <c r="A13" s="1"/>
  <c r="A14" s="1"/>
  <c r="A15" s="1"/>
  <c r="A16" s="1"/>
  <c r="A17" s="1"/>
  <c r="A19" s="1"/>
  <c r="A20" s="1"/>
  <c r="A21" s="1"/>
  <c r="A22" s="1"/>
  <c r="A23" s="1"/>
  <c r="A24" s="1"/>
  <c r="A25" s="1"/>
  <c r="A27" s="1"/>
  <c r="A28" s="1"/>
  <c r="A29" s="1"/>
  <c r="A30" s="1"/>
  <c r="A31" s="1"/>
  <c r="A32" s="1"/>
  <c r="A33" s="1"/>
  <c r="A34" s="1"/>
  <c r="A35" s="1"/>
  <c r="A36" s="1"/>
  <c r="A37" s="1"/>
  <c r="A39" s="1"/>
  <c r="A40" s="1"/>
  <c r="A41" s="1"/>
  <c r="A42" s="1"/>
  <c r="A43" s="1"/>
  <c r="A44" s="1"/>
  <c r="A45" s="1"/>
  <c r="A46" s="1"/>
  <c r="A47" s="1"/>
  <c r="A48" s="1"/>
  <c r="A49" s="1"/>
  <c r="A51" s="1"/>
  <c r="A52" s="1"/>
  <c r="A53" s="1"/>
  <c r="A54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D17"/>
  <c r="A14" i="10"/>
  <c r="A13"/>
  <c r="E14"/>
  <c r="C14"/>
  <c r="C25" s="1"/>
  <c r="A15"/>
  <c r="A16" s="1"/>
  <c r="A17" s="1"/>
  <c r="A18" s="1"/>
  <c r="A19" s="1"/>
  <c r="A20" s="1"/>
  <c r="A21" s="1"/>
  <c r="A22" s="1"/>
  <c r="A23" s="1"/>
  <c r="A24" s="1"/>
  <c r="A25" s="1"/>
  <c r="A12" i="9"/>
  <c r="A13" s="1"/>
  <c r="A14" s="1"/>
  <c r="A15" s="1"/>
  <c r="A16" s="1"/>
  <c r="A17" s="1"/>
  <c r="A18" s="1"/>
  <c r="A19" s="1"/>
  <c r="A20" s="1"/>
  <c r="A21" s="1"/>
  <c r="A22" s="1"/>
  <c r="A23" s="1"/>
  <c r="A24" s="1"/>
  <c r="C22" i="8"/>
  <c r="C21"/>
  <c r="C20"/>
  <c r="C19"/>
  <c r="C18"/>
  <c r="C17"/>
  <c r="C16"/>
  <c r="C15"/>
  <c r="C14"/>
  <c r="C13"/>
  <c r="C12"/>
  <c r="A10"/>
  <c r="A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D135" i="13"/>
  <c r="D116"/>
  <c r="D108"/>
  <c r="D49"/>
  <c r="D25"/>
  <c r="D54"/>
  <c r="D177"/>
  <c r="D18" i="10"/>
  <c r="D24" i="8"/>
  <c r="D25" s="1"/>
  <c r="C11"/>
  <c r="A11" i="6"/>
  <c r="A12" s="1"/>
  <c r="A13" s="1"/>
  <c r="A14" s="1"/>
  <c r="A15" s="1"/>
  <c r="C25" i="1"/>
  <c r="G16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80" i="13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41"/>
  <c r="A142" s="1"/>
  <c r="A143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D9"/>
  <c r="A12" i="22"/>
  <c r="A13" s="1"/>
  <c r="A14" s="1"/>
  <c r="A15" s="1"/>
  <c r="A16" s="1"/>
  <c r="I35" i="21"/>
  <c r="S33"/>
  <c r="S12"/>
  <c r="S14"/>
  <c r="S23"/>
  <c r="D10" i="6"/>
  <c r="C27" i="24"/>
  <c r="C59" s="1"/>
  <c r="F44" l="1"/>
  <c r="A17" i="22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2" i="20"/>
  <c r="A43" s="1"/>
  <c r="A44" s="1"/>
  <c r="A45" s="1"/>
  <c r="A46" s="1"/>
  <c r="A47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J35" i="21"/>
  <c r="G35"/>
  <c r="E28" i="7"/>
  <c r="E25" i="10"/>
  <c r="D74" i="13"/>
  <c r="G12" i="17"/>
  <c r="G13"/>
  <c r="G14"/>
  <c r="G16"/>
  <c r="G17"/>
  <c r="G18"/>
  <c r="G19"/>
  <c r="G21"/>
  <c r="G22"/>
  <c r="G11" i="1"/>
  <c r="E25"/>
  <c r="D25"/>
  <c r="G13"/>
  <c r="G15"/>
  <c r="G17"/>
  <c r="G19"/>
  <c r="G21"/>
  <c r="G23"/>
  <c r="D195" i="13"/>
  <c r="C18" i="6"/>
  <c r="S34" i="21"/>
  <c r="S28"/>
  <c r="F45" i="24"/>
  <c r="A16" i="6"/>
  <c r="A17" s="1"/>
  <c r="A18" s="1"/>
  <c r="S25" i="21"/>
  <c r="S19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8"/>
  <c r="S24"/>
  <c r="S26"/>
  <c r="S22"/>
  <c r="L108" i="20"/>
  <c r="L14"/>
  <c r="L23"/>
  <c r="D16" i="10"/>
  <c r="D22"/>
  <c r="D21"/>
  <c r="G10" i="17"/>
  <c r="G24" s="1"/>
  <c r="F43" i="24"/>
  <c r="S32" i="21"/>
  <c r="S20"/>
  <c r="S31"/>
  <c r="S29"/>
  <c r="H35"/>
  <c r="L27" i="23"/>
  <c r="L14"/>
  <c r="F25" i="24"/>
  <c r="F23"/>
  <c r="F21"/>
  <c r="F19"/>
  <c r="F17"/>
  <c r="F15"/>
  <c r="F10" i="6"/>
  <c r="F27" i="18"/>
  <c r="D27" i="24"/>
  <c r="D59" s="1"/>
  <c r="A35" i="21" l="1"/>
  <c r="A36" s="1"/>
  <c r="A37" s="1"/>
  <c r="A38" i="22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L84"/>
  <c r="L17"/>
  <c r="G25" i="1"/>
  <c r="F27" i="24"/>
  <c r="L70" i="20"/>
  <c r="L93"/>
  <c r="K35" i="21"/>
  <c r="F22" i="10"/>
  <c r="F16"/>
  <c r="F23"/>
  <c r="F21"/>
  <c r="F18"/>
  <c r="L84" i="20"/>
  <c r="L35" i="21"/>
  <c r="L114" i="20"/>
  <c r="L11"/>
  <c r="L13" s="1"/>
  <c r="L15" s="1"/>
  <c r="L19" s="1"/>
  <c r="L21" s="1"/>
  <c r="L25" s="1"/>
  <c r="C14" i="6"/>
  <c r="D12" i="10"/>
  <c r="D25" s="1"/>
  <c r="S27" i="21"/>
  <c r="O35"/>
  <c r="F46" i="24"/>
  <c r="P35" i="21"/>
  <c r="L106" i="20"/>
  <c r="L117" i="22"/>
  <c r="L121" l="1"/>
  <c r="F12" i="10"/>
  <c r="F25" s="1"/>
  <c r="A68" i="22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76" i="20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L115"/>
  <c r="L118" s="1"/>
  <c r="L123" i="22"/>
  <c r="R35" i="21"/>
  <c r="Q35"/>
  <c r="S13"/>
  <c r="M35"/>
  <c r="F47" i="24"/>
  <c r="L125" i="22" l="1"/>
  <c r="F48" i="24"/>
  <c r="N35" i="21"/>
  <c r="S30"/>
  <c r="S35" l="1"/>
  <c r="S37" s="1"/>
  <c r="F49" i="24"/>
  <c r="F50" l="1"/>
  <c r="F51" l="1"/>
  <c r="F52" l="1"/>
  <c r="F53" l="1"/>
  <c r="F54" l="1"/>
  <c r="E61" l="1"/>
  <c r="F55"/>
  <c r="F61" s="1"/>
  <c r="E57"/>
  <c r="E59" l="1"/>
  <c r="F57"/>
  <c r="F59" s="1"/>
  <c r="E15" i="6" l="1"/>
  <c r="E14" s="1"/>
  <c r="F15" l="1"/>
  <c r="D14"/>
  <c r="D16" s="1"/>
  <c r="D18" s="1"/>
  <c r="F14"/>
  <c r="F16" s="1"/>
  <c r="F18" s="1"/>
</calcChain>
</file>

<file path=xl/comments1.xml><?xml version="1.0" encoding="utf-8"?>
<comments xmlns="http://schemas.openxmlformats.org/spreadsheetml/2006/main">
  <authors>
    <author>Kyle Sem</author>
  </authors>
  <commentList>
    <comment ref="B76" author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Acct 5100; Sub 2600 or 2700.</t>
        </r>
      </text>
    </comment>
  </commentList>
</comments>
</file>

<file path=xl/comments2.xml><?xml version="1.0" encoding="utf-8"?>
<comments xmlns="http://schemas.openxmlformats.org/spreadsheetml/2006/main">
  <authors>
    <author>Kyle Sem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Kyle Sem:</t>
        </r>
        <r>
          <rPr>
            <sz val="8"/>
            <color indexed="81"/>
            <rFont val="Tahoma"/>
            <family val="2"/>
          </rPr>
          <t xml:space="preserve">
Sort by BU 020 - Transmission.</t>
        </r>
      </text>
    </comment>
  </commentList>
</comments>
</file>

<file path=xl/comments3.xml><?xml version="1.0" encoding="utf-8"?>
<comments xmlns="http://schemas.openxmlformats.org/spreadsheetml/2006/main">
  <authors>
    <author>lmb1</author>
  </authors>
  <commentList>
    <comment ref="C82" authorId="0">
      <text>
        <r>
          <rPr>
            <b/>
            <sz val="8"/>
            <color indexed="81"/>
            <rFont val="Tahoma"/>
            <family val="2"/>
          </rPr>
          <t>lmb1:</t>
        </r>
        <r>
          <rPr>
            <sz val="8"/>
            <color indexed="81"/>
            <rFont val="Tahoma"/>
            <family val="2"/>
          </rPr>
          <t xml:space="preserve">
check with Sharon Henderson - ask for the rate applicable to the SD Gross Receipts levy to fund the Commissions expenses</t>
        </r>
      </text>
    </comment>
  </commentList>
</comments>
</file>

<file path=xl/sharedStrings.xml><?xml version="1.0" encoding="utf-8"?>
<sst xmlns="http://schemas.openxmlformats.org/spreadsheetml/2006/main" count="2080" uniqueCount="665">
  <si>
    <t>Otter Tail Power Company</t>
  </si>
  <si>
    <t>Analysis of Accumulated Depreciation &amp; Depreciation Expense</t>
  </si>
  <si>
    <t>(A)</t>
  </si>
  <si>
    <t>(B)</t>
  </si>
  <si>
    <t>(C)</t>
  </si>
  <si>
    <t>(D)</t>
  </si>
  <si>
    <t>(E)</t>
  </si>
  <si>
    <t>(G)</t>
  </si>
  <si>
    <t>(F)</t>
  </si>
  <si>
    <t>Line</t>
  </si>
  <si>
    <t>No.</t>
  </si>
  <si>
    <t>Production</t>
  </si>
  <si>
    <t>Transmission</t>
  </si>
  <si>
    <t>Distribution</t>
  </si>
  <si>
    <t>Intangible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</si>
  <si>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</si>
  <si>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</si>
  <si>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</si>
  <si>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</si>
  <si>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</si>
  <si>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</si>
  <si>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</si>
  <si>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</si>
  <si>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</si>
  <si>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</si>
  <si>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</si>
  <si>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</si>
  <si>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13-Month Average</t>
  </si>
  <si>
    <t>Plant Account Balances</t>
  </si>
  <si>
    <t>(H)</t>
  </si>
  <si>
    <t>(I)</t>
  </si>
  <si>
    <t>(J)</t>
  </si>
  <si>
    <t>FERC</t>
  </si>
  <si>
    <t>January</t>
  </si>
  <si>
    <t>Description</t>
  </si>
  <si>
    <t>Plant Held for Future Use</t>
  </si>
  <si>
    <t>Accumulated Deferred Income Tax</t>
  </si>
  <si>
    <t>Line No.</t>
  </si>
  <si>
    <t>Balance Per Books</t>
  </si>
  <si>
    <t>Change</t>
  </si>
  <si>
    <t>Materials and Supplies</t>
  </si>
  <si>
    <t>End of Month</t>
  </si>
  <si>
    <t>Total M&amp;S</t>
  </si>
  <si>
    <t>Prepayments</t>
  </si>
  <si>
    <t>Monthly Change</t>
  </si>
  <si>
    <t>Prepaid Insurance and Interest                 FERC 165</t>
  </si>
  <si>
    <t>Depreciation Expense</t>
  </si>
  <si>
    <t xml:space="preserve">  Steam (Excl Un Tr &amp; Ort)</t>
  </si>
  <si>
    <t xml:space="preserve">  Hydro</t>
  </si>
  <si>
    <t xml:space="preserve">  Other - I.C.</t>
  </si>
  <si>
    <t xml:space="preserve">  Other - Wind</t>
  </si>
  <si>
    <t xml:space="preserve">    Total Production</t>
  </si>
  <si>
    <t xml:space="preserve">  Transmission</t>
  </si>
  <si>
    <t xml:space="preserve">  Distribution</t>
  </si>
  <si>
    <t xml:space="preserve">  General (Excl Transp 392,390.2 &amp; WHSE</t>
  </si>
  <si>
    <t xml:space="preserve">  390.3,393,394.1 &amp; CAP A&amp;G)</t>
  </si>
  <si>
    <t xml:space="preserve">     Total</t>
  </si>
  <si>
    <t>Labor Ratios</t>
  </si>
  <si>
    <t>Function Labor</t>
  </si>
  <si>
    <t>Amount</t>
  </si>
  <si>
    <t>Portion of  Total</t>
  </si>
  <si>
    <t xml:space="preserve"> </t>
  </si>
  <si>
    <t>Customer Accounts</t>
  </si>
  <si>
    <t>Customer Service &amp; Information, &amp; Sales</t>
  </si>
  <si>
    <t>Budget 2009</t>
  </si>
  <si>
    <t>Less: Regional Market Labor</t>
  </si>
  <si>
    <t>Total Production</t>
  </si>
  <si>
    <t>Embedded Cost of Debt Capital</t>
  </si>
  <si>
    <t>(K)</t>
  </si>
  <si>
    <t>(L)</t>
  </si>
  <si>
    <t>(M)</t>
  </si>
  <si>
    <t>(N)</t>
  </si>
  <si>
    <t>(O)</t>
  </si>
  <si>
    <t>(P)</t>
  </si>
  <si>
    <t>(Q)</t>
  </si>
  <si>
    <t>Interest</t>
  </si>
  <si>
    <t>Principal Amounts Outstanding</t>
  </si>
  <si>
    <t>Balances</t>
  </si>
  <si>
    <t>Debentures</t>
  </si>
  <si>
    <t xml:space="preserve">  Total Debentures</t>
  </si>
  <si>
    <t>Pollution Control Revenue Bonds</t>
  </si>
  <si>
    <t>AJ Rate Series of 2012</t>
  </si>
  <si>
    <t>Varies</t>
  </si>
  <si>
    <t xml:space="preserve">    Total Poll Control </t>
  </si>
  <si>
    <t>Loss/Gain  on Reacquired Debt</t>
  </si>
  <si>
    <t>Total Long-Term Debt Capital</t>
  </si>
  <si>
    <t>Common Equity</t>
  </si>
  <si>
    <t>Title</t>
  </si>
  <si>
    <t>Contributed Capital</t>
  </si>
  <si>
    <t>Common Stock Balance</t>
  </si>
  <si>
    <t>Retained Earnings -</t>
  </si>
  <si>
    <t xml:space="preserve">   Beginning Balance   </t>
  </si>
  <si>
    <t>End of Month Balance</t>
  </si>
  <si>
    <t>Other Comprehensive Income</t>
  </si>
  <si>
    <t>Total Electric Common Equity</t>
  </si>
  <si>
    <t xml:space="preserve">   Net Income</t>
  </si>
  <si>
    <t xml:space="preserve">   Other</t>
  </si>
  <si>
    <t>Accounts</t>
  </si>
  <si>
    <t xml:space="preserve">   Station Equipment</t>
  </si>
  <si>
    <t xml:space="preserve">   Radio Load Control Equipment</t>
  </si>
  <si>
    <t>Steam Power Generation:</t>
  </si>
  <si>
    <t xml:space="preserve">   Supervision and Engineering</t>
  </si>
  <si>
    <t>401 - 500</t>
  </si>
  <si>
    <t xml:space="preserve">   Fuel</t>
  </si>
  <si>
    <t>401 - 501</t>
  </si>
  <si>
    <t xml:space="preserve">   Steam Expense</t>
  </si>
  <si>
    <t>401 - 502</t>
  </si>
  <si>
    <t xml:space="preserve">   Electrical Expense</t>
  </si>
  <si>
    <t>401 - 505</t>
  </si>
  <si>
    <t xml:space="preserve">   Miscellaneous Expense</t>
  </si>
  <si>
    <t>401 - 506</t>
  </si>
  <si>
    <t xml:space="preserve">   Rent</t>
  </si>
  <si>
    <t>401 - 507</t>
  </si>
  <si>
    <t>Maintenance:</t>
  </si>
  <si>
    <t>402 - 510</t>
  </si>
  <si>
    <t xml:space="preserve">   Structures</t>
  </si>
  <si>
    <t>402 - 511</t>
  </si>
  <si>
    <t xml:space="preserve">   Boiler</t>
  </si>
  <si>
    <t>402 - 512</t>
  </si>
  <si>
    <t xml:space="preserve">   Electric</t>
  </si>
  <si>
    <t>402 - 513</t>
  </si>
  <si>
    <t xml:space="preserve">   Miscellaneous</t>
  </si>
  <si>
    <t>402 - 514</t>
  </si>
  <si>
    <t>Hydro:</t>
  </si>
  <si>
    <t>401 - 535</t>
  </si>
  <si>
    <t xml:space="preserve">   Electric Expense</t>
  </si>
  <si>
    <t>401 - 538</t>
  </si>
  <si>
    <t>401 - 539</t>
  </si>
  <si>
    <t xml:space="preserve">   Supervision &amp; Engineering</t>
  </si>
  <si>
    <t>402 - 541</t>
  </si>
  <si>
    <t>402 - 542</t>
  </si>
  <si>
    <t xml:space="preserve">   Reservoirs - Dams</t>
  </si>
  <si>
    <t>402 - 543</t>
  </si>
  <si>
    <t>402 - 544</t>
  </si>
  <si>
    <t>402 - 545</t>
  </si>
  <si>
    <t>IC:</t>
  </si>
  <si>
    <t>401 - 546</t>
  </si>
  <si>
    <t>401 - 547</t>
  </si>
  <si>
    <t xml:space="preserve">   Generation Expense</t>
  </si>
  <si>
    <t>401 - 548</t>
  </si>
  <si>
    <t>401 - 549</t>
  </si>
  <si>
    <t xml:space="preserve">   Rents</t>
  </si>
  <si>
    <t>401 - 550</t>
  </si>
  <si>
    <t>402 - 551</t>
  </si>
  <si>
    <t>402 - 552</t>
  </si>
  <si>
    <t xml:space="preserve">   Generating and Electric</t>
  </si>
  <si>
    <t>402 - 553</t>
  </si>
  <si>
    <t>402 - 554</t>
  </si>
  <si>
    <t>Other Power Supply Expenses:</t>
  </si>
  <si>
    <t xml:space="preserve">   System Control and Dispatch</t>
  </si>
  <si>
    <t>401 - 556</t>
  </si>
  <si>
    <t xml:space="preserve">   Other Expenses</t>
  </si>
  <si>
    <t>401 - 557</t>
  </si>
  <si>
    <t>401 - 560</t>
  </si>
  <si>
    <t xml:space="preserve">   Load Dispatching</t>
  </si>
  <si>
    <t>401 - 561</t>
  </si>
  <si>
    <t xml:space="preserve">   Station Expense</t>
  </si>
  <si>
    <t>401 - 562</t>
  </si>
  <si>
    <t xml:space="preserve">   Overhead Lines</t>
  </si>
  <si>
    <t>401 - 563</t>
  </si>
  <si>
    <t xml:space="preserve">   Transmission of Electricity by Others</t>
  </si>
  <si>
    <t>401 - 565</t>
  </si>
  <si>
    <t>401 - 566</t>
  </si>
  <si>
    <t>401 - 567</t>
  </si>
  <si>
    <t>402 - 568</t>
  </si>
  <si>
    <t xml:space="preserve">   Computer Hardware, Software, etc</t>
  </si>
  <si>
    <t>402 - 569</t>
  </si>
  <si>
    <t>402 - 570</t>
  </si>
  <si>
    <t xml:space="preserve">   Overhead System</t>
  </si>
  <si>
    <t>402 - 571</t>
  </si>
  <si>
    <t xml:space="preserve">   Underground Lines</t>
  </si>
  <si>
    <t>402 - 572</t>
  </si>
  <si>
    <t xml:space="preserve">   Maintenance of Miscellaneous Plant</t>
  </si>
  <si>
    <t>402 - 573</t>
  </si>
  <si>
    <t xml:space="preserve">   Day-Ahead &amp; Real-Time and Transmission Market Expense</t>
  </si>
  <si>
    <t>401 - 575</t>
  </si>
  <si>
    <t xml:space="preserve">   Computer Software</t>
  </si>
  <si>
    <t>402 - 576</t>
  </si>
  <si>
    <t>Distribution Expense:</t>
  </si>
  <si>
    <t xml:space="preserve">   Operation, Supervision &amp; Engineering</t>
  </si>
  <si>
    <t>401 - 580</t>
  </si>
  <si>
    <t>401 - 581</t>
  </si>
  <si>
    <t xml:space="preserve">   Station Expenses</t>
  </si>
  <si>
    <t>401 - 582</t>
  </si>
  <si>
    <t xml:space="preserve">   Line Expenses</t>
  </si>
  <si>
    <t>401 - 583</t>
  </si>
  <si>
    <t xml:space="preserve">   Underground Line Expenses</t>
  </si>
  <si>
    <t>401 - 584</t>
  </si>
  <si>
    <t xml:space="preserve">   Streetlighting &amp; Signal System</t>
  </si>
  <si>
    <t>401 - 585</t>
  </si>
  <si>
    <t xml:space="preserve">     Not Used</t>
  </si>
  <si>
    <t>401 - 586.01</t>
  </si>
  <si>
    <t>401 - 586.02</t>
  </si>
  <si>
    <t>401 - 586.03</t>
  </si>
  <si>
    <t>401 - 586.04</t>
  </si>
  <si>
    <t>401 - 586.05</t>
  </si>
  <si>
    <t>401 - 586.06</t>
  </si>
  <si>
    <t>401 - 586.07</t>
  </si>
  <si>
    <t xml:space="preserve">   Meter Expenses:</t>
  </si>
  <si>
    <t>401 - 586</t>
  </si>
  <si>
    <t xml:space="preserve">   Other Distribution Expenses</t>
  </si>
  <si>
    <t>401 - 587</t>
  </si>
  <si>
    <t xml:space="preserve">   Miscellaneous Distribution Expenses</t>
  </si>
  <si>
    <t>401 - 588</t>
  </si>
  <si>
    <t>401 - 589</t>
  </si>
  <si>
    <t xml:space="preserve">   Maintenance, Supervision &amp; Engineering</t>
  </si>
  <si>
    <t>402 - 590</t>
  </si>
  <si>
    <t xml:space="preserve">   Maintenance of Station Equipment</t>
  </si>
  <si>
    <t>402 - 592</t>
  </si>
  <si>
    <t xml:space="preserve">   Maintenance of Overhead Lines</t>
  </si>
  <si>
    <t>402 - 593</t>
  </si>
  <si>
    <t xml:space="preserve">   Maintenance of Underground Lines</t>
  </si>
  <si>
    <t>402 - 594</t>
  </si>
  <si>
    <t xml:space="preserve">   Maintenance of Line Transformers</t>
  </si>
  <si>
    <t>402 - 595</t>
  </si>
  <si>
    <t xml:space="preserve">   Maintenance of Streetlighting &amp; Signal</t>
  </si>
  <si>
    <t>402 - 596</t>
  </si>
  <si>
    <t xml:space="preserve">   Maintenance of Meters:</t>
  </si>
  <si>
    <t>402 - 597.01</t>
  </si>
  <si>
    <t>402 - 597.02</t>
  </si>
  <si>
    <t>402 - 597.03</t>
  </si>
  <si>
    <t xml:space="preserve">   Maintenance of Property in A/C 371</t>
  </si>
  <si>
    <t>402 - 598</t>
  </si>
  <si>
    <t>Customer Accounting:</t>
  </si>
  <si>
    <t xml:space="preserve">   Supervision</t>
  </si>
  <si>
    <t>401 - 901</t>
  </si>
  <si>
    <t xml:space="preserve">   Meter Reading Expenses</t>
  </si>
  <si>
    <t>401 - 902</t>
  </si>
  <si>
    <t xml:space="preserve">   Customer Records &amp; Collection Expense</t>
  </si>
  <si>
    <t>401 - 903</t>
  </si>
  <si>
    <t xml:space="preserve">   Uncollectible Accounts</t>
  </si>
  <si>
    <t>401 - 904</t>
  </si>
  <si>
    <t xml:space="preserve">   Miscellaneous Expenses</t>
  </si>
  <si>
    <t>401 - 905</t>
  </si>
  <si>
    <t>Customer Service and Information Expense:</t>
  </si>
  <si>
    <t>401 - 907</t>
  </si>
  <si>
    <t xml:space="preserve">   Customer Assistance Expenses</t>
  </si>
  <si>
    <t xml:space="preserve">     Salary</t>
  </si>
  <si>
    <t>401 - 908</t>
  </si>
  <si>
    <t>401 - 908.2</t>
  </si>
  <si>
    <t>401 - 908.3</t>
  </si>
  <si>
    <t>401 - 908.4</t>
  </si>
  <si>
    <t>401 - 908.11</t>
  </si>
  <si>
    <t>401 - 908.12</t>
  </si>
  <si>
    <t>401 - 908.13</t>
  </si>
  <si>
    <t xml:space="preserve">     Conservation Investment Program - SD</t>
  </si>
  <si>
    <t>401 - 908.16</t>
  </si>
  <si>
    <t xml:space="preserve">     Conservation Investment Program - ND</t>
  </si>
  <si>
    <t>401 - 908.17</t>
  </si>
  <si>
    <t xml:space="preserve">     Conservation Investment Program - MN</t>
  </si>
  <si>
    <t>401 - 908.18</t>
  </si>
  <si>
    <t>401 - 908.22</t>
  </si>
  <si>
    <t>401 - 908.23</t>
  </si>
  <si>
    <t xml:space="preserve">     Info &amp; Instr Advertising Expense</t>
  </si>
  <si>
    <t>401 - 909</t>
  </si>
  <si>
    <t xml:space="preserve">     Miscellaneous Expenses</t>
  </si>
  <si>
    <t>401 - 910</t>
  </si>
  <si>
    <t>Sales Expenses:</t>
  </si>
  <si>
    <t xml:space="preserve">   Supervisory Labor and Expenses</t>
  </si>
  <si>
    <t>401 - 911</t>
  </si>
  <si>
    <t xml:space="preserve">   Minnesota Economic Development</t>
  </si>
  <si>
    <t>401 - 912</t>
  </si>
  <si>
    <t xml:space="preserve">   North Dakota Economic Development</t>
  </si>
  <si>
    <t xml:space="preserve">   South Dakota Economic Development</t>
  </si>
  <si>
    <t xml:space="preserve">   Labor - Sales &amp; Demonstrations</t>
  </si>
  <si>
    <t>401 - 912.04</t>
  </si>
  <si>
    <t xml:space="preserve">   Expenses - Sales &amp; Demonstrations</t>
  </si>
  <si>
    <t xml:space="preserve">   Not Used</t>
  </si>
  <si>
    <t>401 - 912.10</t>
  </si>
  <si>
    <t>401 - 912.11 &amp;12</t>
  </si>
  <si>
    <t>401 - 912.13</t>
  </si>
  <si>
    <t>401 - 912.14</t>
  </si>
  <si>
    <t>401 - 912.20</t>
  </si>
  <si>
    <t>401 - 912.21 &amp; .22</t>
  </si>
  <si>
    <t>401 - 912.23</t>
  </si>
  <si>
    <t>401 - 912.24</t>
  </si>
  <si>
    <t>401 - 912.30</t>
  </si>
  <si>
    <t>401 - 912.32</t>
  </si>
  <si>
    <t>401 - 912.33</t>
  </si>
  <si>
    <t>401 - 912.34</t>
  </si>
  <si>
    <t xml:space="preserve">   Advertising</t>
  </si>
  <si>
    <t>401 - 913</t>
  </si>
  <si>
    <t xml:space="preserve">   Communciations Services</t>
  </si>
  <si>
    <t>401 - 916</t>
  </si>
  <si>
    <t>401 - 916.02</t>
  </si>
  <si>
    <t>401 - 916.03</t>
  </si>
  <si>
    <t>401 - 916.04</t>
  </si>
  <si>
    <t>401 - 916.08</t>
  </si>
  <si>
    <t>401 - 916.10</t>
  </si>
  <si>
    <t>401 - 916.11</t>
  </si>
  <si>
    <t>401 - 916.12</t>
  </si>
  <si>
    <t>401 - 916.13</t>
  </si>
  <si>
    <t>401 - 916.20</t>
  </si>
  <si>
    <t>401 - 916.21</t>
  </si>
  <si>
    <t>401 - 916.22</t>
  </si>
  <si>
    <t>401 - 916.23</t>
  </si>
  <si>
    <t>401 - 916.30</t>
  </si>
  <si>
    <t>401 - 916.31</t>
  </si>
  <si>
    <t>401 - 916.32</t>
  </si>
  <si>
    <t>401 - 916.33</t>
  </si>
  <si>
    <t>Operating Expenses - Admin &amp; General:</t>
  </si>
  <si>
    <t xml:space="preserve">   Salaries, Office Supplies &amp; Expenses</t>
  </si>
  <si>
    <t>401 - 920</t>
  </si>
  <si>
    <t xml:space="preserve">   Various Admin &amp; General Expenses</t>
  </si>
  <si>
    <t>401 - 921</t>
  </si>
  <si>
    <t xml:space="preserve">   Capitalized Admin &amp; General Expenses</t>
  </si>
  <si>
    <t>401 - 922</t>
  </si>
  <si>
    <t xml:space="preserve">   Outside Services Employed</t>
  </si>
  <si>
    <t>401 - 923</t>
  </si>
  <si>
    <t xml:space="preserve">   Property Insurance</t>
  </si>
  <si>
    <t>401 - 924</t>
  </si>
  <si>
    <t xml:space="preserve">   Injuries &amp; Damages</t>
  </si>
  <si>
    <t>401 - 925</t>
  </si>
  <si>
    <t xml:space="preserve">   Employee Pensions &amp; Benefits</t>
  </si>
  <si>
    <t>401 - 926</t>
  </si>
  <si>
    <t xml:space="preserve">   Regulatory Commission Expenses</t>
  </si>
  <si>
    <t>401 - 928</t>
  </si>
  <si>
    <t xml:space="preserve">   Miscellaneous General Expenses</t>
  </si>
  <si>
    <t>401 - 930</t>
  </si>
  <si>
    <t xml:space="preserve">   Informational Advertising</t>
  </si>
  <si>
    <t>401 - 930.01</t>
  </si>
  <si>
    <t>401 - 931</t>
  </si>
  <si>
    <t xml:space="preserve">   Maintenance Expenses</t>
  </si>
  <si>
    <t>402 - 935</t>
  </si>
  <si>
    <t>402 - 935.06</t>
  </si>
  <si>
    <t>Subtotal</t>
  </si>
  <si>
    <t>Statement Amounts</t>
  </si>
  <si>
    <t>Less: 930.01 (Included in 930.0)</t>
  </si>
  <si>
    <t>Labor &amp; Travel Expenses</t>
  </si>
  <si>
    <t>Repair Parts&amp; Supplies</t>
  </si>
  <si>
    <t>Maintenance of Load Management Switches</t>
  </si>
  <si>
    <t>Total Operating Expenses - Admin &amp; General</t>
  </si>
  <si>
    <t>Investment Tax Credit</t>
  </si>
  <si>
    <t>Accout 255</t>
  </si>
  <si>
    <t>Current Year ITC Amortization</t>
  </si>
  <si>
    <t xml:space="preserve">North Dakota Wind ITC </t>
  </si>
  <si>
    <t>Account 283 Subtotal</t>
  </si>
  <si>
    <t>Simple Average Calculation</t>
  </si>
  <si>
    <t>Total Utility Accumulated Deferred Income Taxes Per Books</t>
  </si>
  <si>
    <t>Total Steam Power Generation</t>
  </si>
  <si>
    <t>Total Maintenance</t>
  </si>
  <si>
    <t>Total Hydro</t>
  </si>
  <si>
    <t>Total IC</t>
  </si>
  <si>
    <t>Total Other Power Supply Expenses</t>
  </si>
  <si>
    <t>Transmission:</t>
  </si>
  <si>
    <t>Total Distribution Expense</t>
  </si>
  <si>
    <t>Total Customer Accounting</t>
  </si>
  <si>
    <t>Total Customer Service and Information Expense</t>
  </si>
  <si>
    <t>Total Sales Expense</t>
  </si>
  <si>
    <t>Total Other</t>
  </si>
  <si>
    <t>Other:</t>
  </si>
  <si>
    <t>General &amp; Intangible</t>
  </si>
  <si>
    <t>CapX 2020 CWIP 13-Month Average</t>
  </si>
  <si>
    <t>CAPX 2020 Bemidji</t>
  </si>
  <si>
    <t>CAPX 2020 Fargo</t>
  </si>
  <si>
    <t>CAPX 2020 Brookings</t>
  </si>
  <si>
    <t>(103487)</t>
  </si>
  <si>
    <t>(103488)</t>
  </si>
  <si>
    <t>(103489)</t>
  </si>
  <si>
    <t>Operating and Maintenance Expense</t>
  </si>
  <si>
    <t>Net Prefunded AFUDC on CWIP</t>
  </si>
  <si>
    <t>Project</t>
  </si>
  <si>
    <t>Total Transmission O&amp;M for Attachment O</t>
  </si>
  <si>
    <t xml:space="preserve">                  Total Transmission</t>
  </si>
  <si>
    <t xml:space="preserve">                  Less: FERC 575 &amp; 576</t>
  </si>
  <si>
    <t>Administrative &amp; General Expense</t>
  </si>
  <si>
    <t>Administrative &amp; General Expenses</t>
  </si>
  <si>
    <t>FERC Annual Fees:</t>
  </si>
  <si>
    <t>Filing Fees</t>
  </si>
  <si>
    <t>(1)</t>
  </si>
  <si>
    <t>Above the Line Allocation Percentage</t>
  </si>
  <si>
    <t>(2)</t>
  </si>
  <si>
    <t>EPRI &amp; Regulatory Commission Expense &amp; Non-safety Ad:</t>
  </si>
  <si>
    <t>Regulatory Commission Expenses</t>
  </si>
  <si>
    <t>(3)</t>
  </si>
  <si>
    <t>Less: FERC Annual Fees</t>
  </si>
  <si>
    <t>Plus: Informational Advertising</t>
  </si>
  <si>
    <t>External Services - FERC Transmission Legal Fees</t>
  </si>
  <si>
    <t>Total A&amp;G Expenses</t>
  </si>
  <si>
    <t>BU</t>
  </si>
  <si>
    <t>CC</t>
  </si>
  <si>
    <t>Sub</t>
  </si>
  <si>
    <t>Activity</t>
  </si>
  <si>
    <t>Misc</t>
  </si>
  <si>
    <t>100</t>
  </si>
  <si>
    <t>010</t>
  </si>
  <si>
    <t>0570</t>
  </si>
  <si>
    <t>5101</t>
  </si>
  <si>
    <t>2500</t>
  </si>
  <si>
    <t>0980</t>
  </si>
  <si>
    <t>000000</t>
  </si>
  <si>
    <t>030</t>
  </si>
  <si>
    <t>5100</t>
  </si>
  <si>
    <t>1100</t>
  </si>
  <si>
    <t>0690</t>
  </si>
  <si>
    <t>0720</t>
  </si>
  <si>
    <t>0850</t>
  </si>
  <si>
    <t>0520</t>
  </si>
  <si>
    <t>Meals</t>
  </si>
  <si>
    <t>2600</t>
  </si>
  <si>
    <t>Travel</t>
  </si>
  <si>
    <t>5103</t>
  </si>
  <si>
    <t>0000</t>
  </si>
  <si>
    <t>External Services</t>
  </si>
  <si>
    <t>0670</t>
  </si>
  <si>
    <t>5110</t>
  </si>
  <si>
    <t>1000</t>
  </si>
  <si>
    <t>0600</t>
  </si>
  <si>
    <t>Filing Fees and Assessments</t>
  </si>
  <si>
    <t>0760</t>
  </si>
  <si>
    <t>5106</t>
  </si>
  <si>
    <t>2000</t>
  </si>
  <si>
    <t xml:space="preserve">Total </t>
  </si>
  <si>
    <t>Less: Corporate Amounts</t>
  </si>
  <si>
    <t>Item</t>
  </si>
  <si>
    <t>Account</t>
  </si>
  <si>
    <t>Sub-Acct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</si>
  <si>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</si>
  <si>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</si>
  <si>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</si>
  <si>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</si>
  <si>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</si>
  <si>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</si>
  <si>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</si>
  <si>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</si>
  <si>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</si>
  <si>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</si>
  <si>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</si>
  <si>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Property Taxes</t>
  </si>
  <si>
    <t>Total Coyote</t>
  </si>
  <si>
    <t>Total Less Non-Utility Property Taxes</t>
  </si>
  <si>
    <t>0360</t>
  </si>
  <si>
    <t>5107</t>
  </si>
  <si>
    <t>0530</t>
  </si>
  <si>
    <t>020</t>
  </si>
  <si>
    <t>1110</t>
  </si>
  <si>
    <t>2100</t>
  </si>
  <si>
    <t>0540</t>
  </si>
  <si>
    <t>1120</t>
  </si>
  <si>
    <t>5102</t>
  </si>
  <si>
    <t>5105</t>
  </si>
  <si>
    <t>4000</t>
  </si>
  <si>
    <t>5116</t>
  </si>
  <si>
    <t>0460</t>
  </si>
  <si>
    <t>Year</t>
  </si>
  <si>
    <t>Acct</t>
  </si>
  <si>
    <t>Acty</t>
  </si>
  <si>
    <t>Proj</t>
  </si>
  <si>
    <t>Co</t>
  </si>
  <si>
    <t>0310</t>
  </si>
  <si>
    <t>1500</t>
  </si>
  <si>
    <t>0320</t>
  </si>
  <si>
    <r>
      <t xml:space="preserve"> Less: </t>
    </r>
    <r>
      <rPr>
        <sz val="10"/>
        <rFont val="Arial"/>
        <family val="2"/>
      </rPr>
      <t>FERC Acct 5615 &amp; 5617</t>
    </r>
  </si>
  <si>
    <t>Total FERC Acct 561</t>
  </si>
  <si>
    <t>Totals</t>
  </si>
  <si>
    <t>Comp</t>
  </si>
  <si>
    <t>(1)  Not included in Attachment O calculation.</t>
  </si>
  <si>
    <t>FERC Account 561</t>
  </si>
  <si>
    <t>Revenues</t>
  </si>
  <si>
    <t>ITA Deficiency Payments</t>
  </si>
  <si>
    <t>Wheeling</t>
  </si>
  <si>
    <t>MISO Tariff Revenue</t>
  </si>
  <si>
    <t>4110</t>
  </si>
  <si>
    <t>4540</t>
  </si>
  <si>
    <t>Rent from Electric Property:</t>
  </si>
  <si>
    <t>Less: Wheeling</t>
  </si>
  <si>
    <t>Less: Schedule 1 &amp; 2 Revenue</t>
  </si>
  <si>
    <t>Other Electric Revenue:</t>
  </si>
  <si>
    <t>Total Other Electric Revenue</t>
  </si>
  <si>
    <t>Total Other Electric Revenue w/o Wheeling</t>
  </si>
  <si>
    <t>Less: Other Plant Related Taxes</t>
  </si>
  <si>
    <t xml:space="preserve">   Total Property Taxes</t>
  </si>
  <si>
    <t>Project (103487)</t>
  </si>
  <si>
    <t>MTEP No. 279</t>
  </si>
  <si>
    <t>Project (103488)</t>
  </si>
  <si>
    <t>MTEP No. 286</t>
  </si>
  <si>
    <t>Project (103489)</t>
  </si>
  <si>
    <t>MTEP No. 1203</t>
  </si>
  <si>
    <t>Project (103897)</t>
  </si>
  <si>
    <t>MTEP No. 1462</t>
  </si>
  <si>
    <t>13-Month Average CWIP and Plant Balances for GG Projects</t>
  </si>
  <si>
    <t>(1) CWIP Projects</t>
  </si>
  <si>
    <t>Total Depreciation Expense</t>
  </si>
  <si>
    <t>13-Month Average Accumulated Depreciation and Net Plant for GG Projects</t>
  </si>
  <si>
    <t>13-Month Net Plant Balance</t>
  </si>
  <si>
    <t>13-Month Average A/D</t>
  </si>
  <si>
    <t>Accumulated</t>
  </si>
  <si>
    <t>Depreciation</t>
  </si>
  <si>
    <t>Rugby - G380</t>
  </si>
  <si>
    <t>FERC Account 190 Accumulated Deferred Income Taxes  - Utility</t>
  </si>
  <si>
    <t>FERC Account 282 ADIT - Utility operations</t>
  </si>
  <si>
    <t>FERC Account 283 ADIT Other utility operations</t>
  </si>
  <si>
    <t>FERC Account 283.10 ADIT Big Stone</t>
  </si>
  <si>
    <t>401 - 540</t>
  </si>
  <si>
    <t>402 - 597</t>
  </si>
  <si>
    <t>Inventory Balances</t>
  </si>
  <si>
    <t>FERC1</t>
  </si>
  <si>
    <t>FERC2</t>
  </si>
  <si>
    <t>45400</t>
  </si>
  <si>
    <t>0480</t>
  </si>
  <si>
    <t>0100</t>
  </si>
  <si>
    <t>0200</t>
  </si>
  <si>
    <t>0270</t>
  </si>
  <si>
    <t>100570</t>
  </si>
  <si>
    <t>0960</t>
  </si>
  <si>
    <t>100760</t>
  </si>
  <si>
    <t>0990</t>
  </si>
  <si>
    <t>2700</t>
  </si>
  <si>
    <t>9999</t>
  </si>
  <si>
    <t>100320</t>
  </si>
  <si>
    <t>100460</t>
  </si>
  <si>
    <t>100310</t>
  </si>
  <si>
    <t>100850</t>
  </si>
  <si>
    <t>0750</t>
  </si>
  <si>
    <t>0860</t>
  </si>
  <si>
    <t>104098</t>
  </si>
  <si>
    <t>104099</t>
  </si>
  <si>
    <t>100670</t>
  </si>
  <si>
    <t>100200</t>
  </si>
  <si>
    <t>100693</t>
  </si>
  <si>
    <t>103857</t>
  </si>
  <si>
    <t>100860</t>
  </si>
  <si>
    <t>100690</t>
  </si>
  <si>
    <t>1270</t>
  </si>
  <si>
    <t>Series for 2011</t>
  </si>
  <si>
    <t>Series 2017 Cascade</t>
  </si>
  <si>
    <t>Unsecured Series A 2017 Senior Notes</t>
  </si>
  <si>
    <t>Unsecured Series B 2022 Senior Notes</t>
  </si>
  <si>
    <t>Unsecured Series C 2027 Senior Notes</t>
  </si>
  <si>
    <t>Series D 2037 Unsecured Senior Notes</t>
  </si>
  <si>
    <t>Variable Rate Series 2011 - Wind Development - Luverne</t>
  </si>
  <si>
    <t>Dividend Series</t>
  </si>
  <si>
    <t>Formerly $3.60 Dividend Series, 60,000 shares</t>
  </si>
  <si>
    <t>Formerly $4.40 Dividend Series, 25,000 shares</t>
  </si>
  <si>
    <t>Formerly $4.65 Dividend Series, 30,000 shares</t>
  </si>
  <si>
    <t>Formerly $6.75 Dividend Series, 40,000 shares</t>
  </si>
  <si>
    <t>Total Dividend Series</t>
  </si>
  <si>
    <t>General &amp;</t>
  </si>
  <si>
    <r>
      <rPr>
        <b/>
        <sz val="10"/>
        <color indexed="8"/>
        <rFont val="Arial"/>
        <family val="2"/>
      </rPr>
      <t>Note:</t>
    </r>
    <r>
      <rPr>
        <sz val="10"/>
        <color indexed="8"/>
        <rFont val="Arial"/>
        <family val="2"/>
      </rPr>
      <t xml:space="preserve"> The balances included on the CWIP work paper, Page 3, are net of any accrued AFUDC.</t>
    </r>
  </si>
  <si>
    <t>Actual</t>
  </si>
  <si>
    <t>Less: Schedule 26 Revenue</t>
  </si>
  <si>
    <t>MISO Scehdule 10 Charges</t>
  </si>
  <si>
    <t>Filing Fees Recorded Above the Line for Regulatory Purposes</t>
  </si>
  <si>
    <t>Total FERC Annual Fees to Remove from Attachment O; Pg 3; Line 4</t>
  </si>
  <si>
    <t>(1)  Found below</t>
  </si>
  <si>
    <t>(4)  Reported on FERC Form 1; Pg 350.8.b</t>
  </si>
  <si>
    <t>(1); (4)</t>
  </si>
  <si>
    <t>Ties to FERC Form 1, P300, L19</t>
  </si>
  <si>
    <t>BU = Business Unit</t>
  </si>
  <si>
    <t>BU 010 = Generation</t>
  </si>
  <si>
    <t>BU 020 = Transmission</t>
  </si>
  <si>
    <t>BU 030 = Distribution</t>
  </si>
  <si>
    <t>December 2010</t>
  </si>
  <si>
    <t>January 2011</t>
  </si>
  <si>
    <t>Actual Year 2011</t>
  </si>
  <si>
    <t>Dec-11 Bal</t>
  </si>
  <si>
    <t>Actual 2011</t>
  </si>
  <si>
    <t>0620</t>
  </si>
  <si>
    <t>(3)  Pages 9-11</t>
  </si>
  <si>
    <t xml:space="preserve">(2)  Most recent actual year </t>
  </si>
  <si>
    <t>Actual Year Ending December 31, 2011</t>
  </si>
  <si>
    <t>Average</t>
  </si>
  <si>
    <t>13 Month Balances</t>
  </si>
  <si>
    <t xml:space="preserve">    Current Year Capital Contributions</t>
  </si>
  <si>
    <t xml:space="preserve">   Dividends </t>
  </si>
  <si>
    <t xml:space="preserve">4.630%  </t>
  </si>
  <si>
    <t xml:space="preserve"> Series for 2021</t>
  </si>
  <si>
    <t>Series 2017 PCR Bonds (BSP)</t>
  </si>
  <si>
    <t>Series 2022 PCR Bonds (Coyote)</t>
  </si>
  <si>
    <t xml:space="preserve">    Subtotal Bond Balances</t>
  </si>
  <si>
    <t>Rate of</t>
  </si>
  <si>
    <t>Average Monthly</t>
  </si>
  <si>
    <t>Interest Cost</t>
  </si>
  <si>
    <t xml:space="preserve">                     </t>
  </si>
  <si>
    <t xml:space="preserve">    </t>
  </si>
  <si>
    <t>0000 - [None]</t>
  </si>
  <si>
    <t>1020 - Hoot Lake Plant</t>
  </si>
  <si>
    <t>1100 - BSP-Administrative</t>
  </si>
  <si>
    <t>1200 - COY-Administrative</t>
  </si>
  <si>
    <t>1230 - COY-Operations</t>
  </si>
  <si>
    <t>1290 - COY-Partners Share</t>
  </si>
  <si>
    <t>1310 - Hoot Lake Hydro</t>
  </si>
  <si>
    <t>1320 - Wright Hydro</t>
  </si>
  <si>
    <t>1330 - Pisgah Hydro</t>
  </si>
  <si>
    <t>1340 - Dayton Hollow Hydro</t>
  </si>
  <si>
    <t>1350 - Taplin Gorge Hydro</t>
  </si>
  <si>
    <t>1380 - Bemidji Hydro</t>
  </si>
  <si>
    <t>1400 - Jamestown CT#1</t>
  </si>
  <si>
    <t>1410 - Lake Preston CT#1</t>
  </si>
  <si>
    <t>1420 - Jamestown CT#2</t>
  </si>
  <si>
    <t>1430 - FF Control Center CT#1</t>
  </si>
  <si>
    <t>1440 - Solway CT#1</t>
  </si>
  <si>
    <t>1600 - Langdon Wind Energy Center</t>
  </si>
  <si>
    <t>1610 - Ashtabula Wind Energy Center</t>
  </si>
  <si>
    <t>1620 - Luverne Wind Farm</t>
  </si>
  <si>
    <t>1980 - Central Stores</t>
  </si>
  <si>
    <t>1990 - Transportation</t>
  </si>
  <si>
    <t>For the 13 Months Ended December 31, 2011</t>
  </si>
  <si>
    <t>2011 Simple Average Calculation</t>
  </si>
  <si>
    <t xml:space="preserve"> 12 Month Ended 12/31/11</t>
  </si>
  <si>
    <t>0531</t>
  </si>
  <si>
    <t>0532</t>
  </si>
  <si>
    <t>0533</t>
  </si>
  <si>
    <t>0534</t>
  </si>
  <si>
    <t>0535</t>
  </si>
  <si>
    <t>01580</t>
  </si>
  <si>
    <t>0260</t>
  </si>
  <si>
    <t>0300</t>
  </si>
  <si>
    <t>1690</t>
  </si>
  <si>
    <t>(1); (2)</t>
  </si>
  <si>
    <t>(2) Includes $8,706,421 of Capitalized Plant in Service in December 2011.</t>
  </si>
  <si>
    <t>Average Thirteen Monthly Balances, Actual Year Ending December 31, 2011</t>
  </si>
  <si>
    <t>Year 2011</t>
  </si>
  <si>
    <t>Effective Tax Rates</t>
  </si>
  <si>
    <t xml:space="preserve">(2) </t>
  </si>
  <si>
    <t>Tax Rates:</t>
  </si>
  <si>
    <t xml:space="preserve">(1) </t>
  </si>
  <si>
    <t>SD Special Hearing Fund Assessment Rate:</t>
  </si>
  <si>
    <t xml:space="preserve">  Minnesota</t>
  </si>
  <si>
    <t xml:space="preserve">  North Dakota</t>
  </si>
  <si>
    <t>Federal</t>
  </si>
  <si>
    <t>Minnesota</t>
  </si>
  <si>
    <t>North Dakota</t>
  </si>
  <si>
    <t xml:space="preserve">          ==&gt;  Minnesota</t>
  </si>
  <si>
    <t xml:space="preserve">  Income</t>
  </si>
  <si>
    <t xml:space="preserve">  MN Income Tax</t>
  </si>
  <si>
    <t xml:space="preserve">  Federal Tax Rate</t>
  </si>
  <si>
    <t xml:space="preserve">  Total Tax</t>
  </si>
  <si>
    <t xml:space="preserve">  Effective Tax Rates - MN</t>
  </si>
  <si>
    <t>Gross Revenue Conversion Factor:</t>
  </si>
  <si>
    <t>1 / (1 - Total ETR)</t>
  </si>
  <si>
    <t xml:space="preserve">          ==&gt;  North Dakota</t>
  </si>
  <si>
    <t xml:space="preserve">  ND / Federal Income Tax</t>
  </si>
  <si>
    <t xml:space="preserve">  Effective Tax Rates - ND</t>
  </si>
  <si>
    <t xml:space="preserve">          ==&gt;  South Dakota</t>
  </si>
  <si>
    <t xml:space="preserve">  Effective Tax Rates - SD</t>
  </si>
  <si>
    <t xml:space="preserve">    (No State Income Tax in South Dakota)</t>
  </si>
  <si>
    <t>SD Gross Revenue Conversion Factor:</t>
  </si>
  <si>
    <t xml:space="preserve">  (Including Recognition of SD Special Hearing Fund Assessment)</t>
  </si>
  <si>
    <t xml:space="preserve">      Where "X" = Gross Revenue Deficiency</t>
  </si>
  <si>
    <t xml:space="preserve">            "Y" = Conversion Factor</t>
  </si>
  <si>
    <t xml:space="preserve">          .0015 = SDPUC Special Hearing Fund Assessment</t>
  </si>
  <si>
    <t xml:space="preserve"> = Federal Tax Rate</t>
  </si>
  <si>
    <t>X = [X - .0015X - [(X - .0015X) * .34]] * Y</t>
  </si>
  <si>
    <t>X = [.9985X - (.9985X * .34)] * Y</t>
  </si>
  <si>
    <t>X = (.9985X - .33949X) * Y</t>
  </si>
  <si>
    <t>X = .65901XY</t>
  </si>
  <si>
    <t>1 = .65901Y</t>
  </si>
  <si>
    <t xml:space="preserve">Y = </t>
  </si>
  <si>
    <t xml:space="preserve">          ==&gt;  Total Company</t>
  </si>
  <si>
    <t xml:space="preserve">  Effective Tax Rates - System</t>
  </si>
  <si>
    <t>C-4, Page 2 of 2</t>
  </si>
  <si>
    <t>Per OTP Accounting Dept - see email "RE SD Special Hearing Fund Assessment Rate" in 2011 Actual Misc COSS WP's folder</t>
  </si>
  <si>
    <t>FERC revenue apportioned to all 3 states to use system tax rate in FERC filing, C-4, Page 2 of 2</t>
  </si>
  <si>
    <t>Effective Tax Rate</t>
  </si>
  <si>
    <t>Otter Tail Corporation</t>
  </si>
  <si>
    <t>(Stand Alone)</t>
  </si>
  <si>
    <t>YE Accrual 2011</t>
  </si>
  <si>
    <t>Income</t>
  </si>
  <si>
    <t>Tax Expense Deductions</t>
  </si>
  <si>
    <t>Appotionment Factor (OTP Separate)</t>
  </si>
  <si>
    <t>Taxable Income</t>
  </si>
  <si>
    <t>Tax Rate</t>
  </si>
  <si>
    <t>Tax</t>
  </si>
  <si>
    <t>Rate to Use:  (Insert for Rounding)</t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</si>
</sst>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_)"/>
    <numFmt numFmtId="167" formatCode="hh:mm\ AM/PM_)"/>
    <numFmt numFmtId="168" formatCode="dd\-mmm\-yy_)"/>
    <numFmt numFmtId="169" formatCode="#,##0;\-#,##0;&quot;-&quot;"/>
    <numFmt numFmtId="170" formatCode="#,##0.00&quot;£&quot;_);\(#,##0.00&quot;£&quot;\)"/>
    <numFmt numFmtId="171" formatCode="mm/dd/yy"/>
    <numFmt numFmtId="172" formatCode="0.000%"/>
    <numFmt numFmtId="173" formatCode="0.000000_)"/>
    <numFmt numFmtId="174" formatCode="0_)"/>
    <numFmt numFmtId="175" formatCode="_(* #,##0.0000000_);_(* \(#,##0.0000000\);_(* &quot;-&quot;??_);_(@_)"/>
    <numFmt numFmtId="176" formatCode="000"/>
    <numFmt numFmtId="177" formatCode="0000"/>
    <numFmt numFmtId="178" formatCode="000000"/>
    <numFmt numFmtId="179" formatCode="00000"/>
    <numFmt numFmtId="180" formatCode="0.0000_)"/>
    <numFmt numFmtId="181" formatCode="0.0_)"/>
    <numFmt numFmtId="182" formatCode="0.00_)"/>
    <numFmt numFmtId="183" formatCode="0.0%"/>
    <numFmt numFmtId="184" formatCode="0.0000%"/>
  </numFmts>
  <fonts count="61">
    <font>
      <sz val="12"/>
      <name val="Arial MT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indexed="8"/>
      <name val="Arial"/>
      <family val="2"/>
    </font>
    <font>
      <b/>
      <sz val="12"/>
      <name val="Arial MT"/>
    </font>
    <font>
      <b/>
      <sz val="18"/>
      <color indexed="56"/>
      <name val="Cambria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52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62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b/>
      <sz val="12"/>
      <color indexed="63"/>
      <name val="Tahoma"/>
      <family val="2"/>
    </font>
    <font>
      <b/>
      <sz val="12"/>
      <color indexed="8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19"/>
      <name val="Tahoma"/>
      <family val="2"/>
    </font>
    <font>
      <b/>
      <sz val="18"/>
      <color indexed="62"/>
      <name val="Cambri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MT"/>
    </font>
    <font>
      <b/>
      <sz val="12"/>
      <name val="TimesNewRomanP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 MT"/>
    </font>
    <font>
      <sz val="10"/>
      <color theme="1"/>
      <name val="Arial MT"/>
      <family val="2"/>
    </font>
    <font>
      <b/>
      <sz val="10"/>
      <color theme="1"/>
      <name val="Arial MT"/>
    </font>
    <font>
      <b/>
      <sz val="10"/>
      <color theme="1"/>
      <name val="Arial MT"/>
      <family val="2"/>
    </font>
    <font>
      <sz val="10"/>
      <color theme="3" tint="-0.499984740745262"/>
      <name val="Arial MT"/>
    </font>
    <font>
      <u val="double"/>
      <sz val="10"/>
      <color theme="1"/>
      <name val="Arial MT"/>
      <family val="2"/>
    </font>
    <font>
      <sz val="10"/>
      <color theme="1"/>
      <name val="Courier"/>
      <family val="3"/>
    </font>
    <font>
      <b/>
      <sz val="10"/>
      <color theme="3" tint="-0.499984740745262"/>
      <name val="Arial MT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23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4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21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10" fillId="0" borderId="1">
      <alignment horizontal="right"/>
    </xf>
    <xf numFmtId="169" fontId="8" fillId="0" borderId="0" applyFill="0" applyBorder="0" applyAlignment="0"/>
    <xf numFmtId="0" fontId="25" fillId="24" borderId="2" applyNumberFormat="0" applyAlignment="0" applyProtection="0"/>
    <xf numFmtId="0" fontId="38" fillId="25" borderId="2" applyNumberFormat="0" applyAlignment="0" applyProtection="0"/>
    <xf numFmtId="0" fontId="26" fillId="26" borderId="3" applyNumberFormat="0" applyAlignment="0" applyProtection="0"/>
    <xf numFmtId="43" fontId="5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3" fillId="0" borderId="0" applyNumberFormat="0" applyAlignment="0">
      <alignment horizontal="left"/>
    </xf>
    <xf numFmtId="0" fontId="10" fillId="0" borderId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7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38" fontId="15" fillId="27" borderId="0" applyNumberFormat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0" fontId="29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31" fillId="0" borderId="10" applyNumberFormat="0" applyFill="0" applyAlignment="0" applyProtection="0"/>
    <xf numFmtId="0" fontId="4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0" fontId="15" fillId="28" borderId="12" applyNumberFormat="0" applyBorder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12" borderId="2" applyNumberFormat="0" applyAlignment="0" applyProtection="0"/>
    <xf numFmtId="0" fontId="32" fillId="12" borderId="2" applyNumberFormat="0" applyAlignment="0" applyProtection="0"/>
    <xf numFmtId="0" fontId="32" fillId="12" borderId="2" applyNumberFormat="0" applyAlignment="0" applyProtection="0"/>
    <xf numFmtId="0" fontId="33" fillId="0" borderId="13" applyNumberFormat="0" applyFill="0" applyAlignment="0" applyProtection="0"/>
    <xf numFmtId="0" fontId="37" fillId="0" borderId="14" applyNumberFormat="0" applyFill="0" applyAlignment="0" applyProtection="0"/>
    <xf numFmtId="0" fontId="34" fillId="12" borderId="0" applyNumberFormat="0" applyBorder="0" applyAlignment="0" applyProtection="0"/>
    <xf numFmtId="0" fontId="42" fillId="12" borderId="0" applyNumberFormat="0" applyBorder="0" applyAlignment="0" applyProtection="0"/>
    <xf numFmtId="170" fontId="9" fillId="0" borderId="0"/>
    <xf numFmtId="170" fontId="6" fillId="0" borderId="0"/>
    <xf numFmtId="0" fontId="11" fillId="0" borderId="0"/>
    <xf numFmtId="0" fontId="11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6" fillId="0" borderId="0"/>
    <xf numFmtId="0" fontId="46" fillId="0" borderId="0"/>
    <xf numFmtId="0" fontId="11" fillId="0" borderId="0"/>
    <xf numFmtId="0" fontId="46" fillId="0" borderId="0"/>
    <xf numFmtId="0" fontId="5" fillId="0" borderId="0"/>
    <xf numFmtId="0" fontId="8" fillId="0" borderId="0"/>
    <xf numFmtId="0" fontId="6" fillId="0" borderId="0"/>
    <xf numFmtId="39" fontId="2" fillId="0" borderId="0"/>
    <xf numFmtId="0" fontId="46" fillId="0" borderId="0"/>
    <xf numFmtId="0" fontId="2" fillId="0" borderId="0"/>
    <xf numFmtId="0" fontId="11" fillId="0" borderId="0"/>
    <xf numFmtId="0" fontId="46" fillId="0" borderId="0"/>
    <xf numFmtId="0" fontId="11" fillId="0" borderId="0"/>
    <xf numFmtId="0" fontId="2" fillId="7" borderId="15" applyNumberFormat="0" applyFont="0" applyAlignment="0" applyProtection="0"/>
    <xf numFmtId="0" fontId="11" fillId="7" borderId="15" applyNumberFormat="0" applyFont="0" applyAlignment="0" applyProtection="0"/>
    <xf numFmtId="0" fontId="35" fillId="24" borderId="16" applyNumberFormat="0" applyAlignment="0" applyProtection="0"/>
    <xf numFmtId="0" fontId="35" fillId="25" borderId="16" applyNumberFormat="0" applyAlignment="0" applyProtection="0"/>
    <xf numFmtId="10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17" fillId="0" borderId="0" applyNumberFormat="0" applyFill="0" applyBorder="0" applyAlignment="0" applyProtection="0">
      <alignment horizontal="left"/>
    </xf>
    <xf numFmtId="40" fontId="18" fillId="0" borderId="0" applyBorder="0">
      <alignment horizontal="right"/>
    </xf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39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2" fillId="12" borderId="2" applyNumberFormat="0" applyAlignment="0" applyProtection="0"/>
    <xf numFmtId="39" fontId="2" fillId="0" borderId="0"/>
    <xf numFmtId="43" fontId="1" fillId="0" borderId="0" applyFont="0" applyFill="0" applyBorder="0" applyAlignment="0" applyProtection="0"/>
    <xf numFmtId="39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83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7" fontId="4" fillId="0" borderId="27" xfId="0" quotePrefix="1" applyNumberFormat="1" applyFont="1" applyBorder="1"/>
    <xf numFmtId="164" fontId="4" fillId="0" borderId="0" xfId="53" applyNumberFormat="1" applyFont="1" applyBorder="1"/>
    <xf numFmtId="164" fontId="4" fillId="0" borderId="28" xfId="53" applyNumberFormat="1" applyFont="1" applyBorder="1"/>
    <xf numFmtId="0" fontId="4" fillId="0" borderId="29" xfId="0" applyFont="1" applyBorder="1" applyAlignment="1">
      <alignment horizontal="center"/>
    </xf>
    <xf numFmtId="0" fontId="4" fillId="0" borderId="27" xfId="0" quotePrefix="1" applyFont="1" applyBorder="1"/>
    <xf numFmtId="0" fontId="4" fillId="0" borderId="27" xfId="0" applyFont="1" applyBorder="1"/>
    <xf numFmtId="164" fontId="4" fillId="0" borderId="21" xfId="53" applyNumberFormat="1" applyFont="1" applyBorder="1"/>
    <xf numFmtId="164" fontId="4" fillId="0" borderId="22" xfId="53" applyNumberFormat="1" applyFont="1" applyBorder="1"/>
    <xf numFmtId="0" fontId="4" fillId="0" borderId="24" xfId="0" applyFont="1" applyBorder="1"/>
    <xf numFmtId="164" fontId="4" fillId="0" borderId="25" xfId="53" applyNumberFormat="1" applyFont="1" applyBorder="1"/>
    <xf numFmtId="164" fontId="4" fillId="0" borderId="26" xfId="53" applyNumberFormat="1" applyFont="1" applyBorder="1"/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53" applyNumberFormat="1" applyFont="1" applyBorder="1" applyAlignment="1">
      <alignment horizontal="center"/>
    </xf>
    <xf numFmtId="0" fontId="47" fillId="0" borderId="0" xfId="135" applyFont="1" applyAlignment="1">
      <alignment horizontal="center"/>
    </xf>
    <xf numFmtId="0" fontId="47" fillId="0" borderId="0" xfId="135" applyFont="1"/>
    <xf numFmtId="0" fontId="47" fillId="0" borderId="0" xfId="135" applyFont="1" applyFill="1"/>
    <xf numFmtId="0" fontId="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Protection="1">
      <protection locked="0"/>
    </xf>
    <xf numFmtId="0" fontId="47" fillId="0" borderId="0" xfId="0" applyFont="1"/>
    <xf numFmtId="0" fontId="47" fillId="0" borderId="0" xfId="0" applyFont="1" applyAlignment="1" applyProtection="1">
      <alignment horizontal="right"/>
      <protection locked="0"/>
    </xf>
    <xf numFmtId="168" fontId="47" fillId="0" borderId="0" xfId="0" applyNumberFormat="1" applyFont="1" applyAlignment="1" applyProtection="1">
      <alignment horizontal="left"/>
      <protection locked="0"/>
    </xf>
    <xf numFmtId="0" fontId="47" fillId="0" borderId="0" xfId="0" applyFont="1" applyFill="1"/>
    <xf numFmtId="0" fontId="47" fillId="0" borderId="0" xfId="0" applyFont="1" applyAlignment="1" applyProtection="1">
      <alignment horizontal="centerContinuous"/>
      <protection locked="0"/>
    </xf>
    <xf numFmtId="0" fontId="48" fillId="0" borderId="0" xfId="0" applyFont="1" applyFill="1"/>
    <xf numFmtId="0" fontId="47" fillId="0" borderId="0" xfId="0" applyFont="1" applyAlignment="1" applyProtection="1">
      <alignment horizontal="center"/>
    </xf>
    <xf numFmtId="0" fontId="47" fillId="0" borderId="12" xfId="0" applyFont="1" applyBorder="1" applyAlignment="1">
      <alignment horizontal="center" wrapText="1"/>
    </xf>
    <xf numFmtId="0" fontId="48" fillId="0" borderId="38" xfId="0" applyFont="1" applyBorder="1" applyProtection="1">
      <protection locked="0"/>
    </xf>
    <xf numFmtId="0" fontId="48" fillId="0" borderId="39" xfId="0" applyFont="1" applyFill="1" applyBorder="1" applyAlignment="1" applyProtection="1">
      <alignment horizontal="center"/>
      <protection locked="0"/>
    </xf>
    <xf numFmtId="0" fontId="47" fillId="0" borderId="29" xfId="0" applyFont="1" applyBorder="1" applyAlignment="1">
      <alignment horizontal="center"/>
    </xf>
    <xf numFmtId="0" fontId="48" fillId="0" borderId="27" xfId="0" applyFont="1" applyBorder="1" applyProtection="1">
      <protection locked="0"/>
    </xf>
    <xf numFmtId="0" fontId="47" fillId="0" borderId="0" xfId="0" applyFont="1" applyFill="1" applyBorder="1"/>
    <xf numFmtId="0" fontId="47" fillId="0" borderId="27" xfId="0" applyFont="1" applyBorder="1" applyProtection="1">
      <protection locked="0"/>
    </xf>
    <xf numFmtId="37" fontId="47" fillId="0" borderId="28" xfId="0" applyNumberFormat="1" applyFont="1" applyFill="1" applyBorder="1" applyProtection="1">
      <protection locked="0"/>
    </xf>
    <xf numFmtId="37" fontId="47" fillId="0" borderId="28" xfId="0" applyNumberFormat="1" applyFont="1" applyFill="1" applyBorder="1" applyProtection="1"/>
    <xf numFmtId="0" fontId="47" fillId="0" borderId="23" xfId="0" applyFont="1" applyBorder="1" applyAlignment="1">
      <alignment horizontal="center"/>
    </xf>
    <xf numFmtId="0" fontId="47" fillId="0" borderId="24" xfId="0" applyFont="1" applyBorder="1" applyProtection="1">
      <protection locked="0"/>
    </xf>
    <xf numFmtId="37" fontId="47" fillId="0" borderId="26" xfId="0" applyNumberFormat="1" applyFont="1" applyFill="1" applyBorder="1" applyProtection="1">
      <protection locked="0"/>
    </xf>
    <xf numFmtId="37" fontId="47" fillId="0" borderId="0" xfId="0" applyNumberFormat="1" applyFont="1"/>
    <xf numFmtId="0" fontId="7" fillId="0" borderId="0" xfId="0" applyFont="1" applyAlignment="1">
      <alignment horizontal="centerContinuous"/>
    </xf>
    <xf numFmtId="0" fontId="47" fillId="0" borderId="27" xfId="0" applyFont="1" applyBorder="1" applyAlignment="1" applyProtection="1">
      <alignment horizontal="left"/>
      <protection locked="0"/>
    </xf>
    <xf numFmtId="0" fontId="6" fillId="0" borderId="0" xfId="135" applyFont="1" applyAlignment="1">
      <alignment horizontal="center"/>
    </xf>
    <xf numFmtId="0" fontId="7" fillId="0" borderId="12" xfId="135" applyFont="1" applyBorder="1" applyAlignment="1">
      <alignment horizontal="center" wrapText="1"/>
    </xf>
    <xf numFmtId="0" fontId="4" fillId="0" borderId="0" xfId="142" applyFont="1"/>
    <xf numFmtId="0" fontId="3" fillId="0" borderId="0" xfId="142" applyFont="1"/>
    <xf numFmtId="0" fontId="4" fillId="0" borderId="0" xfId="142" applyFont="1" applyAlignment="1">
      <alignment horizontal="center"/>
    </xf>
    <xf numFmtId="0" fontId="4" fillId="0" borderId="19" xfId="142" applyFont="1" applyBorder="1" applyAlignment="1">
      <alignment horizontal="center"/>
    </xf>
    <xf numFmtId="17" fontId="4" fillId="0" borderId="27" xfId="142" quotePrefix="1" applyNumberFormat="1" applyFont="1" applyBorder="1"/>
    <xf numFmtId="164" fontId="4" fillId="0" borderId="0" xfId="86" applyNumberFormat="1" applyFont="1" applyBorder="1"/>
    <xf numFmtId="164" fontId="4" fillId="0" borderId="0" xfId="87" applyNumberFormat="1" applyFont="1"/>
    <xf numFmtId="164" fontId="4" fillId="0" borderId="28" xfId="86" applyNumberFormat="1" applyFont="1" applyBorder="1"/>
    <xf numFmtId="0" fontId="4" fillId="0" borderId="29" xfId="142" applyFont="1" applyBorder="1" applyAlignment="1">
      <alignment horizontal="center"/>
    </xf>
    <xf numFmtId="0" fontId="4" fillId="0" borderId="27" xfId="142" quotePrefix="1" applyFont="1" applyBorder="1"/>
    <xf numFmtId="0" fontId="4" fillId="0" borderId="27" xfId="142" applyFont="1" applyBorder="1"/>
    <xf numFmtId="0" fontId="4" fillId="0" borderId="24" xfId="142" applyFont="1" applyBorder="1"/>
    <xf numFmtId="164" fontId="4" fillId="0" borderId="25" xfId="86" applyNumberFormat="1" applyFont="1" applyBorder="1"/>
    <xf numFmtId="164" fontId="4" fillId="0" borderId="26" xfId="86" applyNumberFormat="1" applyFont="1" applyBorder="1"/>
    <xf numFmtId="0" fontId="4" fillId="0" borderId="21" xfId="142" applyFont="1" applyBorder="1" applyAlignment="1">
      <alignment horizontal="center"/>
    </xf>
    <xf numFmtId="0" fontId="4" fillId="0" borderId="0" xfId="142" applyFont="1" applyBorder="1" applyAlignment="1">
      <alignment horizontal="center"/>
    </xf>
    <xf numFmtId="164" fontId="4" fillId="0" borderId="0" xfId="86" applyNumberFormat="1" applyFont="1" applyBorder="1" applyAlignment="1">
      <alignment horizontal="center"/>
    </xf>
    <xf numFmtId="0" fontId="4" fillId="0" borderId="12" xfId="142" applyFont="1" applyBorder="1" applyAlignment="1">
      <alignment horizontal="center" wrapText="1"/>
    </xf>
    <xf numFmtId="0" fontId="3" fillId="0" borderId="38" xfId="142" applyFont="1" applyBorder="1"/>
    <xf numFmtId="0" fontId="3" fillId="0" borderId="5" xfId="142" applyFont="1" applyBorder="1" applyAlignment="1">
      <alignment horizontal="center"/>
    </xf>
    <xf numFmtId="0" fontId="3" fillId="0" borderId="5" xfId="142" applyFont="1" applyBorder="1" applyAlignment="1">
      <alignment horizontal="center" wrapText="1"/>
    </xf>
    <xf numFmtId="0" fontId="3" fillId="0" borderId="39" xfId="142" applyFont="1" applyBorder="1" applyAlignment="1">
      <alignment horizontal="center"/>
    </xf>
    <xf numFmtId="0" fontId="47" fillId="0" borderId="0" xfId="133" applyFont="1" applyAlignment="1">
      <alignment horizontal="center"/>
    </xf>
    <xf numFmtId="0" fontId="47" fillId="0" borderId="0" xfId="133" applyFont="1"/>
    <xf numFmtId="0" fontId="47" fillId="0" borderId="19" xfId="133" applyFont="1" applyBorder="1" applyAlignment="1">
      <alignment horizontal="center"/>
    </xf>
    <xf numFmtId="0" fontId="48" fillId="0" borderId="21" xfId="133" applyFont="1" applyBorder="1" applyAlignment="1">
      <alignment horizontal="center"/>
    </xf>
    <xf numFmtId="0" fontId="48" fillId="0" borderId="22" xfId="133" applyFont="1" applyBorder="1" applyAlignment="1">
      <alignment horizontal="center"/>
    </xf>
    <xf numFmtId="0" fontId="48" fillId="0" borderId="27" xfId="133" applyFont="1" applyBorder="1" applyAlignment="1">
      <alignment horizontal="center"/>
    </xf>
    <xf numFmtId="0" fontId="48" fillId="0" borderId="0" xfId="133" applyFont="1" applyBorder="1" applyAlignment="1">
      <alignment horizontal="center"/>
    </xf>
    <xf numFmtId="0" fontId="48" fillId="0" borderId="28" xfId="133" applyFont="1" applyBorder="1" applyAlignment="1">
      <alignment horizontal="center"/>
    </xf>
    <xf numFmtId="0" fontId="47" fillId="0" borderId="23" xfId="133" applyFont="1" applyBorder="1" applyAlignment="1">
      <alignment horizontal="center" wrapText="1"/>
    </xf>
    <xf numFmtId="0" fontId="48" fillId="0" borderId="25" xfId="133" quotePrefix="1" applyFont="1" applyBorder="1" applyAlignment="1">
      <alignment horizontal="center" wrapText="1"/>
    </xf>
    <xf numFmtId="0" fontId="48" fillId="0" borderId="26" xfId="133" applyFont="1" applyBorder="1" applyAlignment="1">
      <alignment horizontal="center"/>
    </xf>
    <xf numFmtId="0" fontId="47" fillId="0" borderId="0" xfId="133" applyFont="1" applyBorder="1"/>
    <xf numFmtId="0" fontId="47" fillId="0" borderId="29" xfId="133" applyFont="1" applyBorder="1" applyAlignment="1">
      <alignment horizontal="center"/>
    </xf>
    <xf numFmtId="0" fontId="47" fillId="0" borderId="27" xfId="133" quotePrefix="1" applyFont="1" applyBorder="1"/>
    <xf numFmtId="3" fontId="47" fillId="0" borderId="0" xfId="133" applyNumberFormat="1" applyFont="1" applyBorder="1"/>
    <xf numFmtId="0" fontId="47" fillId="0" borderId="0" xfId="133" applyFont="1" applyBorder="1" applyAlignment="1">
      <alignment horizontal="center"/>
    </xf>
    <xf numFmtId="0" fontId="47" fillId="0" borderId="27" xfId="133" applyFont="1" applyBorder="1"/>
    <xf numFmtId="0" fontId="48" fillId="0" borderId="27" xfId="133" applyFont="1" applyBorder="1" applyAlignment="1">
      <alignment horizontal="left" indent="1"/>
    </xf>
    <xf numFmtId="0" fontId="47" fillId="0" borderId="23" xfId="133" applyFont="1" applyBorder="1" applyAlignment="1">
      <alignment horizontal="center"/>
    </xf>
    <xf numFmtId="0" fontId="47" fillId="0" borderId="25" xfId="133" applyFont="1" applyBorder="1"/>
    <xf numFmtId="0" fontId="47" fillId="0" borderId="26" xfId="133" applyFont="1" applyBorder="1"/>
    <xf numFmtId="164" fontId="3" fillId="29" borderId="22" xfId="53" applyNumberFormat="1" applyFont="1" applyFill="1" applyBorder="1"/>
    <xf numFmtId="164" fontId="3" fillId="29" borderId="21" xfId="53" applyNumberFormat="1" applyFont="1" applyFill="1" applyBorder="1"/>
    <xf numFmtId="164" fontId="3" fillId="29" borderId="21" xfId="86" applyNumberFormat="1" applyFont="1" applyFill="1" applyBorder="1"/>
    <xf numFmtId="164" fontId="3" fillId="29" borderId="22" xfId="86" applyNumberFormat="1" applyFont="1" applyFill="1" applyBorder="1"/>
    <xf numFmtId="0" fontId="3" fillId="0" borderId="27" xfId="142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48" fillId="0" borderId="20" xfId="133" applyFont="1" applyBorder="1" applyAlignment="1">
      <alignment horizontal="center"/>
    </xf>
    <xf numFmtId="0" fontId="48" fillId="0" borderId="24" xfId="133" applyFont="1" applyBorder="1"/>
    <xf numFmtId="17" fontId="47" fillId="0" borderId="20" xfId="133" quotePrefix="1" applyNumberFormat="1" applyFont="1" applyBorder="1"/>
    <xf numFmtId="0" fontId="47" fillId="0" borderId="24" xfId="133" applyFont="1" applyBorder="1"/>
    <xf numFmtId="0" fontId="47" fillId="0" borderId="0" xfId="135" applyFont="1" applyAlignment="1">
      <alignment horizontal="center"/>
    </xf>
    <xf numFmtId="39" fontId="6" fillId="0" borderId="0" xfId="140" applyFont="1" applyAlignment="1" applyProtection="1">
      <alignment horizontal="center"/>
    </xf>
    <xf numFmtId="37" fontId="6" fillId="0" borderId="0" xfId="140" applyNumberFormat="1" applyFont="1" applyProtection="1"/>
    <xf numFmtId="39" fontId="6" fillId="0" borderId="0" xfId="140" applyFont="1"/>
    <xf numFmtId="39" fontId="6" fillId="0" borderId="0" xfId="140" applyFont="1" applyBorder="1" applyProtection="1"/>
    <xf numFmtId="39" fontId="7" fillId="0" borderId="0" xfId="140" applyFont="1" applyBorder="1" applyAlignment="1" applyProtection="1">
      <alignment horizontal="centerContinuous"/>
      <protection locked="0"/>
    </xf>
    <xf numFmtId="37" fontId="7" fillId="0" borderId="0" xfId="140" applyNumberFormat="1" applyFont="1" applyBorder="1" applyAlignment="1" applyProtection="1">
      <alignment horizontal="centerContinuous"/>
    </xf>
    <xf numFmtId="39" fontId="7" fillId="0" borderId="0" xfId="140" applyFont="1" applyProtection="1"/>
    <xf numFmtId="37" fontId="7" fillId="0" borderId="0" xfId="140" applyNumberFormat="1" applyFont="1" applyAlignment="1" applyProtection="1">
      <alignment horizontal="centerContinuous"/>
    </xf>
    <xf numFmtId="39" fontId="6" fillId="0" borderId="19" xfId="140" applyFont="1" applyBorder="1" applyAlignment="1" applyProtection="1">
      <alignment horizontal="center"/>
    </xf>
    <xf numFmtId="37" fontId="7" fillId="0" borderId="19" xfId="140" applyNumberFormat="1" applyFont="1" applyBorder="1" applyAlignment="1" applyProtection="1">
      <alignment horizontal="center"/>
      <protection locked="0"/>
    </xf>
    <xf numFmtId="39" fontId="6" fillId="0" borderId="23" xfId="140" applyFont="1" applyBorder="1" applyAlignment="1" applyProtection="1">
      <alignment horizontal="center"/>
    </xf>
    <xf numFmtId="37" fontId="7" fillId="0" borderId="23" xfId="140" applyNumberFormat="1" applyFont="1" applyBorder="1" applyAlignment="1" applyProtection="1">
      <alignment horizontal="center"/>
      <protection locked="0"/>
    </xf>
    <xf numFmtId="174" fontId="6" fillId="0" borderId="33" xfId="140" applyNumberFormat="1" applyFont="1" applyBorder="1" applyAlignment="1" applyProtection="1">
      <alignment horizontal="center"/>
    </xf>
    <xf numFmtId="39" fontId="7" fillId="0" borderId="47" xfId="140" applyFont="1" applyBorder="1" applyProtection="1">
      <protection locked="0"/>
    </xf>
    <xf numFmtId="39" fontId="6" fillId="0" borderId="33" xfId="140" applyFont="1" applyBorder="1" applyAlignment="1" applyProtection="1">
      <alignment horizontal="center"/>
    </xf>
    <xf numFmtId="37" fontId="6" fillId="0" borderId="33" xfId="140" applyNumberFormat="1" applyFont="1" applyBorder="1" applyAlignment="1" applyProtection="1">
      <alignment horizontal="center"/>
      <protection locked="0"/>
    </xf>
    <xf numFmtId="39" fontId="6" fillId="0" borderId="47" xfId="140" applyFont="1" applyBorder="1" applyProtection="1">
      <protection locked="0"/>
    </xf>
    <xf numFmtId="39" fontId="6" fillId="0" borderId="33" xfId="140" applyFont="1" applyBorder="1" applyAlignment="1" applyProtection="1">
      <alignment horizontal="center"/>
      <protection locked="0"/>
    </xf>
    <xf numFmtId="39" fontId="7" fillId="0" borderId="30" xfId="140" applyFont="1" applyBorder="1" applyProtection="1">
      <protection locked="0"/>
    </xf>
    <xf numFmtId="39" fontId="6" fillId="0" borderId="49" xfId="140" applyFont="1" applyBorder="1" applyAlignment="1" applyProtection="1">
      <alignment horizontal="center"/>
    </xf>
    <xf numFmtId="39" fontId="7" fillId="0" borderId="31" xfId="140" applyFont="1" applyBorder="1" applyProtection="1">
      <protection locked="0"/>
    </xf>
    <xf numFmtId="39" fontId="6" fillId="0" borderId="31" xfId="140" applyFont="1" applyBorder="1" applyAlignment="1" applyProtection="1">
      <alignment horizontal="center"/>
    </xf>
    <xf numFmtId="39" fontId="7" fillId="0" borderId="33" xfId="140" applyFont="1" applyBorder="1" applyAlignment="1" applyProtection="1">
      <alignment horizontal="center"/>
      <protection locked="0"/>
    </xf>
    <xf numFmtId="39" fontId="6" fillId="0" borderId="29" xfId="140" applyFont="1" applyBorder="1" applyAlignment="1" applyProtection="1">
      <alignment horizontal="center"/>
    </xf>
    <xf numFmtId="39" fontId="6" fillId="0" borderId="47" xfId="140" applyFont="1" applyFill="1" applyBorder="1" applyProtection="1">
      <protection locked="0"/>
    </xf>
    <xf numFmtId="39" fontId="6" fillId="0" borderId="29" xfId="140" applyFont="1" applyBorder="1" applyAlignment="1" applyProtection="1">
      <alignment horizontal="center"/>
      <protection locked="0"/>
    </xf>
    <xf numFmtId="39" fontId="7" fillId="0" borderId="28" xfId="140" applyFont="1" applyBorder="1" applyProtection="1">
      <protection locked="0"/>
    </xf>
    <xf numFmtId="39" fontId="7" fillId="0" borderId="29" xfId="140" applyFont="1" applyBorder="1" applyAlignment="1" applyProtection="1">
      <alignment horizontal="center"/>
      <protection locked="0"/>
    </xf>
    <xf numFmtId="174" fontId="6" fillId="0" borderId="32" xfId="140" applyNumberFormat="1" applyFont="1" applyBorder="1" applyAlignment="1" applyProtection="1">
      <alignment horizontal="center"/>
    </xf>
    <xf numFmtId="39" fontId="6" fillId="0" borderId="49" xfId="140" applyFont="1" applyBorder="1" applyAlignment="1" applyProtection="1">
      <alignment horizontal="center"/>
      <protection locked="0"/>
    </xf>
    <xf numFmtId="39" fontId="6" fillId="0" borderId="20" xfId="140" applyFont="1" applyBorder="1" applyAlignment="1" applyProtection="1">
      <alignment horizontal="center"/>
    </xf>
    <xf numFmtId="39" fontId="6" fillId="0" borderId="24" xfId="140" applyFont="1" applyBorder="1" applyAlignment="1" applyProtection="1">
      <alignment horizontal="center"/>
    </xf>
    <xf numFmtId="39" fontId="7" fillId="0" borderId="52" xfId="140" applyFont="1" applyBorder="1" applyProtection="1">
      <protection locked="0"/>
    </xf>
    <xf numFmtId="39" fontId="6" fillId="0" borderId="40" xfId="140" applyFont="1" applyBorder="1" applyAlignment="1" applyProtection="1">
      <alignment horizontal="center"/>
    </xf>
    <xf numFmtId="39" fontId="6" fillId="0" borderId="54" xfId="140" applyFont="1" applyBorder="1" applyProtection="1">
      <protection locked="0"/>
    </xf>
    <xf numFmtId="39" fontId="6" fillId="0" borderId="32" xfId="140" applyFont="1" applyBorder="1" applyAlignment="1" applyProtection="1">
      <alignment horizontal="center"/>
      <protection locked="0"/>
    </xf>
    <xf numFmtId="39" fontId="6" fillId="0" borderId="54" xfId="140" quotePrefix="1" applyFont="1" applyBorder="1" applyProtection="1">
      <protection locked="0"/>
    </xf>
    <xf numFmtId="37" fontId="6" fillId="0" borderId="29" xfId="140" applyNumberFormat="1" applyFont="1" applyFill="1" applyBorder="1" applyProtection="1">
      <protection locked="0"/>
    </xf>
    <xf numFmtId="39" fontId="7" fillId="0" borderId="32" xfId="140" applyFont="1" applyBorder="1" applyAlignment="1" applyProtection="1">
      <alignment horizontal="center"/>
      <protection locked="0"/>
    </xf>
    <xf numFmtId="39" fontId="6" fillId="0" borderId="32" xfId="140" applyFont="1" applyBorder="1" applyAlignment="1" applyProtection="1">
      <alignment horizontal="center"/>
    </xf>
    <xf numFmtId="39" fontId="6" fillId="0" borderId="54" xfId="140" applyFont="1" applyBorder="1" applyAlignment="1" applyProtection="1">
      <alignment horizontal="left" indent="2"/>
      <protection locked="0"/>
    </xf>
    <xf numFmtId="39" fontId="6" fillId="0" borderId="0" xfId="140" applyFont="1" applyBorder="1" applyAlignment="1" applyProtection="1">
      <alignment horizontal="center"/>
      <protection locked="0"/>
    </xf>
    <xf numFmtId="39" fontId="7" fillId="0" borderId="38" xfId="140" applyFont="1" applyBorder="1" applyProtection="1">
      <protection locked="0"/>
    </xf>
    <xf numFmtId="39" fontId="7" fillId="0" borderId="5" xfId="140" applyFont="1" applyBorder="1" applyAlignment="1" applyProtection="1">
      <alignment horizontal="center"/>
      <protection locked="0"/>
    </xf>
    <xf numFmtId="39" fontId="7" fillId="0" borderId="20" xfId="140" applyFont="1" applyBorder="1" applyProtection="1">
      <protection locked="0"/>
    </xf>
    <xf numFmtId="39" fontId="7" fillId="0" borderId="54" xfId="140" applyFont="1" applyBorder="1" applyProtection="1">
      <protection locked="0"/>
    </xf>
    <xf numFmtId="37" fontId="6" fillId="0" borderId="29" xfId="140" quotePrefix="1" applyNumberFormat="1" applyFont="1" applyFill="1" applyBorder="1" applyAlignment="1" applyProtection="1">
      <alignment horizontal="center"/>
    </xf>
    <xf numFmtId="39" fontId="6" fillId="0" borderId="55" xfId="140" applyFont="1" applyBorder="1" applyProtection="1">
      <protection locked="0"/>
    </xf>
    <xf numFmtId="39" fontId="6" fillId="0" borderId="35" xfId="140" applyFont="1" applyBorder="1" applyAlignment="1" applyProtection="1">
      <alignment horizontal="center"/>
      <protection locked="0"/>
    </xf>
    <xf numFmtId="39" fontId="6" fillId="0" borderId="32" xfId="140" applyFont="1" applyFill="1" applyBorder="1" applyAlignment="1" applyProtection="1">
      <alignment horizontal="center"/>
      <protection locked="0"/>
    </xf>
    <xf numFmtId="174" fontId="6" fillId="0" borderId="24" xfId="140" applyNumberFormat="1" applyFont="1" applyBorder="1" applyAlignment="1" applyProtection="1">
      <alignment horizontal="center"/>
    </xf>
    <xf numFmtId="39" fontId="6" fillId="0" borderId="38" xfId="140" applyFont="1" applyBorder="1" applyProtection="1"/>
    <xf numFmtId="39" fontId="6" fillId="0" borderId="5" xfId="140" applyFont="1" applyBorder="1" applyAlignment="1" applyProtection="1">
      <alignment horizontal="center"/>
    </xf>
    <xf numFmtId="174" fontId="6" fillId="0" borderId="0" xfId="140" applyNumberFormat="1" applyFont="1" applyBorder="1" applyAlignment="1" applyProtection="1">
      <alignment horizontal="center"/>
    </xf>
    <xf numFmtId="39" fontId="6" fillId="0" borderId="0" xfId="140" applyFont="1" applyBorder="1" applyAlignment="1" applyProtection="1">
      <alignment horizontal="center"/>
    </xf>
    <xf numFmtId="37" fontId="6" fillId="0" borderId="62" xfId="140" applyNumberFormat="1" applyFont="1" applyFill="1" applyBorder="1" applyProtection="1">
      <protection locked="0"/>
    </xf>
    <xf numFmtId="37" fontId="6" fillId="0" borderId="62" xfId="140" applyNumberFormat="1" applyFont="1" applyFill="1" applyBorder="1"/>
    <xf numFmtId="39" fontId="7" fillId="0" borderId="19" xfId="140" applyFont="1" applyBorder="1"/>
    <xf numFmtId="39" fontId="6" fillId="0" borderId="19" xfId="140" applyFont="1" applyBorder="1"/>
    <xf numFmtId="37" fontId="6" fillId="0" borderId="19" xfId="140" applyNumberFormat="1" applyFont="1" applyBorder="1"/>
    <xf numFmtId="39" fontId="6" fillId="0" borderId="23" xfId="140" applyFont="1" applyBorder="1" applyAlignment="1">
      <alignment horizontal="left" indent="1"/>
    </xf>
    <xf numFmtId="39" fontId="6" fillId="0" borderId="23" xfId="140" applyFont="1" applyBorder="1"/>
    <xf numFmtId="37" fontId="6" fillId="0" borderId="23" xfId="140" applyNumberFormat="1" applyFont="1" applyBorder="1"/>
    <xf numFmtId="39" fontId="7" fillId="0" borderId="20" xfId="140" applyFont="1" applyBorder="1"/>
    <xf numFmtId="39" fontId="6" fillId="0" borderId="5" xfId="140" applyFont="1" applyBorder="1"/>
    <xf numFmtId="37" fontId="7" fillId="29" borderId="22" xfId="140" applyNumberFormat="1" applyFont="1" applyFill="1" applyBorder="1"/>
    <xf numFmtId="39" fontId="6" fillId="0" borderId="44" xfId="140" applyFont="1" applyBorder="1"/>
    <xf numFmtId="39" fontId="6" fillId="0" borderId="38" xfId="140" applyFont="1" applyBorder="1"/>
    <xf numFmtId="39" fontId="6" fillId="0" borderId="5" xfId="140" applyFont="1" applyBorder="1" applyAlignment="1">
      <alignment horizontal="center"/>
    </xf>
    <xf numFmtId="37" fontId="6" fillId="0" borderId="39" xfId="140" applyNumberFormat="1" applyFont="1" applyBorder="1"/>
    <xf numFmtId="39" fontId="6" fillId="0" borderId="0" xfId="140" applyFont="1" applyAlignment="1">
      <alignment horizontal="center"/>
    </xf>
    <xf numFmtId="37" fontId="6" fillId="0" borderId="0" xfId="140" applyNumberFormat="1" applyFont="1"/>
    <xf numFmtId="174" fontId="6" fillId="0" borderId="25" xfId="140" applyNumberFormat="1" applyFont="1" applyBorder="1" applyAlignment="1" applyProtection="1">
      <alignment horizontal="center"/>
    </xf>
    <xf numFmtId="39" fontId="6" fillId="0" borderId="25" xfId="140" applyFont="1" applyBorder="1" applyProtection="1"/>
    <xf numFmtId="39" fontId="6" fillId="0" borderId="25" xfId="140" applyFont="1" applyBorder="1" applyAlignment="1" applyProtection="1">
      <alignment horizontal="center"/>
    </xf>
    <xf numFmtId="174" fontId="6" fillId="0" borderId="37" xfId="140" applyNumberFormat="1" applyFont="1" applyBorder="1" applyAlignment="1" applyProtection="1">
      <alignment horizontal="center"/>
    </xf>
    <xf numFmtId="39" fontId="6" fillId="0" borderId="1" xfId="140" applyFont="1" applyBorder="1" applyProtection="1"/>
    <xf numFmtId="39" fontId="6" fillId="0" borderId="1" xfId="140" applyFont="1" applyBorder="1" applyAlignment="1" applyProtection="1">
      <alignment horizontal="left"/>
    </xf>
    <xf numFmtId="39" fontId="6" fillId="0" borderId="27" xfId="140" applyFont="1" applyBorder="1" applyProtection="1">
      <protection locked="0"/>
    </xf>
    <xf numFmtId="39" fontId="6" fillId="0" borderId="66" xfId="140" applyFont="1" applyBorder="1" applyProtection="1">
      <protection locked="0"/>
    </xf>
    <xf numFmtId="39" fontId="6" fillId="0" borderId="56" xfId="140" applyFont="1" applyBorder="1" applyAlignment="1" applyProtection="1">
      <alignment horizontal="center"/>
      <protection locked="0"/>
    </xf>
    <xf numFmtId="174" fontId="6" fillId="0" borderId="29" xfId="140" applyNumberFormat="1" applyFont="1" applyBorder="1" applyAlignment="1" applyProtection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7" fillId="0" borderId="21" xfId="0" applyFont="1" applyFill="1" applyBorder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/>
    <xf numFmtId="0" fontId="6" fillId="0" borderId="29" xfId="0" applyFont="1" applyFill="1" applyBorder="1" applyAlignment="1">
      <alignment horizontal="center"/>
    </xf>
    <xf numFmtId="0" fontId="6" fillId="0" borderId="27" xfId="0" applyFont="1" applyFill="1" applyBorder="1"/>
    <xf numFmtId="0" fontId="6" fillId="0" borderId="0" xfId="0" applyFont="1" applyFill="1" applyBorder="1" applyAlignment="1">
      <alignment horizontal="center"/>
    </xf>
    <xf numFmtId="4" fontId="6" fillId="0" borderId="28" xfId="0" applyNumberFormat="1" applyFont="1" applyFill="1" applyBorder="1" applyAlignment="1">
      <alignment horizontal="right"/>
    </xf>
    <xf numFmtId="4" fontId="7" fillId="0" borderId="22" xfId="0" applyNumberFormat="1" applyFont="1" applyFill="1" applyBorder="1" applyAlignment="1">
      <alignment horizontal="right"/>
    </xf>
    <xf numFmtId="0" fontId="7" fillId="0" borderId="27" xfId="0" applyFont="1" applyFill="1" applyBorder="1"/>
    <xf numFmtId="49" fontId="6" fillId="0" borderId="27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7" fillId="0" borderId="27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24" xfId="0" applyFont="1" applyFill="1" applyBorder="1"/>
    <xf numFmtId="49" fontId="6" fillId="0" borderId="25" xfId="0" applyNumberFormat="1" applyFont="1" applyFill="1" applyBorder="1" applyAlignment="1">
      <alignment horizontal="left"/>
    </xf>
    <xf numFmtId="49" fontId="7" fillId="0" borderId="25" xfId="0" applyNumberFormat="1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49" fontId="6" fillId="0" borderId="21" xfId="0" applyNumberFormat="1" applyFont="1" applyFill="1" applyBorder="1"/>
    <xf numFmtId="49" fontId="6" fillId="0" borderId="27" xfId="0" applyNumberFormat="1" applyFont="1" applyFill="1" applyBorder="1" applyAlignment="1">
      <alignment horizontal="left"/>
    </xf>
    <xf numFmtId="0" fontId="6" fillId="0" borderId="0" xfId="0" applyFont="1" applyFill="1" applyBorder="1"/>
    <xf numFmtId="49" fontId="6" fillId="0" borderId="0" xfId="0" applyNumberFormat="1" applyFont="1" applyFill="1" applyBorder="1"/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/>
    <xf numFmtId="49" fontId="6" fillId="0" borderId="25" xfId="0" applyNumberFormat="1" applyFont="1" applyFill="1" applyBorder="1"/>
    <xf numFmtId="4" fontId="7" fillId="0" borderId="2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49" fontId="6" fillId="0" borderId="0" xfId="0" applyNumberFormat="1" applyFont="1"/>
    <xf numFmtId="43" fontId="6" fillId="0" borderId="28" xfId="87" applyFont="1" applyBorder="1"/>
    <xf numFmtId="164" fontId="6" fillId="0" borderId="28" xfId="87" applyNumberFormat="1" applyFont="1" applyBorder="1"/>
    <xf numFmtId="0" fontId="6" fillId="0" borderId="28" xfId="0" applyFont="1" applyBorder="1"/>
    <xf numFmtId="164" fontId="6" fillId="0" borderId="68" xfId="0" applyNumberFormat="1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7" fontId="6" fillId="0" borderId="28" xfId="0" applyNumberFormat="1" applyFont="1" applyFill="1" applyBorder="1"/>
    <xf numFmtId="0" fontId="6" fillId="0" borderId="25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37" fontId="6" fillId="0" borderId="0" xfId="0" applyNumberFormat="1" applyFont="1" applyFill="1" applyBorder="1" applyProtection="1">
      <protection locked="0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37" fontId="6" fillId="0" borderId="21" xfId="0" applyNumberFormat="1" applyFont="1" applyFill="1" applyBorder="1" applyProtection="1">
      <protection locked="0"/>
    </xf>
    <xf numFmtId="37" fontId="6" fillId="0" borderId="22" xfId="0" applyNumberFormat="1" applyFont="1" applyFill="1" applyBorder="1"/>
    <xf numFmtId="0" fontId="7" fillId="0" borderId="27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0" xfId="0" quotePrefix="1" applyFont="1" applyFill="1" applyBorder="1" applyAlignment="1">
      <alignment horizontal="center" wrapText="1"/>
    </xf>
    <xf numFmtId="0" fontId="6" fillId="0" borderId="5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28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8" xfId="0" applyNumberFormat="1" applyFont="1" applyFill="1" applyBorder="1" applyAlignment="1">
      <alignment horizontal="right" vertical="center"/>
    </xf>
    <xf numFmtId="164" fontId="6" fillId="0" borderId="28" xfId="0" applyNumberFormat="1" applyFont="1" applyBorder="1"/>
    <xf numFmtId="164" fontId="8" fillId="0" borderId="26" xfId="0" applyNumberFormat="1" applyFont="1" applyFill="1" applyBorder="1" applyAlignment="1">
      <alignment horizontal="right" vertical="center"/>
    </xf>
    <xf numFmtId="43" fontId="6" fillId="0" borderId="0" xfId="53" applyFont="1"/>
    <xf numFmtId="0" fontId="8" fillId="0" borderId="7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6" fillId="0" borderId="26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quotePrefix="1" applyFont="1"/>
    <xf numFmtId="164" fontId="6" fillId="0" borderId="26" xfId="53" applyNumberFormat="1" applyFont="1" applyBorder="1"/>
    <xf numFmtId="0" fontId="7" fillId="0" borderId="22" xfId="0" applyFont="1" applyFill="1" applyBorder="1"/>
    <xf numFmtId="37" fontId="48" fillId="29" borderId="68" xfId="0" applyNumberFormat="1" applyFont="1" applyFill="1" applyBorder="1" applyProtection="1"/>
    <xf numFmtId="0" fontId="7" fillId="0" borderId="5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37" fontId="6" fillId="0" borderId="0" xfId="0" applyNumberFormat="1" applyFont="1" applyFill="1" applyBorder="1"/>
    <xf numFmtId="37" fontId="6" fillId="0" borderId="21" xfId="0" applyNumberFormat="1" applyFont="1" applyFill="1" applyBorder="1"/>
    <xf numFmtId="164" fontId="6" fillId="0" borderId="0" xfId="53" applyNumberFormat="1" applyFont="1"/>
    <xf numFmtId="164" fontId="6" fillId="0" borderId="0" xfId="53" applyNumberFormat="1" applyFont="1" applyAlignment="1">
      <alignment horizontal="center"/>
    </xf>
    <xf numFmtId="164" fontId="6" fillId="0" borderId="22" xfId="53" applyNumberFormat="1" applyFont="1" applyBorder="1"/>
    <xf numFmtId="0" fontId="6" fillId="0" borderId="21" xfId="0" applyFont="1" applyBorder="1" applyAlignment="1">
      <alignment horizontal="center"/>
    </xf>
    <xf numFmtId="164" fontId="6" fillId="0" borderId="0" xfId="53" applyNumberFormat="1" applyFont="1" applyBorder="1" applyAlignment="1">
      <alignment horizontal="center"/>
    </xf>
    <xf numFmtId="164" fontId="6" fillId="0" borderId="28" xfId="53" applyNumberFormat="1" applyFont="1" applyBorder="1"/>
    <xf numFmtId="0" fontId="6" fillId="0" borderId="28" xfId="0" applyFont="1" applyBorder="1" applyAlignment="1">
      <alignment horizontal="center"/>
    </xf>
    <xf numFmtId="164" fontId="6" fillId="0" borderId="68" xfId="53" applyNumberFormat="1" applyFont="1" applyBorder="1"/>
    <xf numFmtId="164" fontId="7" fillId="29" borderId="28" xfId="87" applyNumberFormat="1" applyFont="1" applyFill="1" applyBorder="1"/>
    <xf numFmtId="37" fontId="7" fillId="29" borderId="26" xfId="0" applyNumberFormat="1" applyFont="1" applyFill="1" applyBorder="1"/>
    <xf numFmtId="37" fontId="7" fillId="29" borderId="67" xfId="0" applyNumberFormat="1" applyFont="1" applyFill="1" applyBorder="1"/>
    <xf numFmtId="164" fontId="7" fillId="29" borderId="68" xfId="0" applyNumberFormat="1" applyFont="1" applyFill="1" applyBorder="1"/>
    <xf numFmtId="164" fontId="7" fillId="29" borderId="28" xfId="53" applyNumberFormat="1" applyFont="1" applyFill="1" applyBorder="1"/>
    <xf numFmtId="164" fontId="7" fillId="29" borderId="26" xfId="53" applyNumberFormat="1" applyFont="1" applyFill="1" applyBorder="1"/>
    <xf numFmtId="0" fontId="6" fillId="0" borderId="0" xfId="0" quotePrefix="1" applyFont="1" applyAlignment="1">
      <alignment horizontal="center"/>
    </xf>
    <xf numFmtId="0" fontId="48" fillId="0" borderId="25" xfId="133" applyFont="1" applyBorder="1" applyAlignment="1">
      <alignment horizontal="center" wrapText="1"/>
    </xf>
    <xf numFmtId="0" fontId="48" fillId="0" borderId="0" xfId="133" applyFont="1" applyFill="1" applyBorder="1" applyAlignment="1">
      <alignment horizontal="center"/>
    </xf>
    <xf numFmtId="0" fontId="48" fillId="0" borderId="25" xfId="133" applyFont="1" applyFill="1" applyBorder="1" applyAlignment="1">
      <alignment horizontal="center" wrapText="1"/>
    </xf>
    <xf numFmtId="0" fontId="6" fillId="0" borderId="0" xfId="133" applyFont="1" applyAlignment="1">
      <alignment horizontal="center"/>
    </xf>
    <xf numFmtId="164" fontId="47" fillId="0" borderId="0" xfId="53" applyNumberFormat="1" applyFont="1"/>
    <xf numFmtId="37" fontId="47" fillId="0" borderId="0" xfId="133" applyNumberFormat="1" applyFont="1" applyAlignment="1">
      <alignment horizontal="center"/>
    </xf>
    <xf numFmtId="37" fontId="47" fillId="0" borderId="28" xfId="133" applyNumberFormat="1" applyFont="1" applyBorder="1" applyAlignment="1">
      <alignment horizontal="center"/>
    </xf>
    <xf numFmtId="37" fontId="47" fillId="0" borderId="25" xfId="133" applyNumberFormat="1" applyFont="1" applyBorder="1" applyAlignment="1">
      <alignment horizontal="center"/>
    </xf>
    <xf numFmtId="37" fontId="47" fillId="0" borderId="26" xfId="133" applyNumberFormat="1" applyFont="1" applyBorder="1" applyAlignment="1">
      <alignment horizontal="center"/>
    </xf>
    <xf numFmtId="37" fontId="47" fillId="0" borderId="21" xfId="133" applyNumberFormat="1" applyFont="1" applyBorder="1" applyAlignment="1">
      <alignment horizontal="center"/>
    </xf>
    <xf numFmtId="37" fontId="48" fillId="29" borderId="22" xfId="133" applyNumberFormat="1" applyFont="1" applyFill="1" applyBorder="1" applyAlignment="1">
      <alignment horizontal="center"/>
    </xf>
    <xf numFmtId="0" fontId="47" fillId="0" borderId="25" xfId="133" quotePrefix="1" applyFont="1" applyBorder="1" applyAlignment="1">
      <alignment horizontal="right"/>
    </xf>
    <xf numFmtId="0" fontId="47" fillId="0" borderId="0" xfId="133" quotePrefix="1" applyFont="1"/>
    <xf numFmtId="0" fontId="48" fillId="0" borderId="27" xfId="133" applyFont="1" applyBorder="1" applyAlignment="1"/>
    <xf numFmtId="0" fontId="48" fillId="0" borderId="20" xfId="133" applyFont="1" applyBorder="1" applyAlignment="1"/>
    <xf numFmtId="0" fontId="48" fillId="0" borderId="38" xfId="133" applyFont="1" applyBorder="1"/>
    <xf numFmtId="37" fontId="47" fillId="0" borderId="0" xfId="133" applyNumberFormat="1" applyFont="1" applyBorder="1"/>
    <xf numFmtId="37" fontId="48" fillId="0" borderId="28" xfId="133" applyNumberFormat="1" applyFont="1" applyFill="1" applyBorder="1"/>
    <xf numFmtId="0" fontId="7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175" fontId="4" fillId="0" borderId="0" xfId="53" applyNumberFormat="1" applyFont="1"/>
    <xf numFmtId="39" fontId="6" fillId="0" borderId="33" xfId="0" applyNumberFormat="1" applyFont="1" applyBorder="1" applyProtection="1">
      <protection locked="0"/>
    </xf>
    <xf numFmtId="0" fontId="6" fillId="0" borderId="0" xfId="0" quotePrefix="1" applyFont="1" applyFill="1" applyBorder="1" applyAlignment="1">
      <alignment horizontal="center"/>
    </xf>
    <xf numFmtId="4" fontId="7" fillId="0" borderId="28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37" fontId="7" fillId="0" borderId="0" xfId="0" applyNumberFormat="1" applyFont="1" applyFill="1" applyBorder="1" applyProtection="1">
      <protection locked="0"/>
    </xf>
    <xf numFmtId="0" fontId="20" fillId="0" borderId="0" xfId="0" applyFont="1"/>
    <xf numFmtId="37" fontId="7" fillId="0" borderId="28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168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Border="1" applyAlignment="1">
      <alignment horizontal="centerContinuous"/>
    </xf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42" xfId="0" applyFont="1" applyBorder="1"/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37" xfId="0" applyFont="1" applyFill="1" applyBorder="1"/>
    <xf numFmtId="0" fontId="6" fillId="0" borderId="0" xfId="0" applyFont="1" applyFill="1"/>
    <xf numFmtId="37" fontId="7" fillId="0" borderId="33" xfId="0" applyNumberFormat="1" applyFont="1" applyFill="1" applyBorder="1" applyProtection="1">
      <protection locked="0"/>
    </xf>
    <xf numFmtId="164" fontId="6" fillId="0" borderId="26" xfId="53" applyNumberFormat="1" applyFont="1" applyBorder="1" applyAlignment="1">
      <alignment horizontal="center"/>
    </xf>
    <xf numFmtId="164" fontId="47" fillId="0" borderId="21" xfId="53" applyNumberFormat="1" applyFont="1" applyBorder="1"/>
    <xf numFmtId="164" fontId="47" fillId="0" borderId="28" xfId="53" applyNumberFormat="1" applyFont="1" applyBorder="1"/>
    <xf numFmtId="164" fontId="47" fillId="0" borderId="0" xfId="53" applyNumberFormat="1" applyFont="1" applyBorder="1"/>
    <xf numFmtId="164" fontId="47" fillId="0" borderId="25" xfId="53" applyNumberFormat="1" applyFont="1" applyBorder="1"/>
    <xf numFmtId="164" fontId="47" fillId="0" borderId="26" xfId="53" applyNumberFormat="1" applyFont="1" applyBorder="1"/>
    <xf numFmtId="164" fontId="48" fillId="29" borderId="21" xfId="53" applyNumberFormat="1" applyFont="1" applyFill="1" applyBorder="1"/>
    <xf numFmtId="164" fontId="48" fillId="0" borderId="22" xfId="53" applyNumberFormat="1" applyFont="1" applyFill="1" applyBorder="1"/>
    <xf numFmtId="164" fontId="47" fillId="0" borderId="5" xfId="53" applyNumberFormat="1" applyFont="1" applyBorder="1"/>
    <xf numFmtId="164" fontId="47" fillId="0" borderId="39" xfId="53" applyNumberFormat="1" applyFont="1" applyFill="1" applyBorder="1"/>
    <xf numFmtId="164" fontId="48" fillId="0" borderId="28" xfId="53" applyNumberFormat="1" applyFont="1" applyFill="1" applyBorder="1"/>
    <xf numFmtId="164" fontId="48" fillId="29" borderId="70" xfId="53" applyNumberFormat="1" applyFont="1" applyFill="1" applyBorder="1"/>
    <xf numFmtId="164" fontId="47" fillId="0" borderId="68" xfId="53" applyNumberFormat="1" applyFont="1" applyFill="1" applyBorder="1"/>
    <xf numFmtId="164" fontId="47" fillId="0" borderId="5" xfId="53" applyNumberFormat="1" applyFont="1" applyBorder="1" applyAlignment="1">
      <alignment horizontal="right"/>
    </xf>
    <xf numFmtId="164" fontId="48" fillId="29" borderId="39" xfId="53" applyNumberFormat="1" applyFont="1" applyFill="1" applyBorder="1"/>
    <xf numFmtId="0" fontId="6" fillId="0" borderId="27" xfId="0" applyFont="1" applyBorder="1" applyAlignment="1"/>
    <xf numFmtId="0" fontId="6" fillId="0" borderId="0" xfId="0" applyFont="1" applyBorder="1" applyAlignment="1"/>
    <xf numFmtId="164" fontId="7" fillId="0" borderId="28" xfId="53" applyNumberFormat="1" applyFont="1" applyFill="1" applyBorder="1"/>
    <xf numFmtId="37" fontId="47" fillId="0" borderId="68" xfId="135" applyNumberFormat="1" applyFont="1" applyBorder="1"/>
    <xf numFmtId="0" fontId="47" fillId="0" borderId="0" xfId="135" applyFont="1" applyAlignment="1">
      <alignment horizontal="center"/>
    </xf>
    <xf numFmtId="0" fontId="47" fillId="0" borderId="0" xfId="135" applyFont="1" applyBorder="1"/>
    <xf numFmtId="37" fontId="47" fillId="0" borderId="0" xfId="135" applyNumberFormat="1" applyFont="1" applyBorder="1"/>
    <xf numFmtId="0" fontId="47" fillId="0" borderId="0" xfId="135" applyFont="1" applyFill="1"/>
    <xf numFmtId="0" fontId="47" fillId="0" borderId="0" xfId="135" applyFont="1" applyAlignment="1"/>
    <xf numFmtId="37" fontId="47" fillId="0" borderId="25" xfId="135" applyNumberFormat="1" applyFont="1" applyBorder="1"/>
    <xf numFmtId="0" fontId="47" fillId="0" borderId="0" xfId="135" applyFont="1" applyAlignment="1">
      <alignment horizontal="centerContinuous"/>
    </xf>
    <xf numFmtId="0" fontId="47" fillId="0" borderId="19" xfId="135" applyFont="1" applyBorder="1" applyAlignment="1">
      <alignment horizontal="center"/>
    </xf>
    <xf numFmtId="0" fontId="47" fillId="0" borderId="20" xfId="135" applyFont="1" applyBorder="1"/>
    <xf numFmtId="0" fontId="47" fillId="0" borderId="23" xfId="135" applyFont="1" applyBorder="1" applyAlignment="1">
      <alignment horizontal="center"/>
    </xf>
    <xf numFmtId="0" fontId="48" fillId="0" borderId="24" xfId="135" applyFont="1" applyBorder="1"/>
    <xf numFmtId="0" fontId="48" fillId="0" borderId="25" xfId="135" applyFont="1" applyBorder="1" applyAlignment="1">
      <alignment horizontal="center"/>
    </xf>
    <xf numFmtId="0" fontId="48" fillId="0" borderId="26" xfId="135" applyFont="1" applyBorder="1" applyAlignment="1">
      <alignment horizontal="center"/>
    </xf>
    <xf numFmtId="0" fontId="47" fillId="0" borderId="29" xfId="135" applyFont="1" applyBorder="1" applyAlignment="1">
      <alignment horizontal="center"/>
    </xf>
    <xf numFmtId="0" fontId="47" fillId="0" borderId="27" xfId="135" applyFont="1" applyBorder="1"/>
    <xf numFmtId="37" fontId="47" fillId="0" borderId="28" xfId="135" applyNumberFormat="1" applyFont="1" applyBorder="1"/>
    <xf numFmtId="37" fontId="47" fillId="0" borderId="26" xfId="135" applyNumberFormat="1" applyFont="1" applyBorder="1"/>
    <xf numFmtId="0" fontId="47" fillId="0" borderId="28" xfId="135" applyFont="1" applyBorder="1"/>
    <xf numFmtId="0" fontId="48" fillId="0" borderId="27" xfId="135" applyFont="1" applyBorder="1"/>
    <xf numFmtId="0" fontId="47" fillId="0" borderId="24" xfId="135" applyFont="1" applyBorder="1"/>
    <xf numFmtId="0" fontId="47" fillId="0" borderId="25" xfId="135" applyFont="1" applyBorder="1"/>
    <xf numFmtId="0" fontId="47" fillId="0" borderId="26" xfId="135" applyFont="1" applyBorder="1"/>
    <xf numFmtId="0" fontId="47" fillId="0" borderId="27" xfId="135" quotePrefix="1" applyFont="1" applyBorder="1"/>
    <xf numFmtId="0" fontId="6" fillId="0" borderId="0" xfId="0" applyFont="1" applyBorder="1" applyAlignment="1">
      <alignment horizontal="left"/>
    </xf>
    <xf numFmtId="37" fontId="48" fillId="0" borderId="70" xfId="135" applyNumberFormat="1" applyFont="1" applyBorder="1"/>
    <xf numFmtId="37" fontId="47" fillId="0" borderId="70" xfId="135" applyNumberFormat="1" applyFont="1" applyBorder="1"/>
    <xf numFmtId="164" fontId="6" fillId="0" borderId="26" xfId="87" applyNumberFormat="1" applyFont="1" applyFill="1" applyBorder="1"/>
    <xf numFmtId="164" fontId="6" fillId="0" borderId="28" xfId="87" applyNumberFormat="1" applyFont="1" applyFill="1" applyBorder="1"/>
    <xf numFmtId="164" fontId="7" fillId="29" borderId="67" xfId="87" applyNumberFormat="1" applyFont="1" applyFill="1" applyBorder="1"/>
    <xf numFmtId="0" fontId="6" fillId="0" borderId="27" xfId="0" applyFont="1" applyBorder="1" applyAlignment="1">
      <alignment horizontal="left"/>
    </xf>
    <xf numFmtId="49" fontId="6" fillId="0" borderId="0" xfId="0" quotePrefix="1" applyNumberFormat="1" applyFont="1"/>
    <xf numFmtId="0" fontId="48" fillId="0" borderId="0" xfId="0" applyFont="1" applyBorder="1" applyAlignment="1" applyProtection="1">
      <protection locked="0"/>
    </xf>
    <xf numFmtId="0" fontId="48" fillId="0" borderId="0" xfId="0" applyFont="1" applyFill="1" applyBorder="1" applyAlignment="1" applyProtection="1">
      <protection locked="0"/>
    </xf>
    <xf numFmtId="0" fontId="48" fillId="0" borderId="0" xfId="0" applyFont="1" applyAlignment="1">
      <alignment horizontal="right"/>
    </xf>
    <xf numFmtId="0" fontId="6" fillId="0" borderId="0" xfId="0" quotePrefix="1" applyFont="1"/>
    <xf numFmtId="4" fontId="7" fillId="0" borderId="74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3" fontId="7" fillId="0" borderId="39" xfId="0" applyNumberFormat="1" applyFont="1" applyFill="1" applyBorder="1" applyAlignment="1">
      <alignment horizontal="right"/>
    </xf>
    <xf numFmtId="3" fontId="7" fillId="0" borderId="67" xfId="0" applyNumberFormat="1" applyFont="1" applyFill="1" applyBorder="1" applyAlignment="1">
      <alignment horizontal="right"/>
    </xf>
    <xf numFmtId="37" fontId="6" fillId="0" borderId="26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quotePrefix="1" applyFont="1" applyFill="1" applyAlignment="1">
      <alignment horizontal="center"/>
    </xf>
    <xf numFmtId="0" fontId="4" fillId="0" borderId="0" xfId="0" applyFont="1" applyFill="1"/>
    <xf numFmtId="37" fontId="6" fillId="0" borderId="76" xfId="0" applyNumberFormat="1" applyFont="1" applyFill="1" applyBorder="1" applyProtection="1">
      <protection locked="0"/>
    </xf>
    <xf numFmtId="37" fontId="6" fillId="0" borderId="76" xfId="0" applyNumberFormat="1" applyFont="1" applyFill="1" applyBorder="1" applyProtection="1"/>
    <xf numFmtId="172" fontId="6" fillId="0" borderId="27" xfId="0" quotePrefix="1" applyNumberFormat="1" applyFont="1" applyBorder="1" applyAlignment="1" applyProtection="1">
      <alignment horizontal="left"/>
      <protection locked="0"/>
    </xf>
    <xf numFmtId="49" fontId="6" fillId="0" borderId="47" xfId="0" applyNumberFormat="1" applyFont="1" applyBorder="1" applyProtection="1">
      <protection locked="0"/>
    </xf>
    <xf numFmtId="37" fontId="6" fillId="0" borderId="33" xfId="0" applyNumberFormat="1" applyFont="1" applyFill="1" applyBorder="1" applyProtection="1">
      <protection locked="0"/>
    </xf>
    <xf numFmtId="49" fontId="6" fillId="0" borderId="0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37" fontId="6" fillId="0" borderId="37" xfId="0" applyNumberFormat="1" applyFont="1" applyFill="1" applyBorder="1" applyProtection="1">
      <protection locked="0"/>
    </xf>
    <xf numFmtId="37" fontId="7" fillId="0" borderId="75" xfId="0" applyNumberFormat="1" applyFont="1" applyFill="1" applyBorder="1" applyProtection="1">
      <protection locked="0"/>
    </xf>
    <xf numFmtId="0" fontId="7" fillId="0" borderId="47" xfId="0" applyFont="1" applyBorder="1"/>
    <xf numFmtId="0" fontId="7" fillId="0" borderId="33" xfId="0" applyFont="1" applyFill="1" applyBorder="1"/>
    <xf numFmtId="37" fontId="7" fillId="0" borderId="33" xfId="0" applyNumberFormat="1" applyFont="1" applyFill="1" applyBorder="1" applyProtection="1"/>
    <xf numFmtId="0" fontId="6" fillId="0" borderId="47" xfId="0" applyFont="1" applyBorder="1" applyProtection="1">
      <protection locked="0"/>
    </xf>
    <xf numFmtId="172" fontId="6" fillId="0" borderId="37" xfId="0" applyNumberFormat="1" applyFont="1" applyFill="1" applyBorder="1" applyAlignment="1" applyProtection="1">
      <alignment horizontal="center"/>
      <protection locked="0"/>
    </xf>
    <xf numFmtId="5" fontId="7" fillId="0" borderId="75" xfId="0" applyNumberFormat="1" applyFont="1" applyFill="1" applyBorder="1" applyProtection="1">
      <protection locked="0"/>
    </xf>
    <xf numFmtId="5" fontId="7" fillId="0" borderId="33" xfId="0" applyNumberFormat="1" applyFont="1" applyFill="1" applyBorder="1" applyProtection="1">
      <protection locked="0"/>
    </xf>
    <xf numFmtId="10" fontId="7" fillId="0" borderId="33" xfId="152" applyNumberFormat="1" applyFont="1" applyFill="1" applyBorder="1" applyProtection="1">
      <protection locked="0"/>
    </xf>
    <xf numFmtId="172" fontId="6" fillId="0" borderId="0" xfId="0" applyNumberFormat="1" applyFont="1" applyBorder="1" applyProtection="1">
      <protection locked="0"/>
    </xf>
    <xf numFmtId="0" fontId="7" fillId="0" borderId="1" xfId="0" applyFont="1" applyBorder="1"/>
    <xf numFmtId="5" fontId="7" fillId="0" borderId="76" xfId="0" applyNumberFormat="1" applyFont="1" applyFill="1" applyBorder="1" applyProtection="1">
      <protection locked="0"/>
    </xf>
    <xf numFmtId="7" fontId="7" fillId="0" borderId="76" xfId="0" applyNumberFormat="1" applyFont="1" applyFill="1" applyBorder="1" applyProtection="1">
      <protection locked="0"/>
    </xf>
    <xf numFmtId="0" fontId="6" fillId="0" borderId="0" xfId="0" quotePrefix="1" applyFont="1" applyFill="1" applyBorder="1" applyAlignment="1" applyProtection="1">
      <alignment horizontal="center"/>
      <protection locked="0"/>
    </xf>
    <xf numFmtId="0" fontId="7" fillId="0" borderId="78" xfId="0" applyFont="1" applyBorder="1"/>
    <xf numFmtId="0" fontId="7" fillId="0" borderId="79" xfId="0" applyFont="1" applyBorder="1"/>
    <xf numFmtId="0" fontId="7" fillId="0" borderId="75" xfId="0" applyFont="1" applyFill="1" applyBorder="1"/>
    <xf numFmtId="49" fontId="6" fillId="0" borderId="75" xfId="0" applyNumberFormat="1" applyFont="1" applyFill="1" applyBorder="1" applyAlignment="1">
      <alignment horizontal="center"/>
    </xf>
    <xf numFmtId="0" fontId="7" fillId="0" borderId="84" xfId="0" applyFont="1" applyFill="1" applyBorder="1"/>
    <xf numFmtId="37" fontId="6" fillId="0" borderId="32" xfId="0" applyNumberFormat="1" applyFon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168" fontId="7" fillId="0" borderId="0" xfId="0" applyNumberFormat="1" applyFont="1" applyBorder="1" applyAlignment="1" applyProtection="1">
      <alignment horizontal="centerContinuous"/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85" xfId="0" applyFont="1" applyBorder="1" applyAlignment="1">
      <alignment horizontal="center"/>
    </xf>
    <xf numFmtId="0" fontId="7" fillId="0" borderId="75" xfId="0" applyFont="1" applyBorder="1" applyAlignment="1" applyProtection="1">
      <alignment horizontal="center"/>
      <protection locked="0"/>
    </xf>
    <xf numFmtId="172" fontId="7" fillId="0" borderId="37" xfId="0" applyNumberFormat="1" applyFont="1" applyBorder="1" applyAlignment="1" applyProtection="1">
      <alignment horizontal="center"/>
    </xf>
    <xf numFmtId="0" fontId="7" fillId="0" borderId="76" xfId="0" applyFont="1" applyBorder="1" applyAlignment="1" applyProtection="1">
      <alignment horizontal="center"/>
      <protection locked="0"/>
    </xf>
    <xf numFmtId="0" fontId="7" fillId="0" borderId="37" xfId="0" applyFont="1" applyBorder="1" applyAlignment="1">
      <alignment horizontal="center"/>
    </xf>
    <xf numFmtId="0" fontId="6" fillId="0" borderId="0" xfId="0" quotePrefix="1" applyFont="1" applyAlignment="1" applyProtection="1">
      <alignment horizontal="left"/>
      <protection locked="0"/>
    </xf>
    <xf numFmtId="49" fontId="6" fillId="0" borderId="29" xfId="0" applyNumberFormat="1" applyFont="1" applyFill="1" applyBorder="1" applyAlignment="1">
      <alignment horizontal="center"/>
    </xf>
    <xf numFmtId="0" fontId="7" fillId="0" borderId="62" xfId="0" applyFont="1" applyFill="1" applyBorder="1"/>
    <xf numFmtId="5" fontId="7" fillId="0" borderId="32" xfId="0" applyNumberFormat="1" applyFont="1" applyFill="1" applyBorder="1" applyProtection="1">
      <protection locked="0"/>
    </xf>
    <xf numFmtId="5" fontId="7" fillId="0" borderId="46" xfId="0" applyNumberFormat="1" applyFont="1" applyFill="1" applyBorder="1" applyProtection="1">
      <protection locked="0"/>
    </xf>
    <xf numFmtId="5" fontId="7" fillId="0" borderId="47" xfId="0" applyNumberFormat="1" applyFont="1" applyFill="1" applyBorder="1" applyProtection="1">
      <protection locked="0"/>
    </xf>
    <xf numFmtId="0" fontId="7" fillId="0" borderId="88" xfId="0" applyFont="1" applyBorder="1" applyProtection="1">
      <protection locked="0"/>
    </xf>
    <xf numFmtId="0" fontId="7" fillId="0" borderId="88" xfId="0" applyFont="1" applyFill="1" applyBorder="1"/>
    <xf numFmtId="174" fontId="6" fillId="0" borderId="29" xfId="0" applyNumberFormat="1" applyFont="1" applyFill="1" applyBorder="1" applyAlignment="1">
      <alignment horizontal="center"/>
    </xf>
    <xf numFmtId="37" fontId="6" fillId="0" borderId="74" xfId="0" applyNumberFormat="1" applyFont="1" applyFill="1" applyBorder="1"/>
    <xf numFmtId="164" fontId="6" fillId="0" borderId="0" xfId="0" applyNumberFormat="1" applyFont="1"/>
    <xf numFmtId="43" fontId="6" fillId="0" borderId="0" xfId="53" applyFont="1" applyFill="1"/>
    <xf numFmtId="177" fontId="8" fillId="0" borderId="0" xfId="0" quotePrefix="1" applyNumberFormat="1" applyFont="1" applyFill="1" applyBorder="1" applyAlignment="1">
      <alignment horizontal="center" vertical="center"/>
    </xf>
    <xf numFmtId="178" fontId="8" fillId="0" borderId="0" xfId="0" quotePrefix="1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/>
    </xf>
    <xf numFmtId="164" fontId="6" fillId="0" borderId="0" xfId="0" applyNumberFormat="1" applyFont="1" applyFill="1"/>
    <xf numFmtId="177" fontId="6" fillId="0" borderId="0" xfId="0" applyNumberFormat="1" applyFont="1"/>
    <xf numFmtId="0" fontId="3" fillId="0" borderId="0" xfId="142" applyFont="1" applyAlignment="1">
      <alignment horizontal="center"/>
    </xf>
    <xf numFmtId="0" fontId="3" fillId="0" borderId="0" xfId="0" applyFont="1" applyAlignment="1">
      <alignment horizontal="center"/>
    </xf>
    <xf numFmtId="39" fontId="7" fillId="0" borderId="19" xfId="140" applyFont="1" applyBorder="1" applyAlignment="1" applyProtection="1">
      <alignment horizontal="center"/>
      <protection locked="0"/>
    </xf>
    <xf numFmtId="39" fontId="7" fillId="0" borderId="19" xfId="140" applyFont="1" applyBorder="1" applyAlignment="1" applyProtection="1">
      <alignment horizontal="center"/>
    </xf>
    <xf numFmtId="39" fontId="6" fillId="0" borderId="0" xfId="140" applyFont="1" applyProtection="1"/>
    <xf numFmtId="39" fontId="6" fillId="0" borderId="0" xfId="140" applyFont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7" fillId="0" borderId="27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27" xfId="0" applyFont="1" applyBorder="1" applyProtection="1">
      <protection locked="0"/>
    </xf>
    <xf numFmtId="0" fontId="6" fillId="0" borderId="0" xfId="0" quotePrefix="1" applyFont="1" applyAlignment="1">
      <alignment horizontal="center"/>
    </xf>
    <xf numFmtId="0" fontId="7" fillId="0" borderId="78" xfId="0" applyFont="1" applyBorder="1" applyProtection="1">
      <protection locked="0"/>
    </xf>
    <xf numFmtId="0" fontId="7" fillId="0" borderId="79" xfId="0" applyFont="1" applyBorder="1" applyProtection="1">
      <protection locked="0"/>
    </xf>
    <xf numFmtId="0" fontId="6" fillId="0" borderId="27" xfId="0" applyFont="1" applyBorder="1"/>
    <xf numFmtId="0" fontId="6" fillId="0" borderId="0" xfId="0" applyFont="1" applyBorder="1"/>
    <xf numFmtId="0" fontId="7" fillId="0" borderId="21" xfId="0" applyFont="1" applyBorder="1"/>
    <xf numFmtId="0" fontId="7" fillId="0" borderId="27" xfId="0" applyFont="1" applyBorder="1"/>
    <xf numFmtId="0" fontId="7" fillId="0" borderId="0" xfId="0" applyFont="1" applyBorder="1"/>
    <xf numFmtId="0" fontId="6" fillId="0" borderId="27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49" fontId="6" fillId="0" borderId="0" xfId="0" applyNumberFormat="1" applyFont="1" applyAlignment="1">
      <alignment horizontal="center"/>
    </xf>
    <xf numFmtId="164" fontId="4" fillId="0" borderId="0" xfId="53" applyNumberFormat="1" applyFont="1"/>
    <xf numFmtId="43" fontId="6" fillId="0" borderId="0" xfId="72" applyNumberFormat="1" applyFont="1" applyFill="1" applyBorder="1"/>
    <xf numFmtId="0" fontId="6" fillId="0" borderId="0" xfId="133" applyFont="1"/>
    <xf numFmtId="0" fontId="6" fillId="0" borderId="19" xfId="133" applyFont="1" applyBorder="1" applyAlignment="1">
      <alignment horizontal="center"/>
    </xf>
    <xf numFmtId="0" fontId="7" fillId="0" borderId="20" xfId="133" applyFont="1" applyBorder="1" applyAlignment="1">
      <alignment horizontal="center"/>
    </xf>
    <xf numFmtId="0" fontId="7" fillId="0" borderId="21" xfId="133" applyFont="1" applyBorder="1" applyAlignment="1">
      <alignment horizontal="center"/>
    </xf>
    <xf numFmtId="0" fontId="7" fillId="0" borderId="22" xfId="133" applyFont="1" applyBorder="1" applyAlignment="1">
      <alignment horizontal="center"/>
    </xf>
    <xf numFmtId="0" fontId="6" fillId="0" borderId="29" xfId="133" applyFont="1" applyBorder="1" applyAlignment="1">
      <alignment horizontal="center"/>
    </xf>
    <xf numFmtId="0" fontId="7" fillId="0" borderId="27" xfId="133" applyFont="1" applyBorder="1" applyAlignment="1">
      <alignment horizontal="center"/>
    </xf>
    <xf numFmtId="0" fontId="7" fillId="0" borderId="0" xfId="133" applyFont="1" applyBorder="1" applyAlignment="1">
      <alignment horizontal="center"/>
    </xf>
    <xf numFmtId="0" fontId="7" fillId="0" borderId="28" xfId="133" applyFont="1" applyBorder="1" applyAlignment="1">
      <alignment horizontal="center"/>
    </xf>
    <xf numFmtId="0" fontId="6" fillId="0" borderId="23" xfId="133" applyFont="1" applyBorder="1" applyAlignment="1">
      <alignment horizontal="center" wrapText="1"/>
    </xf>
    <xf numFmtId="0" fontId="7" fillId="0" borderId="24" xfId="133" applyFont="1" applyBorder="1"/>
    <xf numFmtId="0" fontId="7" fillId="0" borderId="25" xfId="133" applyFont="1" applyBorder="1" applyAlignment="1">
      <alignment horizontal="center" wrapText="1"/>
    </xf>
    <xf numFmtId="0" fontId="7" fillId="0" borderId="26" xfId="133" applyFont="1" applyBorder="1" applyAlignment="1">
      <alignment horizontal="center"/>
    </xf>
    <xf numFmtId="17" fontId="6" fillId="0" borderId="20" xfId="133" quotePrefix="1" applyNumberFormat="1" applyFont="1" applyBorder="1"/>
    <xf numFmtId="37" fontId="6" fillId="0" borderId="0" xfId="53" applyNumberFormat="1" applyFont="1" applyAlignment="1">
      <alignment horizontal="center"/>
    </xf>
    <xf numFmtId="3" fontId="6" fillId="0" borderId="28" xfId="133" applyNumberFormat="1" applyFont="1" applyBorder="1" applyAlignment="1">
      <alignment horizontal="center"/>
    </xf>
    <xf numFmtId="0" fontId="6" fillId="0" borderId="0" xfId="133" applyFont="1" applyBorder="1"/>
    <xf numFmtId="0" fontId="6" fillId="0" borderId="27" xfId="133" quotePrefix="1" applyFont="1" applyBorder="1"/>
    <xf numFmtId="37" fontId="6" fillId="0" borderId="0" xfId="53" applyNumberFormat="1" applyFont="1" applyFill="1" applyAlignment="1">
      <alignment horizontal="center"/>
    </xf>
    <xf numFmtId="0" fontId="6" fillId="0" borderId="0" xfId="133" applyFont="1" applyBorder="1" applyAlignment="1">
      <alignment horizontal="center"/>
    </xf>
    <xf numFmtId="0" fontId="6" fillId="0" borderId="27" xfId="133" applyFont="1" applyBorder="1"/>
    <xf numFmtId="3" fontId="6" fillId="0" borderId="0" xfId="133" applyNumberFormat="1" applyFont="1" applyBorder="1"/>
    <xf numFmtId="3" fontId="6" fillId="0" borderId="25" xfId="133" applyNumberFormat="1" applyFont="1" applyBorder="1" applyAlignment="1"/>
    <xf numFmtId="3" fontId="6" fillId="0" borderId="26" xfId="133" applyNumberFormat="1" applyFont="1" applyBorder="1" applyAlignment="1"/>
    <xf numFmtId="0" fontId="7" fillId="0" borderId="27" xfId="133" applyFont="1" applyBorder="1" applyAlignment="1">
      <alignment horizontal="left" indent="1"/>
    </xf>
    <xf numFmtId="3" fontId="6" fillId="0" borderId="21" xfId="133" applyNumberFormat="1" applyFont="1" applyBorder="1" applyAlignment="1">
      <alignment horizontal="center"/>
    </xf>
    <xf numFmtId="3" fontId="7" fillId="29" borderId="22" xfId="133" applyNumberFormat="1" applyFont="1" applyFill="1" applyBorder="1" applyAlignment="1">
      <alignment horizontal="center"/>
    </xf>
    <xf numFmtId="0" fontId="6" fillId="0" borderId="23" xfId="133" applyFont="1" applyBorder="1" applyAlignment="1">
      <alignment horizontal="center"/>
    </xf>
    <xf numFmtId="0" fontId="6" fillId="0" borderId="24" xfId="133" applyFont="1" applyBorder="1"/>
    <xf numFmtId="0" fontId="6" fillId="0" borderId="25" xfId="133" applyFont="1" applyBorder="1"/>
    <xf numFmtId="0" fontId="6" fillId="0" borderId="26" xfId="133" applyFont="1" applyBorder="1"/>
    <xf numFmtId="0" fontId="6" fillId="0" borderId="0" xfId="135" applyFont="1" applyProtection="1">
      <protection locked="0"/>
    </xf>
    <xf numFmtId="0" fontId="6" fillId="0" borderId="0" xfId="135" applyFont="1"/>
    <xf numFmtId="166" fontId="6" fillId="0" borderId="0" xfId="135" applyNumberFormat="1" applyFont="1" applyAlignment="1" applyProtection="1">
      <alignment horizontal="left"/>
      <protection locked="0"/>
    </xf>
    <xf numFmtId="0" fontId="6" fillId="0" borderId="0" xfId="135" applyFont="1" applyBorder="1" applyProtection="1">
      <protection locked="0"/>
    </xf>
    <xf numFmtId="0" fontId="6" fillId="0" borderId="0" xfId="135" applyFont="1" applyBorder="1"/>
    <xf numFmtId="0" fontId="6" fillId="0" borderId="40" xfId="135" applyFont="1" applyBorder="1" applyAlignment="1">
      <alignment horizontal="center" wrapText="1"/>
    </xf>
    <xf numFmtId="0" fontId="7" fillId="0" borderId="30" xfId="135" applyFont="1" applyBorder="1"/>
    <xf numFmtId="14" fontId="7" fillId="0" borderId="30" xfId="135" applyNumberFormat="1" applyFont="1" applyBorder="1" applyAlignment="1" applyProtection="1">
      <alignment horizontal="center"/>
      <protection locked="0"/>
    </xf>
    <xf numFmtId="0" fontId="7" fillId="0" borderId="30" xfId="135" applyFont="1" applyBorder="1" applyAlignment="1" applyProtection="1">
      <alignment horizontal="center"/>
      <protection locked="0"/>
    </xf>
    <xf numFmtId="0" fontId="6" fillId="0" borderId="19" xfId="135" applyFont="1" applyBorder="1" applyAlignment="1">
      <alignment horizontal="center"/>
    </xf>
    <xf numFmtId="37" fontId="6" fillId="0" borderId="32" xfId="135" applyNumberFormat="1" applyFont="1" applyBorder="1" applyProtection="1">
      <protection locked="0"/>
    </xf>
    <xf numFmtId="164" fontId="6" fillId="0" borderId="29" xfId="74" applyNumberFormat="1" applyFont="1" applyBorder="1"/>
    <xf numFmtId="0" fontId="6" fillId="0" borderId="29" xfId="135" applyFont="1" applyBorder="1" applyAlignment="1">
      <alignment horizontal="center"/>
    </xf>
    <xf numFmtId="37" fontId="6" fillId="0" borderId="44" xfId="135" applyNumberFormat="1" applyFont="1" applyBorder="1" applyProtection="1">
      <protection locked="0"/>
    </xf>
    <xf numFmtId="164" fontId="6" fillId="0" borderId="23" xfId="74" applyNumberFormat="1" applyFont="1" applyBorder="1"/>
    <xf numFmtId="0" fontId="6" fillId="0" borderId="0" xfId="135" applyFont="1" applyBorder="1" applyAlignment="1">
      <alignment horizontal="left" indent="1"/>
    </xf>
    <xf numFmtId="37" fontId="6" fillId="0" borderId="45" xfId="135" applyNumberFormat="1" applyFont="1" applyBorder="1" applyProtection="1">
      <protection locked="0"/>
    </xf>
    <xf numFmtId="37" fontId="6" fillId="0" borderId="37" xfId="135" applyNumberFormat="1" applyFont="1" applyBorder="1" applyProtection="1">
      <protection locked="0"/>
    </xf>
    <xf numFmtId="37" fontId="6" fillId="0" borderId="28" xfId="0" applyNumberFormat="1" applyFont="1" applyBorder="1" applyProtection="1">
      <protection locked="0"/>
    </xf>
    <xf numFmtId="0" fontId="7" fillId="0" borderId="0" xfId="135" applyFont="1" applyBorder="1"/>
    <xf numFmtId="37" fontId="6" fillId="0" borderId="40" xfId="135" applyNumberFormat="1" applyFont="1" applyBorder="1" applyProtection="1">
      <protection locked="0"/>
    </xf>
    <xf numFmtId="37" fontId="6" fillId="0" borderId="31" xfId="135" applyNumberFormat="1" applyFont="1" applyBorder="1" applyProtection="1">
      <protection locked="0"/>
    </xf>
    <xf numFmtId="37" fontId="7" fillId="29" borderId="31" xfId="135" applyNumberFormat="1" applyFont="1" applyFill="1" applyBorder="1" applyProtection="1">
      <protection locked="0"/>
    </xf>
    <xf numFmtId="0" fontId="6" fillId="0" borderId="23" xfId="135" applyFont="1" applyBorder="1" applyAlignment="1">
      <alignment horizontal="center"/>
    </xf>
    <xf numFmtId="0" fontId="6" fillId="0" borderId="1" xfId="135" applyFont="1" applyBorder="1" applyAlignment="1">
      <alignment horizontal="center"/>
    </xf>
    <xf numFmtId="37" fontId="6" fillId="0" borderId="35" xfId="135" applyNumberFormat="1" applyFont="1" applyBorder="1" applyProtection="1"/>
    <xf numFmtId="0" fontId="6" fillId="0" borderId="23" xfId="135" applyFont="1" applyBorder="1"/>
    <xf numFmtId="37" fontId="6" fillId="0" borderId="0" xfId="135" applyNumberFormat="1" applyFont="1" applyProtection="1"/>
    <xf numFmtId="0" fontId="6" fillId="0" borderId="0" xfId="135" applyFont="1" applyBorder="1" applyAlignment="1">
      <alignment horizontal="left" indent="2"/>
    </xf>
    <xf numFmtId="164" fontId="6" fillId="0" borderId="0" xfId="74" applyNumberFormat="1" applyFont="1" applyBorder="1"/>
    <xf numFmtId="37" fontId="6" fillId="0" borderId="0" xfId="135" applyNumberFormat="1" applyFont="1"/>
    <xf numFmtId="164" fontId="6" fillId="0" borderId="0" xfId="135" applyNumberFormat="1" applyFont="1" applyBorder="1"/>
    <xf numFmtId="0" fontId="6" fillId="0" borderId="0" xfId="137" applyFont="1" applyAlignment="1">
      <alignment horizontal="center"/>
    </xf>
    <xf numFmtId="0" fontId="6" fillId="0" borderId="0" xfId="137" applyFont="1"/>
    <xf numFmtId="0" fontId="6" fillId="0" borderId="0" xfId="137" applyFont="1" applyAlignment="1">
      <alignment horizontal="right"/>
    </xf>
    <xf numFmtId="0" fontId="6" fillId="0" borderId="0" xfId="137" applyFont="1" applyAlignment="1" applyProtection="1">
      <alignment horizontal="right"/>
    </xf>
    <xf numFmtId="168" fontId="6" fillId="0" borderId="0" xfId="137" applyNumberFormat="1" applyFont="1" applyAlignment="1" applyProtection="1">
      <alignment horizontal="left"/>
    </xf>
    <xf numFmtId="0" fontId="6" fillId="0" borderId="0" xfId="137" applyFont="1" applyFill="1"/>
    <xf numFmtId="0" fontId="6" fillId="0" borderId="0" xfId="137" applyFont="1" applyFill="1" applyAlignment="1">
      <alignment horizontal="center"/>
    </xf>
    <xf numFmtId="0" fontId="7" fillId="0" borderId="0" xfId="137" applyFont="1"/>
    <xf numFmtId="0" fontId="6" fillId="0" borderId="1" xfId="137" applyFont="1" applyBorder="1"/>
    <xf numFmtId="0" fontId="6" fillId="0" borderId="1" xfId="137" applyFont="1" applyFill="1" applyBorder="1" applyAlignment="1">
      <alignment horizontal="center"/>
    </xf>
    <xf numFmtId="0" fontId="6" fillId="0" borderId="36" xfId="137" applyFont="1" applyBorder="1" applyAlignment="1">
      <alignment horizontal="center" wrapText="1"/>
    </xf>
    <xf numFmtId="0" fontId="7" fillId="0" borderId="35" xfId="137" applyFont="1" applyBorder="1"/>
    <xf numFmtId="0" fontId="7" fillId="0" borderId="49" xfId="137" applyFont="1" applyFill="1" applyBorder="1" applyAlignment="1">
      <alignment horizontal="center" wrapText="1"/>
    </xf>
    <xf numFmtId="0" fontId="7" fillId="0" borderId="42" xfId="137" applyFont="1" applyFill="1" applyBorder="1" applyAlignment="1">
      <alignment horizontal="center" wrapText="1"/>
    </xf>
    <xf numFmtId="0" fontId="6" fillId="0" borderId="31" xfId="137" applyFont="1" applyBorder="1" applyAlignment="1">
      <alignment horizontal="center"/>
    </xf>
    <xf numFmtId="0" fontId="6" fillId="0" borderId="40" xfId="137" quotePrefix="1" applyFont="1" applyBorder="1"/>
    <xf numFmtId="37" fontId="6" fillId="0" borderId="34" xfId="137" applyNumberFormat="1" applyFont="1" applyFill="1" applyBorder="1" applyProtection="1"/>
    <xf numFmtId="37" fontId="6" fillId="0" borderId="48" xfId="137" applyNumberFormat="1" applyFont="1" applyFill="1" applyBorder="1" applyProtection="1"/>
    <xf numFmtId="0" fontId="6" fillId="0" borderId="33" xfId="137" applyFont="1" applyBorder="1" applyAlignment="1">
      <alignment horizontal="center"/>
    </xf>
    <xf numFmtId="0" fontId="6" fillId="0" borderId="32" xfId="137" quotePrefix="1" applyFont="1" applyBorder="1"/>
    <xf numFmtId="37" fontId="6" fillId="0" borderId="0" xfId="137" applyNumberFormat="1" applyFont="1" applyFill="1" applyBorder="1" applyProtection="1"/>
    <xf numFmtId="37" fontId="6" fillId="0" borderId="47" xfId="137" applyNumberFormat="1" applyFont="1" applyFill="1" applyBorder="1" applyProtection="1"/>
    <xf numFmtId="0" fontId="6" fillId="0" borderId="32" xfId="137" applyFont="1" applyBorder="1"/>
    <xf numFmtId="0" fontId="7" fillId="0" borderId="0" xfId="137" applyFont="1" applyFill="1"/>
    <xf numFmtId="37" fontId="6" fillId="0" borderId="0" xfId="137" applyNumberFormat="1" applyFont="1"/>
    <xf numFmtId="0" fontId="7" fillId="0" borderId="32" xfId="137" applyFont="1" applyBorder="1" applyAlignment="1">
      <alignment horizontal="left" indent="1"/>
    </xf>
    <xf numFmtId="37" fontId="6" fillId="0" borderId="0" xfId="137" applyNumberFormat="1" applyFont="1" applyBorder="1" applyProtection="1"/>
    <xf numFmtId="37" fontId="6" fillId="0" borderId="48" xfId="137" applyNumberFormat="1" applyFont="1" applyBorder="1" applyProtection="1"/>
    <xf numFmtId="37" fontId="7" fillId="0" borderId="0" xfId="137" applyNumberFormat="1" applyFont="1" applyBorder="1" applyProtection="1"/>
    <xf numFmtId="37" fontId="7" fillId="29" borderId="47" xfId="137" applyNumberFormat="1" applyFont="1" applyFill="1" applyBorder="1" applyProtection="1"/>
    <xf numFmtId="0" fontId="6" fillId="0" borderId="37" xfId="137" applyFont="1" applyBorder="1" applyAlignment="1">
      <alignment horizontal="center"/>
    </xf>
    <xf numFmtId="0" fontId="6" fillId="0" borderId="35" xfId="137" applyFont="1" applyBorder="1"/>
    <xf numFmtId="0" fontId="6" fillId="0" borderId="42" xfId="137" applyFont="1" applyBorder="1"/>
    <xf numFmtId="0" fontId="6" fillId="0" borderId="0" xfId="137" applyFont="1" applyBorder="1" applyAlignment="1">
      <alignment horizontal="center"/>
    </xf>
    <xf numFmtId="0" fontId="6" fillId="0" borderId="34" xfId="137" applyFont="1" applyBorder="1"/>
    <xf numFmtId="164" fontId="6" fillId="0" borderId="29" xfId="173" applyNumberFormat="1" applyFont="1" applyFill="1" applyBorder="1" applyAlignment="1" applyProtection="1">
      <alignment horizontal="right" vertical="center" wrapText="1"/>
    </xf>
    <xf numFmtId="164" fontId="6" fillId="0" borderId="46" xfId="173" applyNumberFormat="1" applyFont="1" applyFill="1" applyBorder="1" applyAlignment="1" applyProtection="1">
      <alignment horizontal="right" vertical="center" wrapText="1"/>
    </xf>
    <xf numFmtId="37" fontId="7" fillId="0" borderId="43" xfId="140" applyNumberFormat="1" applyFont="1" applyFill="1" applyBorder="1" applyProtection="1"/>
    <xf numFmtId="37" fontId="7" fillId="0" borderId="31" xfId="140" applyNumberFormat="1" applyFont="1" applyFill="1" applyBorder="1" applyProtection="1"/>
    <xf numFmtId="37" fontId="6" fillId="0" borderId="33" xfId="140" applyNumberFormat="1" applyFont="1" applyFill="1" applyBorder="1" applyProtection="1"/>
    <xf numFmtId="37" fontId="6" fillId="0" borderId="33" xfId="140" applyNumberFormat="1" applyFont="1" applyFill="1" applyBorder="1" applyProtection="1">
      <protection locked="0"/>
    </xf>
    <xf numFmtId="37" fontId="6" fillId="0" borderId="29" xfId="140" applyNumberFormat="1" applyFont="1" applyFill="1" applyBorder="1" applyProtection="1"/>
    <xf numFmtId="37" fontId="6" fillId="0" borderId="33" xfId="195" applyNumberFormat="1" applyFont="1" applyFill="1" applyBorder="1" applyProtection="1">
      <protection locked="0"/>
    </xf>
    <xf numFmtId="37" fontId="6" fillId="0" borderId="28" xfId="140" applyNumberFormat="1" applyFont="1" applyFill="1" applyBorder="1" applyProtection="1">
      <protection locked="0"/>
    </xf>
    <xf numFmtId="37" fontId="6" fillId="0" borderId="26" xfId="140" applyNumberFormat="1" applyFont="1" applyFill="1" applyBorder="1" applyProtection="1">
      <protection locked="0"/>
    </xf>
    <xf numFmtId="37" fontId="7" fillId="29" borderId="12" xfId="140" applyNumberFormat="1" applyFont="1" applyFill="1" applyBorder="1" applyProtection="1">
      <protection locked="0"/>
    </xf>
    <xf numFmtId="37" fontId="6" fillId="0" borderId="51" xfId="140" applyNumberFormat="1" applyFont="1" applyFill="1" applyBorder="1" applyProtection="1"/>
    <xf numFmtId="37" fontId="6" fillId="0" borderId="25" xfId="140" applyNumberFormat="1" applyFont="1" applyFill="1" applyBorder="1" applyProtection="1"/>
    <xf numFmtId="37" fontId="6" fillId="0" borderId="53" xfId="140" quotePrefix="1" applyNumberFormat="1" applyFont="1" applyFill="1" applyBorder="1" applyAlignment="1" applyProtection="1">
      <alignment horizontal="center"/>
    </xf>
    <xf numFmtId="37" fontId="6" fillId="0" borderId="29" xfId="140" applyNumberFormat="1" applyFont="1" applyFill="1" applyBorder="1"/>
    <xf numFmtId="37" fontId="7" fillId="0" borderId="39" xfId="140" applyNumberFormat="1" applyFont="1" applyFill="1" applyBorder="1" applyProtection="1">
      <protection locked="0"/>
    </xf>
    <xf numFmtId="37" fontId="7" fillId="0" borderId="22" xfId="140" applyNumberFormat="1" applyFont="1" applyFill="1" applyBorder="1" applyProtection="1">
      <protection locked="0"/>
    </xf>
    <xf numFmtId="39" fontId="7" fillId="0" borderId="57" xfId="140" applyFont="1" applyBorder="1" applyProtection="1"/>
    <xf numFmtId="39" fontId="7" fillId="0" borderId="58" xfId="140" applyFont="1" applyBorder="1" applyAlignment="1" applyProtection="1">
      <alignment horizontal="center"/>
    </xf>
    <xf numFmtId="37" fontId="7" fillId="0" borderId="59" xfId="140" applyNumberFormat="1" applyFont="1" applyFill="1" applyBorder="1" applyProtection="1"/>
    <xf numFmtId="39" fontId="7" fillId="0" borderId="27" xfId="140" applyFont="1" applyBorder="1" applyProtection="1"/>
    <xf numFmtId="37" fontId="7" fillId="0" borderId="28" xfId="140" applyNumberFormat="1" applyFont="1" applyFill="1" applyBorder="1" applyProtection="1"/>
    <xf numFmtId="37" fontId="6" fillId="0" borderId="29" xfId="140" applyNumberFormat="1" applyFont="1" applyFill="1" applyBorder="1" applyAlignment="1" applyProtection="1">
      <alignment wrapText="1"/>
      <protection locked="0"/>
    </xf>
    <xf numFmtId="37" fontId="6" fillId="0" borderId="56" xfId="140" applyNumberFormat="1" applyFont="1" applyFill="1" applyBorder="1" applyProtection="1">
      <protection locked="0"/>
    </xf>
    <xf numFmtId="37" fontId="7" fillId="0" borderId="60" xfId="140" applyNumberFormat="1" applyFont="1" applyFill="1" applyBorder="1" applyProtection="1"/>
    <xf numFmtId="37" fontId="6" fillId="0" borderId="39" xfId="140" applyNumberFormat="1" applyFont="1" applyFill="1" applyBorder="1" applyProtection="1"/>
    <xf numFmtId="37" fontId="6" fillId="0" borderId="0" xfId="140" applyNumberFormat="1" applyFont="1" applyFill="1" applyBorder="1" applyProtection="1"/>
    <xf numFmtId="37" fontId="6" fillId="0" borderId="61" xfId="140" applyNumberFormat="1" applyFont="1" applyFill="1" applyBorder="1" applyProtection="1"/>
    <xf numFmtId="37" fontId="6" fillId="0" borderId="33" xfId="210" applyNumberFormat="1" applyFont="1" applyFill="1" applyBorder="1" applyProtection="1">
      <protection locked="0"/>
    </xf>
    <xf numFmtId="39" fontId="7" fillId="0" borderId="63" xfId="140" applyFont="1" applyBorder="1" applyProtection="1"/>
    <xf numFmtId="39" fontId="7" fillId="0" borderId="49" xfId="140" applyFont="1" applyBorder="1" applyAlignment="1" applyProtection="1">
      <alignment horizontal="center"/>
    </xf>
    <xf numFmtId="37" fontId="7" fillId="0" borderId="64" xfId="140" applyNumberFormat="1" applyFont="1" applyFill="1" applyBorder="1" applyProtection="1"/>
    <xf numFmtId="39" fontId="7" fillId="0" borderId="65" xfId="140" applyFont="1" applyBorder="1" applyProtection="1"/>
    <xf numFmtId="39" fontId="7" fillId="0" borderId="31" xfId="140" applyFont="1" applyBorder="1" applyAlignment="1" applyProtection="1">
      <alignment horizontal="center"/>
    </xf>
    <xf numFmtId="37" fontId="6" fillId="0" borderId="62" xfId="140" applyNumberFormat="1" applyFont="1" applyFill="1" applyBorder="1" applyProtection="1"/>
    <xf numFmtId="37" fontId="6" fillId="0" borderId="62" xfId="219" applyNumberFormat="1" applyFont="1" applyFill="1" applyBorder="1" applyProtection="1"/>
    <xf numFmtId="37" fontId="6" fillId="0" borderId="33" xfId="219" applyNumberFormat="1" applyFont="1" applyFill="1" applyBorder="1" applyProtection="1">
      <protection locked="0"/>
    </xf>
    <xf numFmtId="37" fontId="6" fillId="0" borderId="37" xfId="219" applyNumberFormat="1" applyFont="1" applyFill="1" applyBorder="1" applyProtection="1">
      <protection locked="0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37" fontId="6" fillId="0" borderId="28" xfId="143" applyNumberFormat="1" applyFont="1" applyFill="1" applyBorder="1" applyProtection="1">
      <protection locked="0"/>
    </xf>
    <xf numFmtId="9" fontId="6" fillId="0" borderId="28" xfId="222" applyNumberFormat="1" applyFont="1" applyBorder="1"/>
    <xf numFmtId="37" fontId="7" fillId="29" borderId="69" xfId="124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right" vertical="center"/>
    </xf>
    <xf numFmtId="0" fontId="6" fillId="0" borderId="0" xfId="138" applyFont="1" applyFill="1" applyBorder="1" applyAlignment="1">
      <alignment horizontal="center" vertical="center"/>
    </xf>
    <xf numFmtId="0" fontId="6" fillId="0" borderId="0" xfId="138" quotePrefix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right"/>
      <protection locked="0"/>
    </xf>
    <xf numFmtId="168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7" fillId="0" borderId="0" xfId="0" applyFont="1" applyFill="1"/>
    <xf numFmtId="0" fontId="6" fillId="0" borderId="0" xfId="0" applyFont="1" applyAlignment="1" applyProtection="1">
      <alignment horizontal="center"/>
    </xf>
    <xf numFmtId="0" fontId="7" fillId="0" borderId="38" xfId="0" applyFont="1" applyBorder="1" applyProtection="1">
      <protection locked="0"/>
    </xf>
    <xf numFmtId="0" fontId="7" fillId="0" borderId="39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/>
    <xf numFmtId="37" fontId="6" fillId="0" borderId="28" xfId="0" applyNumberFormat="1" applyFont="1" applyFill="1" applyBorder="1" applyProtection="1">
      <protection locked="0"/>
    </xf>
    <xf numFmtId="37" fontId="6" fillId="0" borderId="26" xfId="0" applyNumberFormat="1" applyFont="1" applyFill="1" applyBorder="1" applyProtection="1"/>
    <xf numFmtId="37" fontId="6" fillId="0" borderId="28" xfId="0" applyNumberFormat="1" applyFont="1" applyFill="1" applyBorder="1" applyProtection="1"/>
    <xf numFmtId="37" fontId="7" fillId="29" borderId="28" xfId="0" applyNumberFormat="1" applyFont="1" applyFill="1" applyBorder="1" applyProtection="1">
      <protection locked="0"/>
    </xf>
    <xf numFmtId="37" fontId="6" fillId="0" borderId="50" xfId="0" applyNumberFormat="1" applyFont="1" applyFill="1" applyBorder="1" applyProtection="1"/>
    <xf numFmtId="0" fontId="6" fillId="0" borderId="24" xfId="0" applyFont="1" applyBorder="1" applyProtection="1">
      <protection locked="0"/>
    </xf>
    <xf numFmtId="37" fontId="6" fillId="0" borderId="26" xfId="0" applyNumberFormat="1" applyFont="1" applyFill="1" applyBorder="1" applyProtection="1">
      <protection locked="0"/>
    </xf>
    <xf numFmtId="37" fontId="6" fillId="0" borderId="0" xfId="0" applyNumberFormat="1" applyFont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6" fillId="0" borderId="0" xfId="135" applyFont="1" applyAlignment="1" applyProtection="1">
      <alignment horizontal="right"/>
      <protection locked="0"/>
    </xf>
    <xf numFmtId="168" fontId="6" fillId="0" borderId="0" xfId="135" applyNumberFormat="1" applyFont="1" applyAlignment="1" applyProtection="1">
      <alignment horizontal="left"/>
      <protection locked="0"/>
    </xf>
    <xf numFmtId="0" fontId="6" fillId="0" borderId="0" xfId="135" applyFont="1" applyFill="1"/>
    <xf numFmtId="0" fontId="6" fillId="0" borderId="0" xfId="135" applyFont="1" applyAlignment="1" applyProtection="1">
      <alignment horizontal="center"/>
    </xf>
    <xf numFmtId="0" fontId="6" fillId="0" borderId="0" xfId="135" applyFont="1" applyFill="1" applyAlignment="1">
      <alignment horizontal="center"/>
    </xf>
    <xf numFmtId="0" fontId="6" fillId="0" borderId="31" xfId="135" applyFont="1" applyBorder="1" applyAlignment="1">
      <alignment horizontal="center"/>
    </xf>
    <xf numFmtId="0" fontId="6" fillId="0" borderId="40" xfId="135" applyFont="1" applyBorder="1"/>
    <xf numFmtId="0" fontId="6" fillId="0" borderId="37" xfId="135" applyFont="1" applyBorder="1" applyAlignment="1">
      <alignment horizontal="center" wrapText="1"/>
    </xf>
    <xf numFmtId="0" fontId="7" fillId="0" borderId="35" xfId="135" applyFont="1" applyBorder="1" applyAlignment="1" applyProtection="1">
      <alignment wrapText="1"/>
      <protection locked="0"/>
    </xf>
    <xf numFmtId="0" fontId="7" fillId="0" borderId="37" xfId="135" applyFont="1" applyFill="1" applyBorder="1" applyAlignment="1" applyProtection="1">
      <alignment horizontal="center" wrapText="1"/>
      <protection locked="0"/>
    </xf>
    <xf numFmtId="0" fontId="6" fillId="0" borderId="40" xfId="135" applyFont="1" applyBorder="1" applyProtection="1">
      <protection locked="0"/>
    </xf>
    <xf numFmtId="0" fontId="6" fillId="0" borderId="31" xfId="135" applyFont="1" applyFill="1" applyBorder="1" applyProtection="1">
      <protection locked="0"/>
    </xf>
    <xf numFmtId="0" fontId="6" fillId="0" borderId="31" xfId="135" applyFont="1" applyFill="1" applyBorder="1"/>
    <xf numFmtId="0" fontId="6" fillId="0" borderId="33" xfId="135" applyFont="1" applyBorder="1" applyAlignment="1">
      <alignment horizontal="center"/>
    </xf>
    <xf numFmtId="0" fontId="6" fillId="0" borderId="32" xfId="135" applyFont="1" applyBorder="1"/>
    <xf numFmtId="37" fontId="6" fillId="0" borderId="33" xfId="135" applyNumberFormat="1" applyFont="1" applyFill="1" applyBorder="1" applyProtection="1">
      <protection locked="0"/>
    </xf>
    <xf numFmtId="10" fontId="6" fillId="0" borderId="33" xfId="135" applyNumberFormat="1" applyFont="1" applyFill="1" applyBorder="1" applyProtection="1">
      <protection locked="0"/>
    </xf>
    <xf numFmtId="164" fontId="6" fillId="0" borderId="33" xfId="53" applyNumberFormat="1" applyFont="1" applyFill="1" applyBorder="1" applyProtection="1">
      <protection locked="0"/>
    </xf>
    <xf numFmtId="0" fontId="6" fillId="0" borderId="32" xfId="135" applyFont="1" applyBorder="1" applyAlignment="1">
      <alignment horizontal="left" indent="1"/>
    </xf>
    <xf numFmtId="37" fontId="6" fillId="0" borderId="33" xfId="135" applyNumberFormat="1" applyFont="1" applyFill="1" applyBorder="1" applyProtection="1"/>
    <xf numFmtId="10" fontId="6" fillId="0" borderId="33" xfId="135" applyNumberFormat="1" applyFont="1" applyFill="1" applyBorder="1" applyProtection="1"/>
    <xf numFmtId="37" fontId="6" fillId="0" borderId="33" xfId="135" applyNumberFormat="1" applyFont="1" applyFill="1" applyBorder="1"/>
    <xf numFmtId="0" fontId="6" fillId="0" borderId="32" xfId="135" applyFont="1" applyBorder="1" applyAlignment="1">
      <alignment horizontal="left"/>
    </xf>
    <xf numFmtId="5" fontId="6" fillId="0" borderId="31" xfId="135" applyNumberFormat="1" applyFont="1" applyFill="1" applyBorder="1"/>
    <xf numFmtId="10" fontId="6" fillId="0" borderId="31" xfId="135" applyNumberFormat="1" applyFont="1" applyFill="1" applyBorder="1" applyProtection="1"/>
    <xf numFmtId="37" fontId="7" fillId="29" borderId="31" xfId="135" applyNumberFormat="1" applyFont="1" applyFill="1" applyBorder="1"/>
    <xf numFmtId="10" fontId="6" fillId="0" borderId="31" xfId="135" applyNumberFormat="1" applyFont="1" applyFill="1" applyBorder="1" applyProtection="1">
      <protection locked="0"/>
    </xf>
    <xf numFmtId="0" fontId="6" fillId="0" borderId="33" xfId="135" applyFont="1" applyFill="1" applyBorder="1"/>
    <xf numFmtId="37" fontId="7" fillId="29" borderId="33" xfId="135" applyNumberFormat="1" applyFont="1" applyFill="1" applyBorder="1" applyProtection="1">
      <protection locked="0"/>
    </xf>
    <xf numFmtId="0" fontId="6" fillId="0" borderId="33" xfId="135" applyFont="1" applyBorder="1" applyAlignment="1">
      <alignment horizontal="left" indent="1"/>
    </xf>
    <xf numFmtId="37" fontId="6" fillId="0" borderId="46" xfId="135" applyNumberFormat="1" applyFont="1" applyFill="1" applyBorder="1" applyProtection="1">
      <protection locked="0"/>
    </xf>
    <xf numFmtId="10" fontId="6" fillId="0" borderId="46" xfId="135" applyNumberFormat="1" applyFont="1" applyFill="1" applyBorder="1" applyProtection="1">
      <protection locked="0"/>
    </xf>
    <xf numFmtId="37" fontId="7" fillId="29" borderId="33" xfId="135" applyNumberFormat="1" applyFont="1" applyFill="1" applyBorder="1" applyProtection="1"/>
    <xf numFmtId="37" fontId="6" fillId="0" borderId="31" xfId="135" applyNumberFormat="1" applyFont="1" applyFill="1" applyBorder="1" applyProtection="1">
      <protection locked="0"/>
    </xf>
    <xf numFmtId="10" fontId="6" fillId="0" borderId="41" xfId="135" applyNumberFormat="1" applyFont="1" applyFill="1" applyBorder="1" applyProtection="1">
      <protection locked="0"/>
    </xf>
    <xf numFmtId="37" fontId="6" fillId="0" borderId="41" xfId="135" applyNumberFormat="1" applyFont="1" applyFill="1" applyBorder="1" applyProtection="1">
      <protection locked="0"/>
    </xf>
    <xf numFmtId="0" fontId="6" fillId="0" borderId="37" xfId="135" applyFont="1" applyBorder="1" applyAlignment="1">
      <alignment horizontal="center"/>
    </xf>
    <xf numFmtId="0" fontId="6" fillId="0" borderId="35" xfId="135" applyFont="1" applyBorder="1"/>
    <xf numFmtId="0" fontId="6" fillId="0" borderId="35" xfId="135" applyFont="1" applyFill="1" applyBorder="1"/>
    <xf numFmtId="0" fontId="6" fillId="0" borderId="42" xfId="135" applyFont="1" applyFill="1" applyBorder="1"/>
    <xf numFmtId="0" fontId="6" fillId="0" borderId="34" xfId="135" applyFont="1" applyBorder="1"/>
    <xf numFmtId="0" fontId="6" fillId="0" borderId="34" xfId="135" applyFont="1" applyFill="1" applyBorder="1"/>
    <xf numFmtId="0" fontId="6" fillId="0" borderId="0" xfId="135" applyFont="1" applyFill="1" applyBorder="1"/>
    <xf numFmtId="0" fontId="6" fillId="0" borderId="0" xfId="0" applyFont="1" applyFill="1" applyProtection="1">
      <protection locked="0"/>
    </xf>
    <xf numFmtId="168" fontId="6" fillId="0" borderId="0" xfId="0" applyNumberFormat="1" applyFont="1" applyFill="1" applyAlignment="1" applyProtection="1">
      <alignment horizontal="left"/>
      <protection locked="0"/>
    </xf>
    <xf numFmtId="167" fontId="6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>
      <alignment horizontal="centerContinuous"/>
    </xf>
    <xf numFmtId="37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>
      <alignment horizontal="centerContinuous"/>
    </xf>
    <xf numFmtId="0" fontId="7" fillId="0" borderId="75" xfId="0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>
      <alignment horizontal="center" wrapText="1"/>
    </xf>
    <xf numFmtId="0" fontId="7" fillId="0" borderId="77" xfId="0" applyFont="1" applyFill="1" applyBorder="1" applyAlignment="1" applyProtection="1">
      <alignment horizontal="center"/>
      <protection locked="0"/>
    </xf>
    <xf numFmtId="0" fontId="7" fillId="0" borderId="76" xfId="0" applyFon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center" wrapText="1"/>
      <protection locked="0"/>
    </xf>
    <xf numFmtId="0" fontId="6" fillId="0" borderId="33" xfId="0" applyFont="1" applyFill="1" applyBorder="1" applyAlignment="1">
      <alignment horizontal="center"/>
    </xf>
    <xf numFmtId="0" fontId="6" fillId="0" borderId="77" xfId="0" applyFont="1" applyFill="1" applyBorder="1" applyProtection="1">
      <protection locked="0"/>
    </xf>
    <xf numFmtId="37" fontId="6" fillId="0" borderId="76" xfId="0" applyNumberFormat="1" applyFont="1" applyFill="1" applyBorder="1"/>
    <xf numFmtId="0" fontId="7" fillId="0" borderId="77" xfId="0" applyFont="1" applyFill="1" applyBorder="1" applyProtection="1">
      <protection locked="0"/>
    </xf>
    <xf numFmtId="37" fontId="7" fillId="0" borderId="76" xfId="0" applyNumberFormat="1" applyFont="1" applyFill="1" applyBorder="1" applyProtection="1">
      <protection locked="0"/>
    </xf>
    <xf numFmtId="7" fontId="7" fillId="0" borderId="77" xfId="0" applyNumberFormat="1" applyFont="1" applyFill="1" applyBorder="1" applyProtection="1">
      <protection locked="0"/>
    </xf>
    <xf numFmtId="37" fontId="6" fillId="0" borderId="0" xfId="0" applyNumberFormat="1" applyFont="1" applyFill="1" applyAlignment="1">
      <alignment horizontal="left"/>
    </xf>
    <xf numFmtId="0" fontId="6" fillId="0" borderId="37" xfId="0" applyFont="1" applyFill="1" applyBorder="1" applyAlignment="1">
      <alignment horizontal="center"/>
    </xf>
    <xf numFmtId="164" fontId="6" fillId="0" borderId="0" xfId="56" applyNumberFormat="1" applyFont="1" applyFill="1"/>
    <xf numFmtId="0" fontId="6" fillId="0" borderId="78" xfId="0" applyFont="1" applyBorder="1" applyProtection="1">
      <protection locked="0"/>
    </xf>
    <xf numFmtId="0" fontId="6" fillId="0" borderId="79" xfId="0" applyFont="1" applyBorder="1" applyProtection="1">
      <protection locked="0"/>
    </xf>
    <xf numFmtId="172" fontId="6" fillId="0" borderId="75" xfId="0" applyNumberFormat="1" applyFont="1" applyBorder="1" applyProtection="1">
      <protection locked="0"/>
    </xf>
    <xf numFmtId="0" fontId="6" fillId="0" borderId="75" xfId="0" applyFont="1" applyBorder="1"/>
    <xf numFmtId="0" fontId="6" fillId="0" borderId="75" xfId="0" applyFont="1" applyBorder="1" applyProtection="1">
      <protection locked="0"/>
    </xf>
    <xf numFmtId="0" fontId="6" fillId="0" borderId="47" xfId="0" applyFont="1" applyBorder="1"/>
    <xf numFmtId="0" fontId="6" fillId="0" borderId="33" xfId="0" quotePrefix="1" applyFont="1" applyBorder="1" applyAlignment="1" applyProtection="1">
      <alignment horizontal="center"/>
      <protection locked="0"/>
    </xf>
    <xf numFmtId="0" fontId="6" fillId="0" borderId="33" xfId="0" applyFont="1" applyBorder="1"/>
    <xf numFmtId="0" fontId="6" fillId="0" borderId="33" xfId="0" applyFont="1" applyBorder="1" applyAlignment="1" applyProtection="1">
      <alignment horizontal="center"/>
      <protection locked="0"/>
    </xf>
    <xf numFmtId="172" fontId="6" fillId="0" borderId="33" xfId="0" applyNumberFormat="1" applyFont="1" applyBorder="1" applyProtection="1">
      <protection locked="0"/>
    </xf>
    <xf numFmtId="5" fontId="6" fillId="0" borderId="33" xfId="0" applyNumberFormat="1" applyFont="1" applyFill="1" applyBorder="1" applyProtection="1">
      <protection locked="0"/>
    </xf>
    <xf numFmtId="5" fontId="6" fillId="0" borderId="33" xfId="0" applyNumberFormat="1" applyFont="1" applyBorder="1" applyProtection="1">
      <protection locked="0"/>
    </xf>
    <xf numFmtId="172" fontId="6" fillId="0" borderId="33" xfId="0" applyNumberFormat="1" applyFont="1" applyFill="1" applyBorder="1" applyAlignment="1" applyProtection="1">
      <alignment horizontal="center"/>
      <protection locked="0"/>
    </xf>
    <xf numFmtId="37" fontId="6" fillId="0" borderId="75" xfId="0" applyNumberFormat="1" applyFont="1" applyFill="1" applyBorder="1" applyProtection="1">
      <protection locked="0"/>
    </xf>
    <xf numFmtId="172" fontId="7" fillId="0" borderId="33" xfId="0" applyNumberFormat="1" applyFont="1" applyFill="1" applyBorder="1" applyProtection="1">
      <protection locked="0"/>
    </xf>
    <xf numFmtId="37" fontId="7" fillId="0" borderId="47" xfId="0" applyNumberFormat="1" applyFont="1" applyFill="1" applyBorder="1" applyProtection="1"/>
    <xf numFmtId="172" fontId="6" fillId="0" borderId="75" xfId="0" applyNumberFormat="1" applyFont="1" applyFill="1" applyBorder="1" applyAlignment="1" applyProtection="1">
      <alignment horizontal="center"/>
      <protection locked="0"/>
    </xf>
    <xf numFmtId="164" fontId="7" fillId="0" borderId="33" xfId="152" applyNumberFormat="1" applyFont="1" applyFill="1" applyBorder="1" applyProtection="1">
      <protection locked="0"/>
    </xf>
    <xf numFmtId="172" fontId="6" fillId="0" borderId="82" xfId="0" applyNumberFormat="1" applyFont="1" applyFill="1" applyBorder="1" applyAlignment="1" applyProtection="1">
      <alignment horizontal="center"/>
      <protection locked="0"/>
    </xf>
    <xf numFmtId="173" fontId="7" fillId="0" borderId="76" xfId="0" applyNumberFormat="1" applyFont="1" applyFill="1" applyBorder="1" applyAlignment="1" applyProtection="1">
      <alignment horizontal="right"/>
      <protection locked="0"/>
    </xf>
    <xf numFmtId="5" fontId="6" fillId="0" borderId="75" xfId="0" applyNumberFormat="1" applyFont="1" applyFill="1" applyBorder="1" applyProtection="1">
      <protection locked="0"/>
    </xf>
    <xf numFmtId="5" fontId="7" fillId="31" borderId="75" xfId="0" applyNumberFormat="1" applyFont="1" applyFill="1" applyBorder="1" applyProtection="1">
      <protection locked="0"/>
    </xf>
    <xf numFmtId="37" fontId="6" fillId="0" borderId="47" xfId="0" applyNumberFormat="1" applyFont="1" applyFill="1" applyBorder="1" applyProtection="1">
      <protection locked="0"/>
    </xf>
    <xf numFmtId="37" fontId="6" fillId="0" borderId="29" xfId="0" applyNumberFormat="1" applyFont="1" applyFill="1" applyBorder="1" applyProtection="1">
      <protection locked="0"/>
    </xf>
    <xf numFmtId="37" fontId="6" fillId="0" borderId="54" xfId="0" applyNumberFormat="1" applyFont="1" applyFill="1" applyBorder="1"/>
    <xf numFmtId="37" fontId="6" fillId="0" borderId="33" xfId="0" applyNumberFormat="1" applyFont="1" applyFill="1" applyBorder="1"/>
    <xf numFmtId="0" fontId="6" fillId="0" borderId="33" xfId="0" quotePrefix="1" applyFont="1" applyFill="1" applyBorder="1" applyAlignment="1" applyProtection="1">
      <alignment horizontal="center"/>
      <protection locked="0"/>
    </xf>
    <xf numFmtId="0" fontId="7" fillId="0" borderId="33" xfId="0" applyFont="1" applyFill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5" fontId="7" fillId="0" borderId="88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49" fontId="7" fillId="0" borderId="26" xfId="53" applyNumberFormat="1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176" fontId="51" fillId="30" borderId="12" xfId="132" applyNumberFormat="1" applyFont="1" applyFill="1" applyBorder="1" applyAlignment="1" applyProtection="1">
      <alignment horizontal="center"/>
    </xf>
    <xf numFmtId="177" fontId="51" fillId="30" borderId="12" xfId="132" applyNumberFormat="1" applyFont="1" applyFill="1" applyBorder="1" applyAlignment="1" applyProtection="1">
      <alignment horizontal="center"/>
    </xf>
    <xf numFmtId="178" fontId="51" fillId="30" borderId="12" xfId="132" applyNumberFormat="1" applyFont="1" applyFill="1" applyBorder="1" applyAlignment="1" applyProtection="1">
      <alignment horizontal="center"/>
    </xf>
    <xf numFmtId="179" fontId="51" fillId="30" borderId="12" xfId="132" applyNumberFormat="1" applyFont="1" applyFill="1" applyBorder="1" applyAlignment="1" applyProtection="1">
      <alignment horizontal="center"/>
    </xf>
    <xf numFmtId="43" fontId="51" fillId="30" borderId="12" xfId="73" applyFont="1" applyFill="1" applyBorder="1" applyAlignment="1" applyProtection="1">
      <alignment horizontal="center" vertical="center"/>
    </xf>
    <xf numFmtId="176" fontId="52" fillId="0" borderId="72" xfId="132" applyNumberFormat="1" applyFont="1" applyFill="1" applyBorder="1" applyAlignment="1" applyProtection="1">
      <alignment horizontal="center"/>
    </xf>
    <xf numFmtId="177" fontId="52" fillId="0" borderId="72" xfId="132" applyNumberFormat="1" applyFont="1" applyFill="1" applyBorder="1" applyAlignment="1" applyProtection="1">
      <alignment horizontal="center"/>
    </xf>
    <xf numFmtId="178" fontId="52" fillId="0" borderId="72" xfId="132" applyNumberFormat="1" applyFont="1" applyFill="1" applyBorder="1" applyAlignment="1" applyProtection="1">
      <alignment horizontal="center"/>
    </xf>
    <xf numFmtId="179" fontId="52" fillId="0" borderId="72" xfId="132" applyNumberFormat="1" applyFont="1" applyFill="1" applyBorder="1" applyAlignment="1" applyProtection="1">
      <alignment horizontal="center"/>
    </xf>
    <xf numFmtId="164" fontId="52" fillId="0" borderId="72" xfId="73" applyNumberFormat="1" applyFont="1" applyFill="1" applyBorder="1" applyAlignment="1" applyProtection="1">
      <alignment horizontal="right" vertical="center" wrapText="1"/>
    </xf>
    <xf numFmtId="176" fontId="51" fillId="29" borderId="72" xfId="132" applyNumberFormat="1" applyFont="1" applyFill="1" applyBorder="1" applyAlignment="1" applyProtection="1">
      <alignment horizontal="center"/>
    </xf>
    <xf numFmtId="164" fontId="51" fillId="29" borderId="72" xfId="73" applyNumberFormat="1" applyFont="1" applyFill="1" applyBorder="1" applyAlignment="1" applyProtection="1">
      <alignment horizontal="right" vertical="center" wrapText="1"/>
    </xf>
    <xf numFmtId="164" fontId="52" fillId="0" borderId="73" xfId="73" applyNumberFormat="1" applyFont="1" applyFill="1" applyBorder="1" applyAlignment="1" applyProtection="1">
      <alignment horizontal="right" vertical="center" wrapText="1"/>
    </xf>
    <xf numFmtId="0" fontId="47" fillId="0" borderId="0" xfId="132" applyFont="1"/>
    <xf numFmtId="164" fontId="47" fillId="0" borderId="0" xfId="132" applyNumberFormat="1" applyFont="1"/>
    <xf numFmtId="164" fontId="47" fillId="0" borderId="70" xfId="73" applyNumberFormat="1" applyFont="1" applyBorder="1"/>
    <xf numFmtId="0" fontId="3" fillId="0" borderId="0" xfId="142" applyFont="1" applyAlignment="1">
      <alignment horizontal="center"/>
    </xf>
    <xf numFmtId="0" fontId="7" fillId="0" borderId="0" xfId="133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35" applyFont="1" applyBorder="1" applyAlignment="1" applyProtection="1">
      <alignment horizontal="center"/>
      <protection locked="0"/>
    </xf>
    <xf numFmtId="0" fontId="48" fillId="0" borderId="0" xfId="133" applyFont="1" applyAlignment="1">
      <alignment horizontal="center"/>
    </xf>
    <xf numFmtId="0" fontId="48" fillId="0" borderId="5" xfId="135" applyFont="1" applyBorder="1" applyAlignment="1">
      <alignment horizontal="center"/>
    </xf>
    <xf numFmtId="0" fontId="48" fillId="0" borderId="39" xfId="135" applyFont="1" applyBorder="1" applyAlignment="1">
      <alignment horizontal="center"/>
    </xf>
    <xf numFmtId="0" fontId="48" fillId="0" borderId="0" xfId="135" applyFont="1" applyBorder="1" applyAlignment="1">
      <alignment horizontal="center"/>
    </xf>
    <xf numFmtId="0" fontId="48" fillId="0" borderId="0" xfId="135" applyFont="1" applyFill="1" applyBorder="1" applyAlignment="1">
      <alignment horizontal="center"/>
    </xf>
    <xf numFmtId="0" fontId="7" fillId="0" borderId="0" xfId="137" applyFont="1" applyBorder="1" applyAlignment="1">
      <alignment horizontal="center"/>
    </xf>
    <xf numFmtId="0" fontId="5" fillId="0" borderId="0" xfId="137" applyFont="1" applyAlignment="1">
      <alignment horizontal="center"/>
    </xf>
    <xf numFmtId="0" fontId="7" fillId="0" borderId="0" xfId="137" applyFont="1" applyFill="1" applyBorder="1" applyAlignment="1">
      <alignment horizontal="center"/>
    </xf>
    <xf numFmtId="39" fontId="7" fillId="0" borderId="19" xfId="140" applyFont="1" applyBorder="1" applyAlignment="1" applyProtection="1">
      <alignment horizontal="center"/>
      <protection locked="0"/>
    </xf>
    <xf numFmtId="39" fontId="7" fillId="0" borderId="23" xfId="140" applyFont="1" applyBorder="1" applyAlignment="1" applyProtection="1">
      <alignment horizontal="center"/>
      <protection locked="0"/>
    </xf>
    <xf numFmtId="39" fontId="7" fillId="0" borderId="20" xfId="140" applyFont="1" applyBorder="1" applyAlignment="1" applyProtection="1">
      <alignment horizontal="center"/>
    </xf>
    <xf numFmtId="39" fontId="7" fillId="0" borderId="24" xfId="140" applyFont="1" applyBorder="1" applyAlignment="1" applyProtection="1">
      <alignment horizontal="center"/>
    </xf>
    <xf numFmtId="39" fontId="7" fillId="0" borderId="19" xfId="140" applyFont="1" applyBorder="1" applyAlignment="1" applyProtection="1">
      <alignment horizontal="center"/>
    </xf>
    <xf numFmtId="39" fontId="7" fillId="0" borderId="23" xfId="140" applyFont="1" applyBorder="1" applyAlignment="1" applyProtection="1">
      <alignment horizontal="center"/>
    </xf>
    <xf numFmtId="39" fontId="6" fillId="0" borderId="0" xfId="140" applyFont="1" applyProtection="1"/>
    <xf numFmtId="39" fontId="7" fillId="0" borderId="0" xfId="14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7" fillId="0" borderId="0" xfId="0" applyFont="1" applyAlignment="1">
      <alignment horizontal="center"/>
    </xf>
    <xf numFmtId="0" fontId="6" fillId="0" borderId="0" xfId="126" applyFont="1" applyBorder="1" applyAlignment="1"/>
    <xf numFmtId="39" fontId="6" fillId="0" borderId="0" xfId="14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Border="1" applyAlignment="1" applyProtection="1">
      <alignment horizontal="center"/>
      <protection locked="0"/>
    </xf>
    <xf numFmtId="0" fontId="49" fillId="0" borderId="0" xfId="0" applyFont="1" applyAlignment="1">
      <alignment horizontal="center"/>
    </xf>
    <xf numFmtId="0" fontId="48" fillId="0" borderId="0" xfId="0" applyFont="1" applyFill="1" applyBorder="1" applyAlignment="1" applyProtection="1">
      <alignment horizontal="center"/>
      <protection locked="0"/>
    </xf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7" fillId="0" borderId="0" xfId="135" applyFont="1" applyBorder="1" applyAlignment="1">
      <alignment horizontal="center"/>
    </xf>
    <xf numFmtId="0" fontId="50" fillId="0" borderId="0" xfId="135" applyFont="1" applyAlignment="1">
      <alignment horizontal="center"/>
    </xf>
    <xf numFmtId="0" fontId="7" fillId="0" borderId="0" xfId="135" applyFont="1" applyFill="1" applyBorder="1" applyAlignment="1">
      <alignment horizontal="center"/>
    </xf>
    <xf numFmtId="0" fontId="7" fillId="0" borderId="30" xfId="135" applyFont="1" applyFill="1" applyBorder="1" applyAlignment="1" applyProtection="1">
      <alignment horizontal="center"/>
      <protection locked="0"/>
    </xf>
    <xf numFmtId="0" fontId="11" fillId="0" borderId="43" xfId="135" applyFont="1" applyBorder="1" applyAlignment="1">
      <alignment horizontal="center"/>
    </xf>
    <xf numFmtId="0" fontId="0" fillId="0" borderId="0" xfId="0" applyFont="1" applyFill="1" applyBorder="1" applyAlignment="1"/>
    <xf numFmtId="0" fontId="7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/>
    <xf numFmtId="0" fontId="7" fillId="0" borderId="27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83" xfId="0" applyFont="1" applyBorder="1" applyProtection="1">
      <protection locked="0"/>
    </xf>
    <xf numFmtId="0" fontId="7" fillId="0" borderId="77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69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quotePrefix="1" applyFont="1" applyAlignment="1">
      <alignment horizontal="center"/>
    </xf>
    <xf numFmtId="0" fontId="7" fillId="0" borderId="78" xfId="0" applyFont="1" applyBorder="1" applyProtection="1">
      <protection locked="0"/>
    </xf>
    <xf numFmtId="0" fontId="7" fillId="0" borderId="79" xfId="0" applyFont="1" applyBorder="1" applyProtection="1">
      <protection locked="0"/>
    </xf>
    <xf numFmtId="0" fontId="7" fillId="0" borderId="66" xfId="0" applyFont="1" applyBorder="1" applyProtection="1">
      <protection locked="0"/>
    </xf>
    <xf numFmtId="0" fontId="7" fillId="0" borderId="42" xfId="0" applyFont="1" applyBorder="1" applyProtection="1">
      <protection locked="0"/>
    </xf>
    <xf numFmtId="0" fontId="7" fillId="0" borderId="86" xfId="0" applyFont="1" applyBorder="1" applyAlignment="1" applyProtection="1">
      <alignment horizontal="center"/>
      <protection locked="0"/>
    </xf>
    <xf numFmtId="0" fontId="7" fillId="0" borderId="87" xfId="0" applyFont="1" applyBorder="1" applyAlignment="1" applyProtection="1">
      <alignment horizontal="center"/>
      <protection locked="0"/>
    </xf>
    <xf numFmtId="0" fontId="7" fillId="0" borderId="77" xfId="0" applyFont="1" applyBorder="1" applyAlignment="1" applyProtection="1">
      <alignment horizontal="center"/>
      <protection locked="0"/>
    </xf>
    <xf numFmtId="0" fontId="7" fillId="0" borderId="27" xfId="0" applyFont="1" applyBorder="1"/>
    <xf numFmtId="0" fontId="7" fillId="0" borderId="47" xfId="0" applyFont="1" applyBorder="1"/>
    <xf numFmtId="0" fontId="6" fillId="0" borderId="66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7" fillId="0" borderId="80" xfId="0" applyFont="1" applyBorder="1" applyAlignment="1" applyProtection="1">
      <alignment horizontal="left" indent="1"/>
      <protection locked="0"/>
    </xf>
    <xf numFmtId="0" fontId="7" fillId="0" borderId="81" xfId="0" applyFont="1" applyBorder="1" applyAlignment="1" applyProtection="1">
      <alignment horizontal="left" indent="1"/>
      <protection locked="0"/>
    </xf>
    <xf numFmtId="49" fontId="6" fillId="0" borderId="0" xfId="0" applyNumberFormat="1" applyFont="1" applyAlignment="1">
      <alignment horizontal="center"/>
    </xf>
    <xf numFmtId="0" fontId="6" fillId="0" borderId="27" xfId="0" applyFont="1" applyBorder="1"/>
    <xf numFmtId="0" fontId="6" fillId="0" borderId="0" xfId="0" applyFont="1" applyBorder="1"/>
    <xf numFmtId="0" fontId="6" fillId="0" borderId="0" xfId="0" quotePrefix="1" applyFont="1" applyAlignment="1">
      <alignment wrapText="1"/>
    </xf>
    <xf numFmtId="0" fontId="7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6" fillId="0" borderId="27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53" fillId="0" borderId="0" xfId="0" applyFont="1"/>
    <xf numFmtId="168" fontId="54" fillId="0" borderId="0" xfId="0" applyNumberFormat="1" applyFont="1" applyAlignment="1" applyProtection="1">
      <alignment horizontal="left"/>
      <protection locked="0"/>
    </xf>
    <xf numFmtId="168" fontId="54" fillId="0" borderId="0" xfId="0" applyNumberFormat="1" applyFont="1" applyBorder="1" applyAlignment="1" applyProtection="1">
      <alignment horizontal="left"/>
      <protection locked="0"/>
    </xf>
    <xf numFmtId="0" fontId="54" fillId="0" borderId="0" xfId="0" applyFont="1"/>
    <xf numFmtId="0" fontId="47" fillId="0" borderId="0" xfId="0" applyFont="1" applyAlignment="1">
      <alignment horizontal="right"/>
    </xf>
    <xf numFmtId="167" fontId="54" fillId="0" borderId="0" xfId="0" applyNumberFormat="1" applyFont="1" applyAlignment="1" applyProtection="1">
      <alignment horizontal="left"/>
      <protection locked="0"/>
    </xf>
    <xf numFmtId="167" fontId="54" fillId="0" borderId="0" xfId="0" applyNumberFormat="1" applyFont="1" applyBorder="1" applyAlignment="1" applyProtection="1">
      <alignment horizontal="left"/>
      <protection locked="0"/>
    </xf>
    <xf numFmtId="0" fontId="54" fillId="0" borderId="0" xfId="0" applyFont="1" applyBorder="1"/>
    <xf numFmtId="0" fontId="55" fillId="0" borderId="0" xfId="0" applyFont="1" applyFill="1" applyBorder="1" applyAlignment="1">
      <alignment horizontal="center"/>
    </xf>
    <xf numFmtId="0" fontId="53" fillId="0" borderId="0" xfId="0" applyFont="1" applyAlignment="1"/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6" fillId="0" borderId="0" xfId="0" applyFont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3" fillId="0" borderId="0" xfId="0" applyFont="1" applyBorder="1"/>
    <xf numFmtId="0" fontId="47" fillId="0" borderId="0" xfId="0" quotePrefix="1" applyFont="1" applyBorder="1" applyAlignment="1">
      <alignment horizontal="center"/>
    </xf>
    <xf numFmtId="0" fontId="47" fillId="0" borderId="0" xfId="0" applyFont="1" applyBorder="1"/>
    <xf numFmtId="0" fontId="55" fillId="0" borderId="0" xfId="0" applyFont="1"/>
    <xf numFmtId="0" fontId="53" fillId="0" borderId="1" xfId="0" applyFont="1" applyBorder="1"/>
    <xf numFmtId="0" fontId="53" fillId="0" borderId="76" xfId="0" applyFont="1" applyBorder="1" applyAlignment="1">
      <alignment horizontal="center" wrapText="1"/>
    </xf>
    <xf numFmtId="0" fontId="54" fillId="0" borderId="86" xfId="0" applyFont="1" applyBorder="1"/>
    <xf numFmtId="0" fontId="54" fillId="0" borderId="87" xfId="0" applyFont="1" applyBorder="1"/>
    <xf numFmtId="0" fontId="47" fillId="0" borderId="87" xfId="0" quotePrefix="1" applyFont="1" applyBorder="1" applyAlignment="1">
      <alignment horizontal="center"/>
    </xf>
    <xf numFmtId="0" fontId="47" fillId="0" borderId="87" xfId="0" applyFont="1" applyBorder="1"/>
    <xf numFmtId="0" fontId="47" fillId="0" borderId="77" xfId="0" quotePrefix="1" applyFont="1" applyBorder="1" applyAlignment="1">
      <alignment horizontal="center"/>
    </xf>
    <xf numFmtId="0" fontId="53" fillId="0" borderId="33" xfId="0" applyFont="1" applyBorder="1" applyAlignment="1">
      <alignment horizontal="center" wrapText="1"/>
    </xf>
    <xf numFmtId="0" fontId="54" fillId="0" borderId="32" xfId="0" applyFont="1" applyBorder="1"/>
    <xf numFmtId="0" fontId="54" fillId="0" borderId="47" xfId="0" applyFont="1" applyBorder="1" applyAlignment="1" applyProtection="1">
      <alignment horizontal="right" indent="1"/>
      <protection locked="0"/>
    </xf>
    <xf numFmtId="0" fontId="53" fillId="0" borderId="33" xfId="0" applyFont="1" applyBorder="1" applyAlignment="1">
      <alignment horizontal="center"/>
    </xf>
    <xf numFmtId="0" fontId="54" fillId="0" borderId="76" xfId="0" applyFont="1" applyBorder="1" applyProtection="1">
      <protection locked="0"/>
    </xf>
    <xf numFmtId="0" fontId="54" fillId="0" borderId="76" xfId="0" applyFont="1" applyBorder="1" applyAlignment="1" applyProtection="1">
      <alignment horizontal="right" indent="1"/>
      <protection locked="0"/>
    </xf>
    <xf numFmtId="0" fontId="54" fillId="0" borderId="86" xfId="0" applyFont="1" applyBorder="1" applyAlignment="1" applyProtection="1">
      <protection locked="0"/>
    </xf>
    <xf numFmtId="0" fontId="49" fillId="0" borderId="87" xfId="0" applyFont="1" applyBorder="1" applyAlignment="1"/>
    <xf numFmtId="0" fontId="49" fillId="0" borderId="77" xfId="0" applyFont="1" applyBorder="1" applyAlignment="1"/>
    <xf numFmtId="10" fontId="57" fillId="0" borderId="76" xfId="0" applyNumberFormat="1" applyFont="1" applyBorder="1" applyProtection="1">
      <protection locked="0"/>
    </xf>
    <xf numFmtId="0" fontId="54" fillId="0" borderId="47" xfId="0" applyFont="1" applyBorder="1"/>
    <xf numFmtId="0" fontId="53" fillId="0" borderId="47" xfId="0" applyFont="1" applyBorder="1"/>
    <xf numFmtId="0" fontId="54" fillId="0" borderId="76" xfId="0" applyFont="1" applyBorder="1" applyAlignment="1" applyProtection="1">
      <alignment horizontal="center"/>
      <protection locked="0"/>
    </xf>
    <xf numFmtId="0" fontId="54" fillId="0" borderId="76" xfId="0" applyFont="1" applyBorder="1"/>
    <xf numFmtId="0" fontId="54" fillId="0" borderId="47" xfId="0" applyFont="1" applyBorder="1" applyProtection="1">
      <protection locked="0"/>
    </xf>
    <xf numFmtId="0" fontId="56" fillId="0" borderId="86" xfId="0" applyFont="1" applyBorder="1" applyProtection="1">
      <protection locked="0"/>
    </xf>
    <xf numFmtId="0" fontId="56" fillId="0" borderId="87" xfId="0" applyFont="1" applyBorder="1" applyProtection="1">
      <protection locked="0"/>
    </xf>
    <xf numFmtId="0" fontId="56" fillId="0" borderId="77" xfId="0" applyFont="1" applyBorder="1"/>
    <xf numFmtId="0" fontId="54" fillId="0" borderId="86" xfId="0" applyFont="1" applyBorder="1" applyProtection="1">
      <protection locked="0"/>
    </xf>
    <xf numFmtId="0" fontId="54" fillId="0" borderId="77" xfId="0" applyFont="1" applyBorder="1"/>
    <xf numFmtId="37" fontId="57" fillId="0" borderId="76" xfId="0" applyNumberFormat="1" applyFont="1" applyFill="1" applyBorder="1" applyProtection="1">
      <protection locked="0"/>
    </xf>
    <xf numFmtId="37" fontId="54" fillId="0" borderId="89" xfId="0" applyNumberFormat="1" applyFont="1" applyBorder="1" applyProtection="1">
      <protection locked="0"/>
    </xf>
    <xf numFmtId="10" fontId="54" fillId="0" borderId="89" xfId="0" applyNumberFormat="1" applyFont="1" applyBorder="1" applyProtection="1">
      <protection locked="0"/>
    </xf>
    <xf numFmtId="0" fontId="54" fillId="0" borderId="37" xfId="0" applyFont="1" applyBorder="1" applyProtection="1">
      <protection locked="0"/>
    </xf>
    <xf numFmtId="0" fontId="54" fillId="0" borderId="37" xfId="0" applyFont="1" applyBorder="1"/>
    <xf numFmtId="37" fontId="54" fillId="0" borderId="75" xfId="0" applyNumberFormat="1" applyFont="1" applyBorder="1" applyProtection="1">
      <protection locked="0"/>
    </xf>
    <xf numFmtId="181" fontId="54" fillId="0" borderId="76" xfId="0" applyNumberFormat="1" applyFont="1" applyBorder="1" applyProtection="1">
      <protection locked="0"/>
    </xf>
    <xf numFmtId="182" fontId="54" fillId="0" borderId="76" xfId="0" applyNumberFormat="1" applyFont="1" applyBorder="1" applyProtection="1">
      <protection locked="0"/>
    </xf>
    <xf numFmtId="172" fontId="54" fillId="0" borderId="89" xfId="0" applyNumberFormat="1" applyFont="1" applyBorder="1" applyProtection="1">
      <protection locked="0"/>
    </xf>
    <xf numFmtId="0" fontId="54" fillId="0" borderId="0" xfId="0" applyFont="1" applyBorder="1" applyProtection="1">
      <protection locked="0"/>
    </xf>
    <xf numFmtId="173" fontId="54" fillId="0" borderId="89" xfId="0" applyNumberFormat="1" applyFont="1" applyBorder="1" applyProtection="1">
      <protection locked="0"/>
    </xf>
    <xf numFmtId="0" fontId="58" fillId="0" borderId="47" xfId="0" applyFont="1" applyBorder="1" applyProtection="1">
      <protection locked="0"/>
    </xf>
    <xf numFmtId="0" fontId="59" fillId="0" borderId="0" xfId="0" applyFont="1" applyProtection="1">
      <protection locked="0"/>
    </xf>
    <xf numFmtId="173" fontId="53" fillId="0" borderId="0" xfId="0" applyNumberFormat="1" applyFont="1"/>
    <xf numFmtId="3" fontId="57" fillId="0" borderId="76" xfId="0" applyNumberFormat="1" applyFont="1" applyFill="1" applyBorder="1" applyProtection="1">
      <protection locked="0"/>
    </xf>
    <xf numFmtId="3" fontId="54" fillId="0" borderId="75" xfId="0" applyNumberFormat="1" applyFont="1" applyFill="1" applyBorder="1"/>
    <xf numFmtId="181" fontId="54" fillId="0" borderId="89" xfId="0" applyNumberFormat="1" applyFont="1" applyBorder="1" applyProtection="1">
      <protection locked="0"/>
    </xf>
    <xf numFmtId="3" fontId="54" fillId="0" borderId="76" xfId="0" applyNumberFormat="1" applyFont="1" applyBorder="1" applyProtection="1">
      <protection locked="0"/>
    </xf>
    <xf numFmtId="10" fontId="53" fillId="0" borderId="76" xfId="0" applyNumberFormat="1" applyFont="1" applyBorder="1" applyProtection="1"/>
    <xf numFmtId="0" fontId="54" fillId="0" borderId="40" xfId="0" applyFont="1" applyBorder="1" applyProtection="1">
      <protection locked="0"/>
    </xf>
    <xf numFmtId="0" fontId="54" fillId="0" borderId="34" xfId="0" applyFont="1" applyBorder="1"/>
    <xf numFmtId="0" fontId="54" fillId="0" borderId="79" xfId="0" applyFont="1" applyBorder="1"/>
    <xf numFmtId="0" fontId="54" fillId="0" borderId="32" xfId="0" applyFont="1" applyBorder="1" applyProtection="1">
      <protection locked="0"/>
    </xf>
    <xf numFmtId="10" fontId="54" fillId="0" borderId="32" xfId="0" applyNumberFormat="1" applyFont="1" applyBorder="1" applyProtection="1">
      <protection locked="0"/>
    </xf>
    <xf numFmtId="0" fontId="54" fillId="0" borderId="35" xfId="0" applyFont="1" applyBorder="1"/>
    <xf numFmtId="0" fontId="54" fillId="0" borderId="1" xfId="0" applyFont="1" applyBorder="1" applyProtection="1">
      <protection locked="0"/>
    </xf>
    <xf numFmtId="0" fontId="54" fillId="0" borderId="1" xfId="0" applyFont="1" applyBorder="1"/>
    <xf numFmtId="0" fontId="54" fillId="0" borderId="42" xfId="0" applyFont="1" applyBorder="1"/>
    <xf numFmtId="0" fontId="54" fillId="0" borderId="87" xfId="0" applyFont="1" applyBorder="1" applyAlignment="1" applyProtection="1">
      <alignment horizontal="right"/>
      <protection locked="0"/>
    </xf>
    <xf numFmtId="0" fontId="54" fillId="0" borderId="77" xfId="0" applyFont="1" applyBorder="1" applyAlignment="1" applyProtection="1">
      <alignment horizontal="center"/>
      <protection locked="0"/>
    </xf>
    <xf numFmtId="183" fontId="57" fillId="0" borderId="89" xfId="0" applyNumberFormat="1" applyFont="1" applyBorder="1" applyProtection="1">
      <protection locked="0"/>
    </xf>
    <xf numFmtId="0" fontId="53" fillId="0" borderId="37" xfId="0" applyFont="1" applyBorder="1"/>
    <xf numFmtId="0" fontId="54" fillId="0" borderId="42" xfId="0" applyFont="1" applyBorder="1" applyProtection="1">
      <protection locked="0"/>
    </xf>
    <xf numFmtId="0" fontId="54" fillId="0" borderId="0" xfId="0" quotePrefix="1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Alignment="1"/>
    <xf numFmtId="0" fontId="49" fillId="0" borderId="0" xfId="0" applyFont="1" applyAlignment="1"/>
    <xf numFmtId="0" fontId="54" fillId="0" borderId="0" xfId="0" applyFont="1" applyProtection="1">
      <protection locked="0"/>
    </xf>
    <xf numFmtId="180" fontId="54" fillId="0" borderId="76" xfId="0" applyNumberFormat="1" applyFont="1" applyFill="1" applyBorder="1" applyProtection="1">
      <protection locked="0"/>
    </xf>
    <xf numFmtId="183" fontId="55" fillId="0" borderId="0" xfId="0" applyNumberFormat="1" applyFont="1" applyBorder="1"/>
    <xf numFmtId="0" fontId="54" fillId="0" borderId="46" xfId="0" applyFont="1" applyBorder="1" applyAlignment="1">
      <alignment horizontal="center"/>
    </xf>
    <xf numFmtId="10" fontId="60" fillId="0" borderId="76" xfId="0" applyNumberFormat="1" applyFont="1" applyBorder="1" applyProtection="1">
      <protection locked="0"/>
    </xf>
    <xf numFmtId="183" fontId="53" fillId="0" borderId="0" xfId="0" applyNumberFormat="1" applyFont="1" applyBorder="1"/>
    <xf numFmtId="183" fontId="53" fillId="0" borderId="44" xfId="0" applyNumberFormat="1" applyFont="1" applyBorder="1"/>
    <xf numFmtId="0" fontId="48" fillId="0" borderId="0" xfId="0" applyFont="1"/>
    <xf numFmtId="166" fontId="47" fillId="0" borderId="0" xfId="0" applyNumberFormat="1" applyFont="1" applyAlignment="1" applyProtection="1">
      <alignment horizontal="left"/>
      <protection locked="0"/>
    </xf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48" fillId="0" borderId="0" xfId="0" applyFont="1" applyAlignment="1" applyProtection="1">
      <alignment horizontal="center"/>
      <protection locked="0"/>
    </xf>
    <xf numFmtId="166" fontId="47" fillId="0" borderId="0" xfId="0" applyNumberFormat="1" applyFont="1" applyAlignment="1" applyProtection="1">
      <alignment horizontal="centerContinuous"/>
      <protection locked="0"/>
    </xf>
    <xf numFmtId="0" fontId="47" fillId="0" borderId="0" xfId="0" applyFont="1" applyAlignment="1">
      <alignment horizontal="centerContinuous"/>
    </xf>
    <xf numFmtId="0" fontId="47" fillId="0" borderId="0" xfId="0" quotePrefix="1" applyFont="1" applyAlignment="1">
      <alignment horizontal="center"/>
    </xf>
    <xf numFmtId="0" fontId="47" fillId="0" borderId="0" xfId="0" quotePrefix="1" applyFont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76" xfId="0" applyFont="1" applyBorder="1" applyAlignment="1">
      <alignment horizontal="center" wrapText="1"/>
    </xf>
    <xf numFmtId="0" fontId="48" fillId="0" borderId="87" xfId="0" applyFont="1" applyBorder="1" applyAlignment="1" applyProtection="1">
      <alignment horizontal="center"/>
      <protection locked="0"/>
    </xf>
    <xf numFmtId="0" fontId="48" fillId="0" borderId="77" xfId="0" applyFont="1" applyBorder="1" applyAlignment="1" applyProtection="1">
      <alignment horizontal="center"/>
      <protection locked="0"/>
    </xf>
    <xf numFmtId="0" fontId="47" fillId="0" borderId="33" xfId="0" applyFont="1" applyBorder="1" applyAlignment="1">
      <alignment horizontal="center"/>
    </xf>
    <xf numFmtId="0" fontId="47" fillId="0" borderId="40" xfId="0" applyFont="1" applyBorder="1" applyProtection="1">
      <protection locked="0"/>
    </xf>
    <xf numFmtId="0" fontId="47" fillId="0" borderId="34" xfId="0" applyFont="1" applyBorder="1" applyProtection="1">
      <protection locked="0"/>
    </xf>
    <xf numFmtId="0" fontId="47" fillId="0" borderId="79" xfId="0" applyFont="1" applyBorder="1"/>
    <xf numFmtId="0" fontId="47" fillId="0" borderId="32" xfId="0" applyFont="1" applyBorder="1" applyProtection="1">
      <protection locked="0"/>
    </xf>
    <xf numFmtId="0" fontId="47" fillId="0" borderId="0" xfId="0" applyFont="1" applyBorder="1" applyProtection="1">
      <protection locked="0"/>
    </xf>
    <xf numFmtId="39" fontId="47" fillId="0" borderId="0" xfId="0" applyNumberFormat="1" applyFont="1" applyBorder="1"/>
    <xf numFmtId="0" fontId="47" fillId="0" borderId="47" xfId="0" applyFont="1" applyBorder="1"/>
    <xf numFmtId="0" fontId="47" fillId="0" borderId="32" xfId="0" applyFont="1" applyBorder="1" applyAlignment="1" applyProtection="1">
      <alignment horizontal="left" indent="2"/>
      <protection locked="0"/>
    </xf>
    <xf numFmtId="0" fontId="47" fillId="0" borderId="0" xfId="0" applyFont="1" applyBorder="1" applyAlignment="1" applyProtection="1">
      <alignment horizontal="left" indent="2"/>
      <protection locked="0"/>
    </xf>
    <xf numFmtId="39" fontId="47" fillId="0" borderId="0" xfId="0" applyNumberFormat="1" applyFont="1" applyBorder="1" applyProtection="1">
      <protection locked="0"/>
    </xf>
    <xf numFmtId="39" fontId="47" fillId="0" borderId="25" xfId="0" applyNumberFormat="1" applyFont="1" applyBorder="1" applyProtection="1">
      <protection locked="0"/>
    </xf>
    <xf numFmtId="39" fontId="47" fillId="0" borderId="25" xfId="0" applyNumberFormat="1" applyFont="1" applyBorder="1"/>
    <xf numFmtId="0" fontId="47" fillId="0" borderId="32" xfId="0" applyFont="1" applyBorder="1" applyAlignment="1" applyProtection="1">
      <alignment horizontal="left" indent="4"/>
      <protection locked="0"/>
    </xf>
    <xf numFmtId="0" fontId="47" fillId="0" borderId="0" xfId="0" applyFont="1" applyBorder="1" applyAlignment="1" applyProtection="1">
      <alignment horizontal="left" indent="4"/>
      <protection locked="0"/>
    </xf>
    <xf numFmtId="0" fontId="47" fillId="0" borderId="32" xfId="0" applyFont="1" applyBorder="1"/>
    <xf numFmtId="0" fontId="47" fillId="0" borderId="0" xfId="0" quotePrefix="1" applyFont="1"/>
    <xf numFmtId="0" fontId="47" fillId="0" borderId="0" xfId="0" applyFont="1" applyBorder="1" applyAlignment="1" applyProtection="1">
      <alignment horizontal="right"/>
      <protection locked="0"/>
    </xf>
    <xf numFmtId="172" fontId="47" fillId="0" borderId="70" xfId="0" applyNumberFormat="1" applyFont="1" applyBorder="1" applyProtection="1">
      <protection locked="0"/>
    </xf>
    <xf numFmtId="183" fontId="47" fillId="0" borderId="90" xfId="155" applyNumberFormat="1" applyFont="1" applyBorder="1" applyProtection="1">
      <protection locked="0"/>
    </xf>
    <xf numFmtId="183" fontId="47" fillId="0" borderId="70" xfId="0" applyNumberFormat="1" applyFont="1" applyFill="1" applyBorder="1" applyProtection="1">
      <protection locked="0"/>
    </xf>
    <xf numFmtId="183" fontId="47" fillId="0" borderId="90" xfId="0" applyNumberFormat="1" applyFont="1" applyBorder="1" applyProtection="1">
      <protection locked="0"/>
    </xf>
    <xf numFmtId="0" fontId="47" fillId="0" borderId="47" xfId="0" applyFont="1" applyBorder="1" applyAlignment="1" applyProtection="1">
      <alignment horizontal="right"/>
      <protection locked="0"/>
    </xf>
    <xf numFmtId="0" fontId="47" fillId="0" borderId="50" xfId="0" applyFont="1" applyBorder="1" applyAlignment="1" applyProtection="1">
      <alignment horizontal="right"/>
      <protection locked="0"/>
    </xf>
    <xf numFmtId="0" fontId="47" fillId="0" borderId="34" xfId="0" applyFont="1" applyBorder="1" applyAlignment="1">
      <alignment horizontal="center"/>
    </xf>
    <xf numFmtId="0" fontId="47" fillId="0" borderId="34" xfId="0" applyFont="1" applyBorder="1"/>
    <xf numFmtId="0" fontId="48" fillId="0" borderId="0" xfId="0" applyFont="1" applyBorder="1" applyAlignment="1">
      <alignment vertical="top"/>
    </xf>
    <xf numFmtId="0" fontId="47" fillId="0" borderId="0" xfId="0" applyFont="1" applyBorder="1" applyAlignment="1">
      <alignment wrapText="1"/>
    </xf>
    <xf numFmtId="0" fontId="47" fillId="0" borderId="0" xfId="0" applyFont="1"/>
    <xf numFmtId="37" fontId="47" fillId="0" borderId="34" xfId="0" applyNumberFormat="1" applyFont="1" applyFill="1" applyBorder="1" applyProtection="1">
      <protection locked="0"/>
    </xf>
    <xf numFmtId="9" fontId="47" fillId="0" borderId="25" xfId="0" applyNumberFormat="1" applyFont="1" applyFill="1" applyBorder="1" applyProtection="1">
      <protection locked="0"/>
    </xf>
    <xf numFmtId="184" fontId="47" fillId="0" borderId="25" xfId="0" applyNumberFormat="1" applyFont="1" applyFill="1" applyBorder="1" applyProtection="1">
      <protection locked="0"/>
    </xf>
    <xf numFmtId="10" fontId="47" fillId="0" borderId="25" xfId="0" applyNumberFormat="1" applyFont="1" applyFill="1" applyBorder="1" applyProtection="1">
      <protection locked="0"/>
    </xf>
    <xf numFmtId="0" fontId="47" fillId="0" borderId="34" xfId="0" quotePrefix="1" applyFont="1" applyBorder="1" applyAlignment="1">
      <alignment horizontal="right"/>
    </xf>
  </cellXfs>
  <cellStyles count="23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Accent6 3" xfId="11"/>
    <cellStyle name="40% - Accent1 2" xfId="12"/>
    <cellStyle name="40% - Accent1 3" xfId="13"/>
    <cellStyle name="40% - Accent2 2" xfId="14"/>
    <cellStyle name="40% - Accent3 2" xfId="15"/>
    <cellStyle name="40% - Accent3 3" xfId="16"/>
    <cellStyle name="40% - Accent4 2" xfId="17"/>
    <cellStyle name="40% - Accent4 3" xfId="18"/>
    <cellStyle name="40% - Accent5 2" xfId="19"/>
    <cellStyle name="40% - Accent5 3" xfId="20"/>
    <cellStyle name="40% - Accent6 2" xfId="21"/>
    <cellStyle name="40% - Accent6 3" xfId="22"/>
    <cellStyle name="60% - Accent1 2" xfId="23"/>
    <cellStyle name="60% - Accent1 3" xfId="24"/>
    <cellStyle name="60% - Accent2 2" xfId="25"/>
    <cellStyle name="60% - Accent2 3" xfId="26"/>
    <cellStyle name="60% - Accent3 2" xfId="27"/>
    <cellStyle name="60% - Accent3 3" xfId="28"/>
    <cellStyle name="60% - Accent4 2" xfId="29"/>
    <cellStyle name="60% - Accent4 3" xfId="30"/>
    <cellStyle name="60% - Accent5 2" xfId="31"/>
    <cellStyle name="60% - Accent5 3" xfId="32"/>
    <cellStyle name="60% - Accent6 2" xfId="33"/>
    <cellStyle name="60% - Accent6 3" xfId="34"/>
    <cellStyle name="Accent1 2" xfId="35"/>
    <cellStyle name="Accent1 3" xfId="36"/>
    <cellStyle name="Accent2 2" xfId="37"/>
    <cellStyle name="Accent2 3" xfId="38"/>
    <cellStyle name="Accent3 2" xfId="39"/>
    <cellStyle name="Accent3 3" xfId="40"/>
    <cellStyle name="Accent4 2" xfId="41"/>
    <cellStyle name="Accent4 3" xfId="42"/>
    <cellStyle name="Accent5 2" xfId="43"/>
    <cellStyle name="Accent6 2" xfId="44"/>
    <cellStyle name="Accent6 3" xfId="45"/>
    <cellStyle name="Bad 2" xfId="46"/>
    <cellStyle name="Bad 3" xfId="47"/>
    <cellStyle name="bottom" xfId="48"/>
    <cellStyle name="Calc Currency (0)" xfId="49"/>
    <cellStyle name="Calculation 2" xfId="50"/>
    <cellStyle name="Calculation 3" xfId="51"/>
    <cellStyle name="Check Cell 2" xfId="52"/>
    <cellStyle name="Comma" xfId="53" builtinId="3"/>
    <cellStyle name="Comma [0] 2" xfId="54"/>
    <cellStyle name="Comma 10" xfId="55"/>
    <cellStyle name="Comma 11" xfId="56"/>
    <cellStyle name="Comma 12" xfId="57"/>
    <cellStyle name="Comma 13" xfId="58"/>
    <cellStyle name="Comma 14" xfId="59"/>
    <cellStyle name="Comma 15" xfId="60"/>
    <cellStyle name="Comma 16" xfId="61"/>
    <cellStyle name="Comma 17" xfId="62"/>
    <cellStyle name="Comma 18" xfId="63"/>
    <cellStyle name="Comma 19" xfId="64"/>
    <cellStyle name="Comma 2" xfId="65"/>
    <cellStyle name="Comma 2 2" xfId="66"/>
    <cellStyle name="Comma 2 2 2" xfId="67"/>
    <cellStyle name="Comma 2 2 2 2" xfId="231"/>
    <cellStyle name="Comma 2 2 3" xfId="226"/>
    <cellStyle name="Comma 2 3" xfId="68"/>
    <cellStyle name="Comma 2 3 2" xfId="173"/>
    <cellStyle name="Comma 2 4" xfId="229"/>
    <cellStyle name="Comma 20" xfId="69"/>
    <cellStyle name="Comma 21" xfId="70"/>
    <cellStyle name="Comma 22" xfId="71"/>
    <cellStyle name="Comma 23" xfId="72"/>
    <cellStyle name="Comma 24" xfId="73"/>
    <cellStyle name="Comma 24 2" xfId="174"/>
    <cellStyle name="Comma 25" xfId="186"/>
    <cellStyle name="Comma 26" xfId="185"/>
    <cellStyle name="Comma 27" xfId="188"/>
    <cellStyle name="Comma 28" xfId="191"/>
    <cellStyle name="Comma 29" xfId="194"/>
    <cellStyle name="Comma 3" xfId="74"/>
    <cellStyle name="Comma 3 2" xfId="75"/>
    <cellStyle name="Comma 3 2 2" xfId="76"/>
    <cellStyle name="Comma 3 3" xfId="77"/>
    <cellStyle name="Comma 30" xfId="197"/>
    <cellStyle name="Comma 31" xfId="200"/>
    <cellStyle name="Comma 32" xfId="203"/>
    <cellStyle name="Comma 33" xfId="206"/>
    <cellStyle name="Comma 34" xfId="209"/>
    <cellStyle name="Comma 35" xfId="212"/>
    <cellStyle name="Comma 36" xfId="215"/>
    <cellStyle name="Comma 37" xfId="218"/>
    <cellStyle name="Comma 38" xfId="223"/>
    <cellStyle name="Comma 4" xfId="78"/>
    <cellStyle name="Comma 4 2" xfId="79"/>
    <cellStyle name="Comma 5" xfId="80"/>
    <cellStyle name="Comma 5 2" xfId="81"/>
    <cellStyle name="Comma 6" xfId="82"/>
    <cellStyle name="Comma 6 2" xfId="83"/>
    <cellStyle name="Comma 7" xfId="84"/>
    <cellStyle name="Comma 7 2" xfId="85"/>
    <cellStyle name="Comma 8" xfId="86"/>
    <cellStyle name="Comma 9" xfId="87"/>
    <cellStyle name="Copied" xfId="88"/>
    <cellStyle name="COSS" xfId="89"/>
    <cellStyle name="Currency 2" xfId="90"/>
    <cellStyle name="Currency 2 2" xfId="91"/>
    <cellStyle name="Currency 3" xfId="92"/>
    <cellStyle name="Currency 4" xfId="93"/>
    <cellStyle name="Currency 5" xfId="94"/>
    <cellStyle name="Date" xfId="95"/>
    <cellStyle name="Entered" xfId="96"/>
    <cellStyle name="Explanatory Text 2" xfId="97"/>
    <cellStyle name="Good 2" xfId="98"/>
    <cellStyle name="Good 3" xfId="99"/>
    <cellStyle name="Grey" xfId="100"/>
    <cellStyle name="Header1" xfId="101"/>
    <cellStyle name="Header2" xfId="102"/>
    <cellStyle name="Heading 1 2" xfId="103"/>
    <cellStyle name="Heading 1 3" xfId="104"/>
    <cellStyle name="Heading 2 2" xfId="105"/>
    <cellStyle name="Heading 2 3" xfId="106"/>
    <cellStyle name="Heading 3 2" xfId="107"/>
    <cellStyle name="Heading 3 3" xfId="108"/>
    <cellStyle name="Heading 4 2" xfId="109"/>
    <cellStyle name="Heading 4 3" xfId="110"/>
    <cellStyle name="Input [yellow]" xfId="111"/>
    <cellStyle name="Input 2" xfId="112"/>
    <cellStyle name="Input 3" xfId="113"/>
    <cellStyle name="Input 4" xfId="114"/>
    <cellStyle name="Input 5" xfId="115"/>
    <cellStyle name="Input 6" xfId="116"/>
    <cellStyle name="Input 7" xfId="224"/>
    <cellStyle name="Linked Cell 2" xfId="117"/>
    <cellStyle name="Linked Cell 3" xfId="118"/>
    <cellStyle name="Neutral 2" xfId="119"/>
    <cellStyle name="Neutral 3" xfId="120"/>
    <cellStyle name="Normal" xfId="0" builtinId="0"/>
    <cellStyle name="Normal - Style1" xfId="121"/>
    <cellStyle name="Normal - Style1 2" xfId="122"/>
    <cellStyle name="Normal 10" xfId="123"/>
    <cellStyle name="Normal 11" xfId="124"/>
    <cellStyle name="Normal 12" xfId="125"/>
    <cellStyle name="Normal 12 2" xfId="175"/>
    <cellStyle name="Normal 13" xfId="126"/>
    <cellStyle name="Normal 14" xfId="127"/>
    <cellStyle name="Normal 14 2" xfId="176"/>
    <cellStyle name="Normal 15" xfId="128"/>
    <cellStyle name="Normal 15 2" xfId="177"/>
    <cellStyle name="Normal 16" xfId="129"/>
    <cellStyle name="Normal 17" xfId="130"/>
    <cellStyle name="Normal 18" xfId="131"/>
    <cellStyle name="Normal 19" xfId="132"/>
    <cellStyle name="Normal 19 2" xfId="178"/>
    <cellStyle name="Normal 2" xfId="133"/>
    <cellStyle name="Normal 2 2" xfId="134"/>
    <cellStyle name="Normal 2 2 2" xfId="179"/>
    <cellStyle name="Normal 2 3" xfId="228"/>
    <cellStyle name="Normal 2 3 2" xfId="232"/>
    <cellStyle name="Normal 2 4" xfId="230"/>
    <cellStyle name="Normal 20" xfId="187"/>
    <cellStyle name="Normal 21" xfId="184"/>
    <cellStyle name="Normal 22" xfId="189"/>
    <cellStyle name="Normal 23" xfId="192"/>
    <cellStyle name="Normal 24" xfId="195"/>
    <cellStyle name="Normal 25" xfId="198"/>
    <cellStyle name="Normal 26" xfId="201"/>
    <cellStyle name="Normal 27" xfId="204"/>
    <cellStyle name="Normal 28" xfId="207"/>
    <cellStyle name="Normal 29" xfId="210"/>
    <cellStyle name="Normal 3" xfId="135"/>
    <cellStyle name="Normal 3 2" xfId="136"/>
    <cellStyle name="Normal 3 2 2" xfId="180"/>
    <cellStyle name="Normal 3 3" xfId="225"/>
    <cellStyle name="Normal 30" xfId="213"/>
    <cellStyle name="Normal 31" xfId="216"/>
    <cellStyle name="Normal 32" xfId="219"/>
    <cellStyle name="Normal 33" xfId="222"/>
    <cellStyle name="Normal 4" xfId="137"/>
    <cellStyle name="Normal 4 2" xfId="138"/>
    <cellStyle name="Normal 4 3" xfId="139"/>
    <cellStyle name="Normal 4 4" xfId="227"/>
    <cellStyle name="Normal 5" xfId="140"/>
    <cellStyle name="Normal 5 2" xfId="141"/>
    <cellStyle name="Normal 5 2 2" xfId="181"/>
    <cellStyle name="Normal 6" xfId="142"/>
    <cellStyle name="Normal 7" xfId="143"/>
    <cellStyle name="Normal 8" xfId="144"/>
    <cellStyle name="Normal 8 2" xfId="182"/>
    <cellStyle name="Normal 9" xfId="145"/>
    <cellStyle name="Note 2" xfId="146"/>
    <cellStyle name="Note 3" xfId="147"/>
    <cellStyle name="Output 2" xfId="148"/>
    <cellStyle name="Output 3" xfId="149"/>
    <cellStyle name="Percent [2]" xfId="150"/>
    <cellStyle name="Percent [2] 2" xfId="151"/>
    <cellStyle name="Percent 10" xfId="152"/>
    <cellStyle name="Percent 11" xfId="153"/>
    <cellStyle name="Percent 12" xfId="154"/>
    <cellStyle name="Percent 13" xfId="155"/>
    <cellStyle name="Percent 14" xfId="156"/>
    <cellStyle name="Percent 15" xfId="157"/>
    <cellStyle name="Percent 16" xfId="183"/>
    <cellStyle name="Percent 17" xfId="190"/>
    <cellStyle name="Percent 18" xfId="193"/>
    <cellStyle name="Percent 19" xfId="196"/>
    <cellStyle name="Percent 2" xfId="158"/>
    <cellStyle name="Percent 20" xfId="199"/>
    <cellStyle name="Percent 21" xfId="202"/>
    <cellStyle name="Percent 22" xfId="205"/>
    <cellStyle name="Percent 23" xfId="208"/>
    <cellStyle name="Percent 24" xfId="211"/>
    <cellStyle name="Percent 25" xfId="214"/>
    <cellStyle name="Percent 26" xfId="217"/>
    <cellStyle name="Percent 27" xfId="220"/>
    <cellStyle name="Percent 28" xfId="221"/>
    <cellStyle name="Percent 3" xfId="159"/>
    <cellStyle name="Percent 4" xfId="160"/>
    <cellStyle name="Percent 5" xfId="161"/>
    <cellStyle name="Percent 6" xfId="162"/>
    <cellStyle name="Percent 7" xfId="163"/>
    <cellStyle name="Percent 8" xfId="164"/>
    <cellStyle name="Percent 9" xfId="165"/>
    <cellStyle name="RevList" xfId="166"/>
    <cellStyle name="Subtotal" xfId="167"/>
    <cellStyle name="Title 2" xfId="168"/>
    <cellStyle name="Title 3" xfId="169"/>
    <cellStyle name="Total 2" xfId="170"/>
    <cellStyle name="Total 3" xfId="171"/>
    <cellStyle name="Warning Text 2" xfId="17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3:H148"/>
  <sheetViews>
    <sheetView showGridLines="0" tabSelected="1" zoomScaleNormal="100" workbookViewId="0">
      <selection activeCell="A3" sqref="A3:G3"/>
    </sheetView>
  </sheetViews>
  <sheetFormatPr defaultRowHeight="12.75"/>
  <cols>
    <col min="1" max="1" width="3.44140625" style="58" bestFit="1" customWidth="1"/>
    <col min="2" max="2" width="18.6640625" style="58" bestFit="1" customWidth="1"/>
    <col min="3" max="7" width="11.77734375" style="58" customWidth="1"/>
    <col min="8" max="8" width="14" style="58" bestFit="1" customWidth="1"/>
    <col min="9" max="14" width="11.6640625" style="58" bestFit="1" customWidth="1"/>
    <col min="15" max="16384" width="8.88671875" style="58"/>
  </cols>
  <sheetData>
    <row r="3" spans="1:8">
      <c r="A3" s="771" t="s">
        <v>0</v>
      </c>
      <c r="B3" s="771"/>
      <c r="C3" s="771"/>
      <c r="D3" s="771"/>
      <c r="E3" s="771"/>
      <c r="F3" s="771"/>
      <c r="G3" s="771"/>
    </row>
    <row r="4" spans="1:8">
      <c r="A4" s="772" t="s">
        <v>28</v>
      </c>
      <c r="B4" s="772"/>
      <c r="C4" s="772"/>
      <c r="D4" s="772"/>
      <c r="E4" s="772"/>
      <c r="F4" s="772"/>
      <c r="G4" s="772"/>
    </row>
    <row r="5" spans="1:8">
      <c r="A5" s="772" t="s">
        <v>597</v>
      </c>
      <c r="B5" s="772"/>
      <c r="C5" s="772"/>
      <c r="D5" s="772"/>
      <c r="E5" s="772"/>
      <c r="F5" s="772"/>
      <c r="G5" s="772"/>
    </row>
    <row r="6" spans="1:8">
      <c r="A6" s="59"/>
    </row>
    <row r="7" spans="1:8" s="60" customFormat="1">
      <c r="A7" s="464"/>
      <c r="B7" s="60" t="s">
        <v>2</v>
      </c>
      <c r="C7" s="60" t="s">
        <v>3</v>
      </c>
      <c r="D7" s="60" t="s">
        <v>4</v>
      </c>
      <c r="E7" s="60" t="s">
        <v>5</v>
      </c>
      <c r="F7" s="60" t="s">
        <v>6</v>
      </c>
      <c r="G7" s="60" t="s">
        <v>8</v>
      </c>
    </row>
    <row r="9" spans="1:8" ht="25.5">
      <c r="A9" s="75" t="s">
        <v>37</v>
      </c>
      <c r="B9" s="76" t="s">
        <v>41</v>
      </c>
      <c r="C9" s="77" t="s">
        <v>11</v>
      </c>
      <c r="D9" s="77" t="s">
        <v>12</v>
      </c>
      <c r="E9" s="77" t="s">
        <v>13</v>
      </c>
      <c r="F9" s="78" t="s">
        <v>351</v>
      </c>
      <c r="G9" s="79" t="s">
        <v>15</v>
      </c>
    </row>
    <row r="10" spans="1:8">
      <c r="A10" s="61">
        <v>1</v>
      </c>
      <c r="B10" s="62" t="s">
        <v>552</v>
      </c>
      <c r="C10" s="63">
        <f>657597650</f>
        <v>657597650</v>
      </c>
      <c r="D10" s="64">
        <v>218153877</v>
      </c>
      <c r="E10" s="63">
        <v>373159175</v>
      </c>
      <c r="F10" s="63">
        <f>77964978+4421852</f>
        <v>82386830</v>
      </c>
      <c r="G10" s="65">
        <f t="shared" ref="G10:G22" si="0">+SUM(C10:F10)</f>
        <v>1331297532</v>
      </c>
      <c r="H10" s="322"/>
    </row>
    <row r="11" spans="1:8">
      <c r="A11" s="66">
        <f t="shared" ref="A11:A24" si="1">+A10+1</f>
        <v>2</v>
      </c>
      <c r="B11" s="67" t="s">
        <v>553</v>
      </c>
      <c r="C11" s="63">
        <v>657545991</v>
      </c>
      <c r="D11" s="64">
        <v>218318048</v>
      </c>
      <c r="E11" s="63">
        <v>373251330</v>
      </c>
      <c r="F11" s="63">
        <f>78215571+4421852</f>
        <v>82637423</v>
      </c>
      <c r="G11" s="65">
        <f t="shared" si="0"/>
        <v>1331752792</v>
      </c>
      <c r="H11" s="322"/>
    </row>
    <row r="12" spans="1:8">
      <c r="A12" s="66">
        <f t="shared" si="1"/>
        <v>3</v>
      </c>
      <c r="B12" s="68" t="s">
        <v>16</v>
      </c>
      <c r="C12" s="63">
        <v>657527617</v>
      </c>
      <c r="D12" s="64">
        <v>218450848</v>
      </c>
      <c r="E12" s="63">
        <v>373364144</v>
      </c>
      <c r="F12" s="63">
        <f>78224358+4421852</f>
        <v>82646210</v>
      </c>
      <c r="G12" s="65">
        <f t="shared" si="0"/>
        <v>1331988819</v>
      </c>
      <c r="H12" s="322"/>
    </row>
    <row r="13" spans="1:8">
      <c r="A13" s="66">
        <f t="shared" si="1"/>
        <v>4</v>
      </c>
      <c r="B13" s="68" t="s">
        <v>17</v>
      </c>
      <c r="C13" s="63">
        <v>655679372</v>
      </c>
      <c r="D13" s="64">
        <v>218712486</v>
      </c>
      <c r="E13" s="63">
        <v>374121839</v>
      </c>
      <c r="F13" s="63">
        <f>78512835+4421852</f>
        <v>82934687</v>
      </c>
      <c r="G13" s="65">
        <f t="shared" si="0"/>
        <v>1331448384</v>
      </c>
      <c r="H13" s="322"/>
    </row>
    <row r="14" spans="1:8">
      <c r="A14" s="66">
        <f t="shared" si="1"/>
        <v>5</v>
      </c>
      <c r="B14" s="68" t="s">
        <v>18</v>
      </c>
      <c r="C14" s="63">
        <v>655576259</v>
      </c>
      <c r="D14" s="64">
        <v>215138050</v>
      </c>
      <c r="E14" s="63">
        <v>378482197</v>
      </c>
      <c r="F14" s="63">
        <f>78229601+4421852</f>
        <v>82651453</v>
      </c>
      <c r="G14" s="65">
        <f t="shared" si="0"/>
        <v>1331847959</v>
      </c>
      <c r="H14" s="322"/>
    </row>
    <row r="15" spans="1:8">
      <c r="A15" s="66">
        <f t="shared" si="1"/>
        <v>6</v>
      </c>
      <c r="B15" s="68" t="s">
        <v>19</v>
      </c>
      <c r="C15" s="63">
        <v>655576259</v>
      </c>
      <c r="D15" s="64">
        <v>215327915</v>
      </c>
      <c r="E15" s="63">
        <v>379252065</v>
      </c>
      <c r="F15" s="63">
        <f>78224839+4421852</f>
        <v>82646691</v>
      </c>
      <c r="G15" s="65">
        <f t="shared" si="0"/>
        <v>1332802930</v>
      </c>
      <c r="H15" s="322"/>
    </row>
    <row r="16" spans="1:8">
      <c r="A16" s="66">
        <f t="shared" si="1"/>
        <v>7</v>
      </c>
      <c r="B16" s="68" t="s">
        <v>20</v>
      </c>
      <c r="C16" s="63">
        <v>655570939</v>
      </c>
      <c r="D16" s="64">
        <v>216988908</v>
      </c>
      <c r="E16" s="63">
        <v>380094960</v>
      </c>
      <c r="F16" s="63">
        <f>78530704+3777231</f>
        <v>82307935</v>
      </c>
      <c r="G16" s="65">
        <f t="shared" si="0"/>
        <v>1334962742</v>
      </c>
      <c r="H16" s="322"/>
    </row>
    <row r="17" spans="1:8">
      <c r="A17" s="66">
        <f t="shared" si="1"/>
        <v>8</v>
      </c>
      <c r="B17" s="68" t="s">
        <v>21</v>
      </c>
      <c r="C17" s="63">
        <v>655524343</v>
      </c>
      <c r="D17" s="64">
        <v>217502632</v>
      </c>
      <c r="E17" s="63">
        <v>381304623</v>
      </c>
      <c r="F17" s="63">
        <f>78223948+3777231</f>
        <v>82001179</v>
      </c>
      <c r="G17" s="65">
        <f t="shared" si="0"/>
        <v>1336332777</v>
      </c>
      <c r="H17" s="322"/>
    </row>
    <row r="18" spans="1:8">
      <c r="A18" s="66">
        <f t="shared" si="1"/>
        <v>9</v>
      </c>
      <c r="B18" s="68" t="s">
        <v>22</v>
      </c>
      <c r="C18" s="63">
        <v>655553241</v>
      </c>
      <c r="D18" s="64">
        <v>218000779</v>
      </c>
      <c r="E18" s="63">
        <v>382591764</v>
      </c>
      <c r="F18" s="63">
        <f>78097230+3777231</f>
        <v>81874461</v>
      </c>
      <c r="G18" s="65">
        <f t="shared" si="0"/>
        <v>1338020245</v>
      </c>
      <c r="H18" s="322"/>
    </row>
    <row r="19" spans="1:8">
      <c r="A19" s="66">
        <f t="shared" si="1"/>
        <v>10</v>
      </c>
      <c r="B19" s="68" t="s">
        <v>23</v>
      </c>
      <c r="C19" s="63">
        <v>655608428</v>
      </c>
      <c r="D19" s="64">
        <v>218522194</v>
      </c>
      <c r="E19" s="63">
        <v>383697056</v>
      </c>
      <c r="F19" s="63">
        <f>79798193+3777231</f>
        <v>83575424</v>
      </c>
      <c r="G19" s="65">
        <f t="shared" si="0"/>
        <v>1341403102</v>
      </c>
      <c r="H19" s="322"/>
    </row>
    <row r="20" spans="1:8">
      <c r="A20" s="66">
        <f t="shared" si="1"/>
        <v>11</v>
      </c>
      <c r="B20" s="68" t="s">
        <v>24</v>
      </c>
      <c r="C20" s="63">
        <v>655668196</v>
      </c>
      <c r="D20" s="64">
        <v>218963821</v>
      </c>
      <c r="E20" s="63">
        <v>384791603</v>
      </c>
      <c r="F20" s="63">
        <f>79971975+4392968</f>
        <v>84364943</v>
      </c>
      <c r="G20" s="65">
        <f t="shared" si="0"/>
        <v>1343788563</v>
      </c>
      <c r="H20" s="322"/>
    </row>
    <row r="21" spans="1:8">
      <c r="A21" s="66">
        <f t="shared" si="1"/>
        <v>12</v>
      </c>
      <c r="B21" s="68" t="s">
        <v>25</v>
      </c>
      <c r="C21" s="63">
        <v>655761148</v>
      </c>
      <c r="D21" s="64">
        <v>219486095</v>
      </c>
      <c r="E21" s="63">
        <v>385940427</v>
      </c>
      <c r="F21" s="63">
        <f>79759916+4394945</f>
        <v>84154861</v>
      </c>
      <c r="G21" s="65">
        <f t="shared" si="0"/>
        <v>1345342531</v>
      </c>
      <c r="H21" s="322"/>
    </row>
    <row r="22" spans="1:8">
      <c r="A22" s="66">
        <f t="shared" si="1"/>
        <v>13</v>
      </c>
      <c r="B22" s="68" t="s">
        <v>26</v>
      </c>
      <c r="C22" s="63">
        <v>666914224</v>
      </c>
      <c r="D22" s="64">
        <v>229252989</v>
      </c>
      <c r="E22" s="63">
        <v>390362038</v>
      </c>
      <c r="F22" s="63">
        <f>79647886+4680201</f>
        <v>84328087</v>
      </c>
      <c r="G22" s="65">
        <f t="shared" si="0"/>
        <v>1370857338</v>
      </c>
      <c r="H22" s="322"/>
    </row>
    <row r="23" spans="1:8">
      <c r="A23" s="66">
        <f t="shared" si="1"/>
        <v>14</v>
      </c>
      <c r="B23" s="68"/>
      <c r="C23" s="63"/>
      <c r="D23" s="63"/>
      <c r="E23" s="63"/>
      <c r="F23" s="63"/>
      <c r="G23" s="65"/>
      <c r="H23" s="322"/>
    </row>
    <row r="24" spans="1:8">
      <c r="A24" s="66">
        <f t="shared" si="1"/>
        <v>15</v>
      </c>
      <c r="B24" s="105" t="s">
        <v>27</v>
      </c>
      <c r="C24" s="103">
        <f>AVERAGE(C10:C22)+1</f>
        <v>656931052.30769229</v>
      </c>
      <c r="D24" s="103">
        <f>AVERAGE(D10:D22)</f>
        <v>218678357.07692307</v>
      </c>
      <c r="E24" s="103">
        <f>AVERAGE(E10:E22)</f>
        <v>380031786.23076922</v>
      </c>
      <c r="F24" s="103">
        <f>AVERAGE(F10:F22)-1</f>
        <v>82962320.84615384</v>
      </c>
      <c r="G24" s="104">
        <f>AVERAGE(G10:G22)</f>
        <v>1338603516.4615386</v>
      </c>
    </row>
    <row r="25" spans="1:8">
      <c r="A25" s="66"/>
      <c r="B25" s="69"/>
      <c r="C25" s="70"/>
      <c r="D25" s="70"/>
      <c r="E25" s="70"/>
      <c r="F25" s="70"/>
      <c r="G25" s="71"/>
    </row>
    <row r="26" spans="1:8">
      <c r="A26" s="72"/>
    </row>
    <row r="27" spans="1:8">
      <c r="A27" s="73"/>
      <c r="F27" s="63"/>
    </row>
    <row r="28" spans="1:8">
      <c r="A28" s="73"/>
      <c r="F28" s="63"/>
    </row>
    <row r="29" spans="1:8" s="63" customFormat="1">
      <c r="A29" s="74"/>
    </row>
    <row r="30" spans="1:8" s="63" customFormat="1">
      <c r="A30" s="74"/>
      <c r="D30" s="64"/>
    </row>
    <row r="31" spans="1:8">
      <c r="A31" s="73"/>
    </row>
    <row r="32" spans="1:8">
      <c r="A32" s="73"/>
    </row>
    <row r="33" spans="1:1">
      <c r="A33" s="73"/>
    </row>
    <row r="34" spans="1:1">
      <c r="A34" s="73"/>
    </row>
    <row r="35" spans="1:1">
      <c r="A35" s="73"/>
    </row>
    <row r="36" spans="1:1">
      <c r="A36" s="73"/>
    </row>
    <row r="37" spans="1:1">
      <c r="A37" s="73"/>
    </row>
    <row r="38" spans="1:1">
      <c r="A38" s="73"/>
    </row>
    <row r="39" spans="1:1">
      <c r="A39" s="73"/>
    </row>
    <row r="40" spans="1:1">
      <c r="A40" s="73"/>
    </row>
    <row r="41" spans="1:1">
      <c r="A41" s="73"/>
    </row>
    <row r="42" spans="1:1">
      <c r="A42" s="73"/>
    </row>
    <row r="43" spans="1:1">
      <c r="A43" s="73"/>
    </row>
    <row r="44" spans="1:1">
      <c r="A44" s="73"/>
    </row>
    <row r="45" spans="1:1">
      <c r="A45" s="73"/>
    </row>
    <row r="46" spans="1:1">
      <c r="A46" s="73"/>
    </row>
    <row r="47" spans="1:1">
      <c r="A47" s="73"/>
    </row>
    <row r="48" spans="1:1">
      <c r="A48" s="73"/>
    </row>
    <row r="49" spans="1:1">
      <c r="A49" s="73"/>
    </row>
    <row r="50" spans="1:1">
      <c r="A50" s="73"/>
    </row>
    <row r="51" spans="1:1">
      <c r="A51" s="73"/>
    </row>
    <row r="52" spans="1:1">
      <c r="A52" s="73"/>
    </row>
    <row r="53" spans="1:1">
      <c r="A53" s="73"/>
    </row>
    <row r="54" spans="1:1">
      <c r="A54" s="73"/>
    </row>
    <row r="55" spans="1:1">
      <c r="A55" s="73"/>
    </row>
    <row r="56" spans="1:1">
      <c r="A56" s="73"/>
    </row>
    <row r="57" spans="1:1">
      <c r="A57" s="73"/>
    </row>
    <row r="58" spans="1:1">
      <c r="A58" s="73"/>
    </row>
    <row r="59" spans="1:1">
      <c r="A59" s="73"/>
    </row>
    <row r="60" spans="1:1">
      <c r="A60" s="73"/>
    </row>
    <row r="61" spans="1:1">
      <c r="A61" s="73"/>
    </row>
    <row r="62" spans="1:1">
      <c r="A62" s="73"/>
    </row>
    <row r="63" spans="1:1">
      <c r="A63" s="73"/>
    </row>
    <row r="64" spans="1:1">
      <c r="A64" s="73"/>
    </row>
    <row r="65" spans="1:1">
      <c r="A65" s="73"/>
    </row>
    <row r="66" spans="1:1">
      <c r="A66" s="73"/>
    </row>
    <row r="67" spans="1:1">
      <c r="A67" s="73"/>
    </row>
    <row r="68" spans="1:1">
      <c r="A68" s="73"/>
    </row>
    <row r="69" spans="1:1">
      <c r="A69" s="73"/>
    </row>
    <row r="70" spans="1:1">
      <c r="A70" s="73"/>
    </row>
    <row r="71" spans="1:1">
      <c r="A71" s="73"/>
    </row>
    <row r="72" spans="1:1">
      <c r="A72" s="73"/>
    </row>
    <row r="73" spans="1:1">
      <c r="A73" s="73"/>
    </row>
    <row r="74" spans="1:1">
      <c r="A74" s="73"/>
    </row>
    <row r="75" spans="1:1">
      <c r="A75" s="73"/>
    </row>
    <row r="76" spans="1:1">
      <c r="A76" s="73"/>
    </row>
    <row r="77" spans="1:1">
      <c r="A77" s="73"/>
    </row>
    <row r="78" spans="1:1">
      <c r="A78" s="73"/>
    </row>
    <row r="79" spans="1:1">
      <c r="A79" s="73"/>
    </row>
    <row r="80" spans="1:1">
      <c r="A80" s="73"/>
    </row>
    <row r="81" spans="1:1">
      <c r="A81" s="73"/>
    </row>
    <row r="82" spans="1:1">
      <c r="A82" s="73"/>
    </row>
    <row r="83" spans="1:1">
      <c r="A83" s="73"/>
    </row>
    <row r="84" spans="1:1">
      <c r="A84" s="73"/>
    </row>
    <row r="85" spans="1:1">
      <c r="A85" s="73"/>
    </row>
    <row r="86" spans="1:1">
      <c r="A86" s="73"/>
    </row>
    <row r="87" spans="1:1">
      <c r="A87" s="73"/>
    </row>
    <row r="88" spans="1:1">
      <c r="A88" s="73"/>
    </row>
    <row r="89" spans="1:1">
      <c r="A89" s="73"/>
    </row>
    <row r="90" spans="1:1">
      <c r="A90" s="73"/>
    </row>
    <row r="91" spans="1:1">
      <c r="A91" s="73"/>
    </row>
    <row r="92" spans="1:1">
      <c r="A92" s="73"/>
    </row>
    <row r="93" spans="1:1">
      <c r="A93" s="73"/>
    </row>
    <row r="94" spans="1:1">
      <c r="A94" s="73"/>
    </row>
    <row r="95" spans="1:1">
      <c r="A95" s="73"/>
    </row>
    <row r="96" spans="1:1">
      <c r="A96" s="73"/>
    </row>
    <row r="97" spans="1:1">
      <c r="A97" s="73"/>
    </row>
    <row r="98" spans="1:1">
      <c r="A98" s="73"/>
    </row>
    <row r="99" spans="1:1">
      <c r="A99" s="73"/>
    </row>
    <row r="100" spans="1:1">
      <c r="A100" s="73"/>
    </row>
    <row r="101" spans="1:1">
      <c r="A101" s="73"/>
    </row>
    <row r="102" spans="1:1">
      <c r="A102" s="73"/>
    </row>
    <row r="103" spans="1:1">
      <c r="A103" s="73"/>
    </row>
    <row r="104" spans="1:1">
      <c r="A104" s="73"/>
    </row>
    <row r="105" spans="1:1">
      <c r="A105" s="73"/>
    </row>
    <row r="106" spans="1:1">
      <c r="A106" s="73"/>
    </row>
    <row r="107" spans="1:1">
      <c r="A107" s="73"/>
    </row>
    <row r="108" spans="1:1">
      <c r="A108" s="73"/>
    </row>
    <row r="109" spans="1:1">
      <c r="A109" s="73"/>
    </row>
    <row r="110" spans="1:1">
      <c r="A110" s="73"/>
    </row>
    <row r="111" spans="1:1">
      <c r="A111" s="73"/>
    </row>
    <row r="112" spans="1:1">
      <c r="A112" s="73"/>
    </row>
    <row r="113" spans="1:1">
      <c r="A113" s="73"/>
    </row>
    <row r="114" spans="1:1">
      <c r="A114" s="73"/>
    </row>
    <row r="115" spans="1:1">
      <c r="A115" s="73"/>
    </row>
    <row r="116" spans="1:1">
      <c r="A116" s="73"/>
    </row>
    <row r="117" spans="1:1">
      <c r="A117" s="73"/>
    </row>
    <row r="118" spans="1:1">
      <c r="A118" s="73"/>
    </row>
    <row r="119" spans="1:1">
      <c r="A119" s="73"/>
    </row>
    <row r="120" spans="1:1">
      <c r="A120" s="73"/>
    </row>
    <row r="121" spans="1:1">
      <c r="A121" s="73"/>
    </row>
    <row r="122" spans="1:1">
      <c r="A122" s="73"/>
    </row>
    <row r="123" spans="1:1">
      <c r="A123" s="73"/>
    </row>
    <row r="124" spans="1:1">
      <c r="A124" s="73"/>
    </row>
    <row r="125" spans="1:1">
      <c r="A125" s="73"/>
    </row>
    <row r="126" spans="1:1">
      <c r="A126" s="73"/>
    </row>
    <row r="127" spans="1:1">
      <c r="A127" s="73"/>
    </row>
    <row r="128" spans="1:1">
      <c r="A128" s="73"/>
    </row>
    <row r="129" spans="1:1">
      <c r="A129" s="73"/>
    </row>
    <row r="130" spans="1:1">
      <c r="A130" s="73"/>
    </row>
    <row r="131" spans="1:1">
      <c r="A131" s="73"/>
    </row>
    <row r="132" spans="1:1">
      <c r="A132" s="73"/>
    </row>
    <row r="133" spans="1:1">
      <c r="A133" s="73"/>
    </row>
    <row r="134" spans="1:1">
      <c r="A134" s="73"/>
    </row>
    <row r="135" spans="1:1">
      <c r="A135" s="73"/>
    </row>
    <row r="136" spans="1:1">
      <c r="A136" s="73"/>
    </row>
    <row r="137" spans="1:1">
      <c r="A137" s="73"/>
    </row>
    <row r="138" spans="1:1">
      <c r="A138" s="73"/>
    </row>
    <row r="139" spans="1:1">
      <c r="A139" s="73"/>
    </row>
    <row r="140" spans="1:1">
      <c r="A140" s="73"/>
    </row>
    <row r="141" spans="1:1">
      <c r="A141" s="73"/>
    </row>
    <row r="142" spans="1:1">
      <c r="A142" s="73"/>
    </row>
    <row r="143" spans="1:1">
      <c r="A143" s="73"/>
    </row>
    <row r="144" spans="1:1">
      <c r="A144" s="73"/>
    </row>
    <row r="145" spans="1:1">
      <c r="A145" s="73"/>
    </row>
    <row r="146" spans="1:1">
      <c r="A146" s="73"/>
    </row>
    <row r="147" spans="1:1">
      <c r="A147" s="73"/>
    </row>
    <row r="148" spans="1:1">
      <c r="A148" s="73"/>
    </row>
  </sheetData>
  <mergeCells count="3">
    <mergeCell ref="A3:G3"/>
    <mergeCell ref="A4:G4"/>
    <mergeCell ref="A5:G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1 of 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S119"/>
  <sheetViews>
    <sheetView showGridLines="0" zoomScaleNormal="100" workbookViewId="0">
      <selection activeCell="O18" sqref="O18"/>
    </sheetView>
  </sheetViews>
  <sheetFormatPr defaultRowHeight="12.75"/>
  <cols>
    <col min="1" max="1" width="3.5546875" style="218" bestFit="1" customWidth="1"/>
    <col min="2" max="2" width="9.33203125" style="218" customWidth="1"/>
    <col min="3" max="8" width="5.21875" style="218" customWidth="1"/>
    <col min="9" max="9" width="6.77734375" style="218" bestFit="1" customWidth="1"/>
    <col min="10" max="10" width="5.44140625" style="218" customWidth="1"/>
    <col min="11" max="11" width="28.33203125" style="218" hidden="1" customWidth="1"/>
    <col min="12" max="12" width="12.21875" style="218" customWidth="1"/>
    <col min="13" max="13" width="2.21875" style="218" customWidth="1"/>
    <col min="14" max="16384" width="8.88671875" style="218"/>
  </cols>
  <sheetData>
    <row r="1" spans="1:13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>
      <c r="A2" s="792" t="s">
        <v>0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225"/>
    </row>
    <row r="3" spans="1:13">
      <c r="A3" s="790" t="s">
        <v>365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3">
      <c r="A4" s="790" t="s">
        <v>554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13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3">
      <c r="A6" s="225"/>
      <c r="B6" s="794"/>
      <c r="C6" s="794"/>
      <c r="D6" s="794"/>
      <c r="E6" s="794"/>
      <c r="F6" s="794"/>
      <c r="G6" s="794"/>
      <c r="H6" s="794"/>
      <c r="I6" s="469"/>
      <c r="J6" s="469"/>
      <c r="K6" s="469"/>
      <c r="L6" s="56"/>
      <c r="M6" s="225"/>
    </row>
    <row r="7" spans="1:13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</row>
    <row r="8" spans="1:13">
      <c r="A8" s="120" t="s">
        <v>9</v>
      </c>
      <c r="B8" s="226"/>
      <c r="C8" s="227"/>
      <c r="D8" s="227"/>
      <c r="E8" s="227"/>
      <c r="F8" s="227"/>
      <c r="G8" s="227"/>
      <c r="H8" s="227"/>
      <c r="I8" s="227"/>
      <c r="J8" s="227"/>
      <c r="K8" s="227"/>
      <c r="L8" s="228"/>
      <c r="M8" s="225"/>
    </row>
    <row r="9" spans="1:13">
      <c r="A9" s="122" t="s">
        <v>10</v>
      </c>
      <c r="B9" s="624" t="s">
        <v>366</v>
      </c>
      <c r="C9" s="625"/>
      <c r="D9" s="625"/>
      <c r="E9" s="625"/>
      <c r="F9" s="625"/>
      <c r="G9" s="625"/>
      <c r="H9" s="625"/>
      <c r="I9" s="625"/>
      <c r="J9" s="625"/>
      <c r="K9" s="625"/>
      <c r="L9" s="626" t="s">
        <v>59</v>
      </c>
      <c r="M9" s="225"/>
    </row>
    <row r="10" spans="1:13">
      <c r="A10" s="193">
        <v>1</v>
      </c>
      <c r="B10" s="226" t="s">
        <v>367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8"/>
      <c r="M10" s="225"/>
    </row>
    <row r="11" spans="1:13">
      <c r="A11" s="193">
        <f t="shared" ref="A11:A25" si="0">+A10+1</f>
        <v>2</v>
      </c>
      <c r="B11" s="483" t="s">
        <v>368</v>
      </c>
      <c r="C11" s="484"/>
      <c r="D11" s="484"/>
      <c r="E11" s="484"/>
      <c r="F11" s="484"/>
      <c r="G11" s="484"/>
      <c r="H11" s="484"/>
      <c r="I11" s="484"/>
      <c r="J11" s="484"/>
      <c r="K11" s="484"/>
      <c r="L11" s="627">
        <f>+L108</f>
        <v>0</v>
      </c>
      <c r="M11" s="229" t="s">
        <v>546</v>
      </c>
    </row>
    <row r="12" spans="1:13">
      <c r="A12" s="193">
        <f t="shared" si="0"/>
        <v>3</v>
      </c>
      <c r="B12" s="483" t="s">
        <v>370</v>
      </c>
      <c r="C12" s="484"/>
      <c r="D12" s="484"/>
      <c r="E12" s="484"/>
      <c r="F12" s="484"/>
      <c r="G12" s="484"/>
      <c r="H12" s="484"/>
      <c r="I12" s="484"/>
      <c r="J12" s="484"/>
      <c r="K12" s="484"/>
      <c r="L12" s="628">
        <v>0.65892480959824928</v>
      </c>
      <c r="M12" s="229" t="s">
        <v>371</v>
      </c>
    </row>
    <row r="13" spans="1:13">
      <c r="A13" s="193">
        <f t="shared" si="0"/>
        <v>4</v>
      </c>
      <c r="B13" s="483" t="s">
        <v>542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90">
        <f>+L11*L12</f>
        <v>0</v>
      </c>
      <c r="M13" s="229"/>
    </row>
    <row r="14" spans="1:13">
      <c r="A14" s="193">
        <f t="shared" si="0"/>
        <v>5</v>
      </c>
      <c r="B14" s="483" t="s">
        <v>541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9">
        <f>L37</f>
        <v>271973.27</v>
      </c>
      <c r="M14" s="393" t="s">
        <v>546</v>
      </c>
    </row>
    <row r="15" spans="1:13" ht="13.5" thickBot="1">
      <c r="A15" s="193">
        <f t="shared" si="0"/>
        <v>6</v>
      </c>
      <c r="B15" s="392" t="s">
        <v>543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91">
        <f>L13+L14</f>
        <v>271973.27</v>
      </c>
      <c r="M15" s="229"/>
    </row>
    <row r="16" spans="1:13" ht="13.5" thickTop="1">
      <c r="A16" s="193">
        <f t="shared" si="0"/>
        <v>7</v>
      </c>
      <c r="B16" s="478"/>
      <c r="C16" s="479"/>
      <c r="D16" s="479"/>
      <c r="E16" s="479"/>
      <c r="F16" s="479"/>
      <c r="G16" s="479"/>
      <c r="H16" s="479"/>
      <c r="I16" s="479"/>
      <c r="J16" s="479"/>
      <c r="K16" s="479"/>
      <c r="L16" s="230"/>
      <c r="M16" s="229"/>
    </row>
    <row r="17" spans="1:13">
      <c r="A17" s="193">
        <f t="shared" si="0"/>
        <v>8</v>
      </c>
      <c r="B17" s="478" t="s">
        <v>372</v>
      </c>
      <c r="C17" s="479"/>
      <c r="D17" s="479"/>
      <c r="E17" s="479"/>
      <c r="F17" s="479"/>
      <c r="G17" s="479"/>
      <c r="H17" s="479"/>
      <c r="I17" s="479"/>
      <c r="J17" s="479"/>
      <c r="K17" s="479"/>
      <c r="L17" s="230"/>
      <c r="M17" s="229"/>
    </row>
    <row r="18" spans="1:13">
      <c r="A18" s="193">
        <f t="shared" si="0"/>
        <v>9</v>
      </c>
      <c r="B18" s="483" t="s">
        <v>373</v>
      </c>
      <c r="C18" s="484"/>
      <c r="D18" s="484"/>
      <c r="E18" s="484"/>
      <c r="F18" s="484"/>
      <c r="G18" s="484"/>
      <c r="H18" s="484"/>
      <c r="I18" s="484"/>
      <c r="J18" s="484"/>
      <c r="K18" s="484"/>
      <c r="L18" s="594">
        <f>'Page 9-11 - Funct'!D187</f>
        <v>1852029.12</v>
      </c>
      <c r="M18" s="229" t="s">
        <v>374</v>
      </c>
    </row>
    <row r="19" spans="1:13">
      <c r="A19" s="193">
        <f t="shared" si="0"/>
        <v>10</v>
      </c>
      <c r="B19" s="483" t="s">
        <v>375</v>
      </c>
      <c r="C19" s="484"/>
      <c r="D19" s="484"/>
      <c r="E19" s="484"/>
      <c r="F19" s="484"/>
      <c r="G19" s="484"/>
      <c r="H19" s="484"/>
      <c r="I19" s="484"/>
      <c r="J19" s="484"/>
      <c r="K19" s="484"/>
      <c r="L19" s="231">
        <f>L15</f>
        <v>271973.27</v>
      </c>
      <c r="M19" s="229"/>
    </row>
    <row r="20" spans="1:13">
      <c r="A20" s="193">
        <f t="shared" si="0"/>
        <v>11</v>
      </c>
      <c r="B20" s="483" t="s">
        <v>376</v>
      </c>
      <c r="C20" s="484"/>
      <c r="D20" s="484"/>
      <c r="E20" s="484"/>
      <c r="F20" s="484"/>
      <c r="G20" s="484"/>
      <c r="H20" s="484"/>
      <c r="I20" s="484"/>
      <c r="J20" s="484"/>
      <c r="K20" s="484"/>
      <c r="L20" s="595">
        <f>'Page 9-11 - Funct'!D189</f>
        <v>601317.06000000006</v>
      </c>
      <c r="M20" s="229" t="s">
        <v>374</v>
      </c>
    </row>
    <row r="21" spans="1:13">
      <c r="A21" s="193">
        <f t="shared" si="0"/>
        <v>12</v>
      </c>
      <c r="B21" s="478"/>
      <c r="C21" s="479"/>
      <c r="D21" s="479"/>
      <c r="E21" s="479"/>
      <c r="F21" s="479"/>
      <c r="G21" s="479"/>
      <c r="H21" s="479"/>
      <c r="I21" s="479"/>
      <c r="J21" s="479"/>
      <c r="K21" s="479"/>
      <c r="L21" s="295">
        <f>+L18-L19+L20</f>
        <v>2181372.91</v>
      </c>
      <c r="M21" s="229"/>
    </row>
    <row r="22" spans="1:13">
      <c r="A22" s="193">
        <f t="shared" si="0"/>
        <v>13</v>
      </c>
      <c r="B22" s="478"/>
      <c r="C22" s="479"/>
      <c r="D22" s="479"/>
      <c r="E22" s="479"/>
      <c r="F22" s="479"/>
      <c r="G22" s="479"/>
      <c r="H22" s="479"/>
      <c r="I22" s="479"/>
      <c r="J22" s="479"/>
      <c r="K22" s="479"/>
      <c r="L22" s="232"/>
      <c r="M22" s="229"/>
    </row>
    <row r="23" spans="1:13">
      <c r="A23" s="193">
        <f t="shared" si="0"/>
        <v>14</v>
      </c>
      <c r="B23" s="478" t="s">
        <v>377</v>
      </c>
      <c r="C23" s="479"/>
      <c r="D23" s="479"/>
      <c r="E23" s="479"/>
      <c r="F23" s="479"/>
      <c r="G23" s="479"/>
      <c r="H23" s="479"/>
      <c r="I23" s="479"/>
      <c r="J23" s="479"/>
      <c r="K23" s="479"/>
      <c r="L23" s="629">
        <f>+L97</f>
        <v>60192.78</v>
      </c>
      <c r="M23" s="229" t="s">
        <v>369</v>
      </c>
    </row>
    <row r="24" spans="1:13">
      <c r="A24" s="193">
        <f t="shared" si="0"/>
        <v>15</v>
      </c>
      <c r="B24" s="478"/>
      <c r="C24" s="479"/>
      <c r="D24" s="479"/>
      <c r="E24" s="479"/>
      <c r="F24" s="479"/>
      <c r="G24" s="479"/>
      <c r="H24" s="479"/>
      <c r="I24" s="479"/>
      <c r="J24" s="479"/>
      <c r="K24" s="479"/>
      <c r="L24" s="232"/>
      <c r="M24" s="229"/>
    </row>
    <row r="25" spans="1:13" ht="13.5" thickBot="1">
      <c r="A25" s="193">
        <f t="shared" si="0"/>
        <v>16</v>
      </c>
      <c r="B25" s="478" t="s">
        <v>378</v>
      </c>
      <c r="C25" s="479"/>
      <c r="D25" s="479"/>
      <c r="E25" s="479"/>
      <c r="F25" s="479"/>
      <c r="G25" s="479"/>
      <c r="H25" s="479"/>
      <c r="I25" s="479"/>
      <c r="J25" s="479"/>
      <c r="K25" s="479"/>
      <c r="L25" s="233">
        <f>L15+L21+L23</f>
        <v>2513538.96</v>
      </c>
      <c r="M25" s="229"/>
    </row>
    <row r="26" spans="1:13" ht="13.5" thickTop="1">
      <c r="A26" s="234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7"/>
      <c r="M26" s="229"/>
    </row>
    <row r="27" spans="1:13">
      <c r="A27" s="225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</row>
    <row r="28" spans="1:13">
      <c r="A28" s="225"/>
      <c r="B28" s="229" t="s">
        <v>544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5"/>
      <c r="M28" s="225"/>
    </row>
    <row r="29" spans="1:13">
      <c r="A29" s="225"/>
      <c r="B29" s="229" t="s">
        <v>559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5"/>
      <c r="M29" s="225"/>
    </row>
    <row r="30" spans="1:13">
      <c r="A30" s="225"/>
      <c r="B30" s="229" t="s">
        <v>558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</row>
    <row r="31" spans="1:13">
      <c r="A31" s="225"/>
      <c r="B31" s="229" t="s">
        <v>545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</row>
    <row r="32" spans="1:13">
      <c r="A32" s="225"/>
      <c r="B32" s="229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</row>
    <row r="33" spans="1:13">
      <c r="A33" s="225"/>
      <c r="B33" s="485" t="s">
        <v>2</v>
      </c>
      <c r="C33" s="473" t="s">
        <v>3</v>
      </c>
      <c r="D33" s="473" t="s">
        <v>4</v>
      </c>
      <c r="E33" s="473" t="s">
        <v>5</v>
      </c>
      <c r="F33" s="473" t="s">
        <v>6</v>
      </c>
      <c r="G33" s="473" t="s">
        <v>8</v>
      </c>
      <c r="H33" s="473" t="s">
        <v>7</v>
      </c>
      <c r="I33" s="473" t="s">
        <v>29</v>
      </c>
      <c r="J33" s="473" t="s">
        <v>30</v>
      </c>
      <c r="K33" s="473"/>
      <c r="L33" s="473" t="s">
        <v>31</v>
      </c>
      <c r="M33" s="225"/>
    </row>
    <row r="34" spans="1:13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</row>
    <row r="35" spans="1:13" ht="25.5">
      <c r="A35" s="194" t="s">
        <v>37</v>
      </c>
      <c r="B35" s="260"/>
      <c r="C35" s="283" t="s">
        <v>455</v>
      </c>
      <c r="D35" s="283" t="s">
        <v>379</v>
      </c>
      <c r="E35" s="283" t="s">
        <v>380</v>
      </c>
      <c r="F35" s="283" t="s">
        <v>445</v>
      </c>
      <c r="G35" s="283" t="s">
        <v>381</v>
      </c>
      <c r="H35" s="283" t="s">
        <v>382</v>
      </c>
      <c r="I35" s="283" t="s">
        <v>361</v>
      </c>
      <c r="J35" s="283" t="s">
        <v>32</v>
      </c>
      <c r="K35" s="283"/>
      <c r="L35" s="284" t="s">
        <v>454</v>
      </c>
      <c r="M35" s="478"/>
    </row>
    <row r="36" spans="1:13">
      <c r="A36" s="195"/>
      <c r="B36" s="196" t="s">
        <v>383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8"/>
      <c r="M36" s="479"/>
    </row>
    <row r="37" spans="1:13">
      <c r="A37" s="452">
        <f>A25+1</f>
        <v>17</v>
      </c>
      <c r="B37" s="200" t="s">
        <v>556</v>
      </c>
      <c r="C37" s="201">
        <v>100</v>
      </c>
      <c r="D37" s="324" t="s">
        <v>385</v>
      </c>
      <c r="E37" s="324" t="s">
        <v>409</v>
      </c>
      <c r="F37" s="201">
        <v>5045</v>
      </c>
      <c r="G37" s="324" t="s">
        <v>500</v>
      </c>
      <c r="H37" s="324" t="s">
        <v>389</v>
      </c>
      <c r="I37" s="201">
        <v>100760</v>
      </c>
      <c r="J37" s="201">
        <v>92800</v>
      </c>
      <c r="K37" s="630" t="str">
        <f t="shared" ref="K37:K69" si="1">CONCATENATE(D37,".",E37,".",F37,".",G37,".",H37,".",I37,".",J37)</f>
        <v>010.0760.5045.0100.0980.100760.92800</v>
      </c>
      <c r="L37" s="631">
        <v>271973.27</v>
      </c>
      <c r="M37" s="479"/>
    </row>
    <row r="38" spans="1:13">
      <c r="A38" s="199">
        <f>A37+1</f>
        <v>18</v>
      </c>
      <c r="B38" s="200" t="s">
        <v>556</v>
      </c>
      <c r="C38" s="201" t="s">
        <v>384</v>
      </c>
      <c r="D38" s="201" t="s">
        <v>385</v>
      </c>
      <c r="E38" s="201" t="s">
        <v>386</v>
      </c>
      <c r="F38" s="201" t="s">
        <v>387</v>
      </c>
      <c r="G38" s="201" t="s">
        <v>388</v>
      </c>
      <c r="H38" s="201" t="s">
        <v>389</v>
      </c>
      <c r="I38" s="201" t="s">
        <v>390</v>
      </c>
      <c r="J38" s="201">
        <v>92800</v>
      </c>
      <c r="K38" s="630" t="str">
        <f t="shared" si="1"/>
        <v>010.0570.5101.2500.0980.000000.92800</v>
      </c>
      <c r="L38" s="631">
        <v>0</v>
      </c>
      <c r="M38" s="479"/>
    </row>
    <row r="39" spans="1:13">
      <c r="A39" s="199">
        <f t="shared" ref="A39:A108" si="2">A38+1</f>
        <v>19</v>
      </c>
      <c r="B39" s="200" t="s">
        <v>556</v>
      </c>
      <c r="C39" s="201">
        <v>100</v>
      </c>
      <c r="D39" s="324" t="s">
        <v>391</v>
      </c>
      <c r="E39" s="324" t="s">
        <v>502</v>
      </c>
      <c r="F39" s="201">
        <v>5117</v>
      </c>
      <c r="G39" s="324" t="s">
        <v>402</v>
      </c>
      <c r="H39" s="324" t="s">
        <v>389</v>
      </c>
      <c r="I39" s="201">
        <v>100270</v>
      </c>
      <c r="J39" s="201">
        <v>92800</v>
      </c>
      <c r="K39" s="630" t="str">
        <f t="shared" si="1"/>
        <v>030.0270.5117.0000.0980.100270.92800</v>
      </c>
      <c r="L39" s="631">
        <v>0</v>
      </c>
      <c r="M39" s="479"/>
    </row>
    <row r="40" spans="1:13">
      <c r="A40" s="199">
        <f t="shared" si="2"/>
        <v>20</v>
      </c>
      <c r="B40" s="200" t="s">
        <v>556</v>
      </c>
      <c r="C40" s="201" t="s">
        <v>384</v>
      </c>
      <c r="D40" s="201" t="s">
        <v>391</v>
      </c>
      <c r="E40" s="324" t="s">
        <v>557</v>
      </c>
      <c r="F40" s="201" t="s">
        <v>392</v>
      </c>
      <c r="G40" s="201" t="s">
        <v>393</v>
      </c>
      <c r="H40" s="201" t="s">
        <v>389</v>
      </c>
      <c r="I40" s="201">
        <v>104099</v>
      </c>
      <c r="J40" s="201">
        <v>92800</v>
      </c>
      <c r="K40" s="630" t="str">
        <f>CONCATENATE(D40,".",E40,".",F40,".",G40,".",H40,".",I40,".",J40)</f>
        <v>030.0620.5100.1100.0980.104099.92800</v>
      </c>
      <c r="L40" s="631">
        <v>187.51</v>
      </c>
      <c r="M40" s="479"/>
    </row>
    <row r="41" spans="1:13">
      <c r="A41" s="199">
        <f t="shared" si="2"/>
        <v>21</v>
      </c>
      <c r="B41" s="200" t="s">
        <v>556</v>
      </c>
      <c r="C41" s="632" t="s">
        <v>384</v>
      </c>
      <c r="D41" s="632" t="s">
        <v>391</v>
      </c>
      <c r="E41" s="632" t="s">
        <v>394</v>
      </c>
      <c r="F41" s="632" t="s">
        <v>392</v>
      </c>
      <c r="G41" s="632" t="s">
        <v>393</v>
      </c>
      <c r="H41" s="632" t="s">
        <v>389</v>
      </c>
      <c r="I41" s="632">
        <v>104098</v>
      </c>
      <c r="J41" s="201">
        <v>92800</v>
      </c>
      <c r="K41" s="630" t="str">
        <f t="shared" si="1"/>
        <v>030.0690.5100.1100.0980.104098.92800</v>
      </c>
      <c r="L41" s="631">
        <v>20437.2</v>
      </c>
      <c r="M41" s="479"/>
    </row>
    <row r="42" spans="1:13">
      <c r="A42" s="199">
        <f t="shared" si="2"/>
        <v>22</v>
      </c>
      <c r="B42" s="200" t="s">
        <v>556</v>
      </c>
      <c r="C42" s="632" t="s">
        <v>384</v>
      </c>
      <c r="D42" s="632" t="s">
        <v>391</v>
      </c>
      <c r="E42" s="632" t="s">
        <v>394</v>
      </c>
      <c r="F42" s="632" t="s">
        <v>392</v>
      </c>
      <c r="G42" s="632" t="s">
        <v>393</v>
      </c>
      <c r="H42" s="632" t="s">
        <v>389</v>
      </c>
      <c r="I42" s="632">
        <v>104099</v>
      </c>
      <c r="J42" s="201">
        <v>92800</v>
      </c>
      <c r="K42" s="630" t="str">
        <f t="shared" si="1"/>
        <v>030.0690.5100.1100.0980.104099.92800</v>
      </c>
      <c r="L42" s="631">
        <v>12178.84</v>
      </c>
      <c r="M42" s="479"/>
    </row>
    <row r="43" spans="1:13">
      <c r="A43" s="199">
        <f t="shared" si="2"/>
        <v>23</v>
      </c>
      <c r="B43" s="200" t="s">
        <v>556</v>
      </c>
      <c r="C43" s="201" t="s">
        <v>384</v>
      </c>
      <c r="D43" s="201" t="s">
        <v>391</v>
      </c>
      <c r="E43" s="324" t="s">
        <v>394</v>
      </c>
      <c r="F43" s="201">
        <v>5100</v>
      </c>
      <c r="G43" s="201">
        <v>1110</v>
      </c>
      <c r="H43" s="201" t="s">
        <v>389</v>
      </c>
      <c r="I43" s="201">
        <v>104098</v>
      </c>
      <c r="J43" s="201">
        <v>92800</v>
      </c>
      <c r="K43" s="630" t="str">
        <f t="shared" si="1"/>
        <v>030.0690.5100.1110.0980.104098.92800</v>
      </c>
      <c r="L43" s="631">
        <v>0</v>
      </c>
      <c r="M43" s="479"/>
    </row>
    <row r="44" spans="1:13">
      <c r="A44" s="199">
        <f t="shared" si="2"/>
        <v>24</v>
      </c>
      <c r="B44" s="200" t="s">
        <v>556</v>
      </c>
      <c r="C44" s="201">
        <v>100</v>
      </c>
      <c r="D44" s="324" t="s">
        <v>391</v>
      </c>
      <c r="E44" s="324" t="s">
        <v>394</v>
      </c>
      <c r="F44" s="201">
        <v>5100</v>
      </c>
      <c r="G44" s="201">
        <v>1110</v>
      </c>
      <c r="H44" s="201">
        <v>9999</v>
      </c>
      <c r="I44" s="324" t="s">
        <v>390</v>
      </c>
      <c r="J44" s="201">
        <v>92800</v>
      </c>
      <c r="K44" s="630" t="str">
        <f t="shared" si="1"/>
        <v>030.0690.5100.1110.9999.000000.92800</v>
      </c>
      <c r="L44" s="631">
        <v>0</v>
      </c>
      <c r="M44" s="479"/>
    </row>
    <row r="45" spans="1:13">
      <c r="A45" s="199">
        <f t="shared" si="2"/>
        <v>25</v>
      </c>
      <c r="B45" s="200" t="s">
        <v>556</v>
      </c>
      <c r="C45" s="201">
        <v>100</v>
      </c>
      <c r="D45" s="324" t="s">
        <v>391</v>
      </c>
      <c r="E45" s="324" t="s">
        <v>394</v>
      </c>
      <c r="F45" s="201">
        <v>5100</v>
      </c>
      <c r="G45" s="201">
        <v>2100</v>
      </c>
      <c r="H45" s="324" t="s">
        <v>389</v>
      </c>
      <c r="I45" s="324">
        <v>104098</v>
      </c>
      <c r="J45" s="201">
        <v>92800</v>
      </c>
      <c r="K45" s="630" t="str">
        <f t="shared" si="1"/>
        <v>030.0690.5100.2100.0980.104098.92800</v>
      </c>
      <c r="L45" s="631">
        <v>0</v>
      </c>
      <c r="M45" s="479"/>
    </row>
    <row r="46" spans="1:13">
      <c r="A46" s="199">
        <f t="shared" si="2"/>
        <v>26</v>
      </c>
      <c r="B46" s="200" t="s">
        <v>556</v>
      </c>
      <c r="C46" s="201">
        <v>100</v>
      </c>
      <c r="D46" s="324" t="s">
        <v>391</v>
      </c>
      <c r="E46" s="324" t="s">
        <v>394</v>
      </c>
      <c r="F46" s="201">
        <v>5100</v>
      </c>
      <c r="G46" s="201">
        <v>2100</v>
      </c>
      <c r="H46" s="201">
        <v>9999</v>
      </c>
      <c r="I46" s="324" t="s">
        <v>390</v>
      </c>
      <c r="J46" s="201">
        <v>92800</v>
      </c>
      <c r="K46" s="630" t="str">
        <f t="shared" si="1"/>
        <v>030.0690.5100.2100.9999.000000.92800</v>
      </c>
      <c r="L46" s="631">
        <v>0</v>
      </c>
      <c r="M46" s="479"/>
    </row>
    <row r="47" spans="1:13">
      <c r="A47" s="199">
        <f t="shared" si="2"/>
        <v>27</v>
      </c>
      <c r="B47" s="200" t="s">
        <v>556</v>
      </c>
      <c r="C47" s="201">
        <v>100</v>
      </c>
      <c r="D47" s="324" t="s">
        <v>391</v>
      </c>
      <c r="E47" s="324" t="s">
        <v>394</v>
      </c>
      <c r="F47" s="201">
        <v>5101</v>
      </c>
      <c r="G47" s="201">
        <v>2500</v>
      </c>
      <c r="H47" s="324" t="s">
        <v>389</v>
      </c>
      <c r="I47" s="324">
        <v>100693</v>
      </c>
      <c r="J47" s="201">
        <v>92800</v>
      </c>
      <c r="K47" s="630" t="str">
        <f t="shared" si="1"/>
        <v>030.0690.5101.2500.0980.100693.92800</v>
      </c>
      <c r="L47" s="631">
        <v>100.8</v>
      </c>
      <c r="M47" s="479"/>
    </row>
    <row r="48" spans="1:13">
      <c r="A48" s="199"/>
      <c r="B48" s="200" t="s">
        <v>556</v>
      </c>
      <c r="C48" s="201">
        <v>100</v>
      </c>
      <c r="D48" s="324" t="s">
        <v>391</v>
      </c>
      <c r="E48" s="324" t="s">
        <v>394</v>
      </c>
      <c r="F48" s="201">
        <v>5105</v>
      </c>
      <c r="G48" s="324" t="s">
        <v>402</v>
      </c>
      <c r="H48" s="324" t="s">
        <v>389</v>
      </c>
      <c r="I48" s="324">
        <v>100693</v>
      </c>
      <c r="J48" s="201">
        <v>92800</v>
      </c>
      <c r="K48" s="630" t="str">
        <f t="shared" ref="K48" si="3">CONCATENATE(D48,".",E48,".",F48,".",G48,".",H48,".",I48,".",J48)</f>
        <v>030.0690.5105.0000.0980.100693.92800</v>
      </c>
      <c r="L48" s="631">
        <v>33.21</v>
      </c>
      <c r="M48" s="479"/>
    </row>
    <row r="49" spans="1:13">
      <c r="A49" s="199">
        <f>A47+1</f>
        <v>28</v>
      </c>
      <c r="B49" s="200" t="s">
        <v>556</v>
      </c>
      <c r="C49" s="201">
        <v>100</v>
      </c>
      <c r="D49" s="324" t="s">
        <v>391</v>
      </c>
      <c r="E49" s="324" t="s">
        <v>394</v>
      </c>
      <c r="F49" s="201">
        <v>5107</v>
      </c>
      <c r="G49" s="324" t="s">
        <v>402</v>
      </c>
      <c r="H49" s="324" t="s">
        <v>389</v>
      </c>
      <c r="I49" s="324">
        <v>100693</v>
      </c>
      <c r="J49" s="201">
        <v>92800</v>
      </c>
      <c r="K49" s="630" t="str">
        <f t="shared" si="1"/>
        <v>030.0690.5107.0000.0980.100693.92800</v>
      </c>
      <c r="L49" s="631">
        <v>0</v>
      </c>
      <c r="M49" s="479"/>
    </row>
    <row r="50" spans="1:13">
      <c r="A50" s="199">
        <f t="shared" si="2"/>
        <v>29</v>
      </c>
      <c r="B50" s="200" t="s">
        <v>556</v>
      </c>
      <c r="C50" s="632" t="s">
        <v>384</v>
      </c>
      <c r="D50" s="632" t="s">
        <v>391</v>
      </c>
      <c r="E50" s="632" t="s">
        <v>395</v>
      </c>
      <c r="F50" s="632" t="s">
        <v>392</v>
      </c>
      <c r="G50" s="632" t="s">
        <v>393</v>
      </c>
      <c r="H50" s="632" t="s">
        <v>389</v>
      </c>
      <c r="I50" s="632">
        <v>104098</v>
      </c>
      <c r="J50" s="201">
        <v>92800</v>
      </c>
      <c r="K50" s="630" t="str">
        <f t="shared" si="1"/>
        <v>030.0720.5100.1100.0980.104098.92800</v>
      </c>
      <c r="L50" s="631">
        <v>1878.19</v>
      </c>
      <c r="M50" s="479"/>
    </row>
    <row r="51" spans="1:13">
      <c r="A51" s="199">
        <f t="shared" si="2"/>
        <v>30</v>
      </c>
      <c r="B51" s="200" t="s">
        <v>556</v>
      </c>
      <c r="C51" s="632" t="s">
        <v>384</v>
      </c>
      <c r="D51" s="632" t="s">
        <v>391</v>
      </c>
      <c r="E51" s="633" t="s">
        <v>513</v>
      </c>
      <c r="F51" s="632" t="s">
        <v>392</v>
      </c>
      <c r="G51" s="632" t="s">
        <v>393</v>
      </c>
      <c r="H51" s="632" t="s">
        <v>389</v>
      </c>
      <c r="I51" s="632">
        <v>104098</v>
      </c>
      <c r="J51" s="201">
        <v>92800</v>
      </c>
      <c r="K51" s="630" t="str">
        <f t="shared" si="1"/>
        <v>030.0750.5100.1100.0980.104098.92800</v>
      </c>
      <c r="L51" s="631">
        <v>5849.76</v>
      </c>
      <c r="M51" s="479"/>
    </row>
    <row r="52" spans="1:13">
      <c r="A52" s="199">
        <f t="shared" si="2"/>
        <v>31</v>
      </c>
      <c r="B52" s="200" t="s">
        <v>556</v>
      </c>
      <c r="C52" s="632" t="s">
        <v>384</v>
      </c>
      <c r="D52" s="632" t="s">
        <v>391</v>
      </c>
      <c r="E52" s="633" t="s">
        <v>513</v>
      </c>
      <c r="F52" s="632" t="s">
        <v>392</v>
      </c>
      <c r="G52" s="632" t="s">
        <v>393</v>
      </c>
      <c r="H52" s="632" t="s">
        <v>389</v>
      </c>
      <c r="I52" s="632">
        <v>104099</v>
      </c>
      <c r="J52" s="201">
        <v>92800</v>
      </c>
      <c r="K52" s="630" t="str">
        <f t="shared" si="1"/>
        <v>030.0750.5100.1100.0980.104099.92800</v>
      </c>
      <c r="L52" s="631">
        <v>8404.3799999999992</v>
      </c>
      <c r="M52" s="479"/>
    </row>
    <row r="53" spans="1:13">
      <c r="A53" s="199">
        <f t="shared" si="2"/>
        <v>32</v>
      </c>
      <c r="B53" s="200" t="s">
        <v>556</v>
      </c>
      <c r="C53" s="201" t="s">
        <v>384</v>
      </c>
      <c r="D53" s="201" t="s">
        <v>391</v>
      </c>
      <c r="E53" s="201" t="s">
        <v>396</v>
      </c>
      <c r="F53" s="201" t="s">
        <v>392</v>
      </c>
      <c r="G53" s="201" t="s">
        <v>393</v>
      </c>
      <c r="H53" s="201" t="s">
        <v>389</v>
      </c>
      <c r="I53" s="201">
        <v>104098</v>
      </c>
      <c r="J53" s="201">
        <v>92800</v>
      </c>
      <c r="K53" s="630" t="str">
        <f t="shared" si="1"/>
        <v>030.0850.5100.1100.0980.104098.92800</v>
      </c>
      <c r="L53" s="631">
        <v>39105.050000000003</v>
      </c>
      <c r="M53" s="479"/>
    </row>
    <row r="54" spans="1:13">
      <c r="A54" s="199">
        <f t="shared" si="2"/>
        <v>33</v>
      </c>
      <c r="B54" s="200" t="s">
        <v>556</v>
      </c>
      <c r="C54" s="201" t="s">
        <v>384</v>
      </c>
      <c r="D54" s="201" t="s">
        <v>391</v>
      </c>
      <c r="E54" s="201" t="s">
        <v>396</v>
      </c>
      <c r="F54" s="201" t="s">
        <v>392</v>
      </c>
      <c r="G54" s="201" t="s">
        <v>393</v>
      </c>
      <c r="H54" s="201" t="s">
        <v>389</v>
      </c>
      <c r="I54" s="201">
        <v>104099</v>
      </c>
      <c r="J54" s="201">
        <v>92800</v>
      </c>
      <c r="K54" s="630" t="str">
        <f t="shared" si="1"/>
        <v>030.0850.5100.1100.0980.104099.92800</v>
      </c>
      <c r="L54" s="631">
        <v>27012.19</v>
      </c>
      <c r="M54" s="479"/>
    </row>
    <row r="55" spans="1:13">
      <c r="A55" s="199">
        <f t="shared" si="2"/>
        <v>34</v>
      </c>
      <c r="B55" s="200" t="s">
        <v>556</v>
      </c>
      <c r="C55" s="201" t="s">
        <v>384</v>
      </c>
      <c r="D55" s="201" t="s">
        <v>391</v>
      </c>
      <c r="E55" s="201" t="s">
        <v>396</v>
      </c>
      <c r="F55" s="201" t="s">
        <v>392</v>
      </c>
      <c r="G55" s="201">
        <v>1110</v>
      </c>
      <c r="H55" s="201" t="s">
        <v>389</v>
      </c>
      <c r="I55" s="201">
        <v>104098</v>
      </c>
      <c r="J55" s="201">
        <v>92800</v>
      </c>
      <c r="K55" s="630" t="str">
        <f t="shared" si="1"/>
        <v>030.0850.5100.1110.0980.104098.92800</v>
      </c>
      <c r="L55" s="631">
        <v>0</v>
      </c>
      <c r="M55" s="479"/>
    </row>
    <row r="56" spans="1:13">
      <c r="A56" s="199">
        <f t="shared" si="2"/>
        <v>35</v>
      </c>
      <c r="B56" s="200" t="s">
        <v>556</v>
      </c>
      <c r="C56" s="201" t="s">
        <v>384</v>
      </c>
      <c r="D56" s="201" t="s">
        <v>391</v>
      </c>
      <c r="E56" s="201" t="s">
        <v>396</v>
      </c>
      <c r="F56" s="201" t="s">
        <v>392</v>
      </c>
      <c r="G56" s="201">
        <v>1110</v>
      </c>
      <c r="H56" s="201">
        <v>9999</v>
      </c>
      <c r="I56" s="324" t="s">
        <v>390</v>
      </c>
      <c r="J56" s="201">
        <v>92800</v>
      </c>
      <c r="K56" s="630" t="str">
        <f t="shared" si="1"/>
        <v>030.0850.5100.1110.9999.000000.92800</v>
      </c>
      <c r="L56" s="631">
        <v>0</v>
      </c>
      <c r="M56" s="479"/>
    </row>
    <row r="57" spans="1:13">
      <c r="A57" s="199">
        <f t="shared" si="2"/>
        <v>36</v>
      </c>
      <c r="B57" s="200" t="s">
        <v>556</v>
      </c>
      <c r="C57" s="201" t="s">
        <v>384</v>
      </c>
      <c r="D57" s="201" t="s">
        <v>391</v>
      </c>
      <c r="E57" s="201" t="s">
        <v>396</v>
      </c>
      <c r="F57" s="201" t="s">
        <v>392</v>
      </c>
      <c r="G57" s="201">
        <v>2100</v>
      </c>
      <c r="H57" s="324" t="s">
        <v>389</v>
      </c>
      <c r="I57" s="324">
        <v>104098</v>
      </c>
      <c r="J57" s="201">
        <v>92800</v>
      </c>
      <c r="K57" s="630" t="str">
        <f t="shared" si="1"/>
        <v>030.0850.5100.2100.0980.104098.92800</v>
      </c>
      <c r="L57" s="631">
        <v>0</v>
      </c>
      <c r="M57" s="479"/>
    </row>
    <row r="58" spans="1:13">
      <c r="A58" s="199">
        <f t="shared" si="2"/>
        <v>37</v>
      </c>
      <c r="B58" s="200" t="s">
        <v>556</v>
      </c>
      <c r="C58" s="201" t="s">
        <v>384</v>
      </c>
      <c r="D58" s="201" t="s">
        <v>391</v>
      </c>
      <c r="E58" s="201" t="s">
        <v>396</v>
      </c>
      <c r="F58" s="201" t="s">
        <v>392</v>
      </c>
      <c r="G58" s="201">
        <v>2100</v>
      </c>
      <c r="H58" s="324">
        <v>9999</v>
      </c>
      <c r="I58" s="324" t="s">
        <v>390</v>
      </c>
      <c r="J58" s="201">
        <v>92800</v>
      </c>
      <c r="K58" s="630" t="str">
        <f t="shared" si="1"/>
        <v>030.0850.5100.2100.9999.000000.92800</v>
      </c>
      <c r="L58" s="631">
        <v>0</v>
      </c>
      <c r="M58" s="479"/>
    </row>
    <row r="59" spans="1:13">
      <c r="A59" s="199">
        <f t="shared" si="2"/>
        <v>38</v>
      </c>
      <c r="B59" s="200" t="s">
        <v>556</v>
      </c>
      <c r="C59" s="201" t="s">
        <v>384</v>
      </c>
      <c r="D59" s="201" t="s">
        <v>391</v>
      </c>
      <c r="E59" s="201" t="s">
        <v>396</v>
      </c>
      <c r="F59" s="201">
        <v>5101</v>
      </c>
      <c r="G59" s="201">
        <v>2500</v>
      </c>
      <c r="H59" s="324" t="s">
        <v>389</v>
      </c>
      <c r="I59" s="324">
        <v>100850</v>
      </c>
      <c r="J59" s="201">
        <v>92800</v>
      </c>
      <c r="K59" s="630" t="str">
        <f t="shared" si="1"/>
        <v>030.0850.5101.2500.0980.100850.92800</v>
      </c>
      <c r="L59" s="631">
        <v>99.59</v>
      </c>
      <c r="M59" s="479"/>
    </row>
    <row r="60" spans="1:13">
      <c r="A60" s="199">
        <f t="shared" si="2"/>
        <v>39</v>
      </c>
      <c r="B60" s="200" t="s">
        <v>556</v>
      </c>
      <c r="C60" s="201" t="s">
        <v>384</v>
      </c>
      <c r="D60" s="201" t="s">
        <v>391</v>
      </c>
      <c r="E60" s="201" t="s">
        <v>396</v>
      </c>
      <c r="F60" s="201">
        <v>5102</v>
      </c>
      <c r="G60" s="324" t="s">
        <v>402</v>
      </c>
      <c r="H60" s="324" t="s">
        <v>389</v>
      </c>
      <c r="I60" s="324">
        <v>100850</v>
      </c>
      <c r="J60" s="201">
        <v>92800</v>
      </c>
      <c r="K60" s="630" t="str">
        <f t="shared" si="1"/>
        <v>030.0850.5102.0000.0980.100850.92800</v>
      </c>
      <c r="L60" s="631">
        <v>0</v>
      </c>
      <c r="M60" s="479"/>
    </row>
    <row r="61" spans="1:13">
      <c r="A61" s="199">
        <f t="shared" si="2"/>
        <v>40</v>
      </c>
      <c r="B61" s="200" t="s">
        <v>556</v>
      </c>
      <c r="C61" s="201" t="s">
        <v>384</v>
      </c>
      <c r="D61" s="201" t="s">
        <v>391</v>
      </c>
      <c r="E61" s="324" t="s">
        <v>514</v>
      </c>
      <c r="F61" s="201">
        <v>5100</v>
      </c>
      <c r="G61" s="324">
        <v>1100</v>
      </c>
      <c r="H61" s="324" t="s">
        <v>389</v>
      </c>
      <c r="I61" s="324">
        <v>104098</v>
      </c>
      <c r="J61" s="201">
        <v>92800</v>
      </c>
      <c r="K61" s="630" t="str">
        <f t="shared" ref="K61:K68" si="4">CONCATENATE(D61,".",E61,".",F61,".",G61,".",H61,".",I61,".",J61)</f>
        <v>030.0860.5100.1100.0980.104098.92800</v>
      </c>
      <c r="L61" s="631">
        <v>40869.230000000003</v>
      </c>
      <c r="M61" s="479"/>
    </row>
    <row r="62" spans="1:13">
      <c r="A62" s="199">
        <f t="shared" si="2"/>
        <v>41</v>
      </c>
      <c r="B62" s="200" t="s">
        <v>556</v>
      </c>
      <c r="C62" s="201" t="s">
        <v>384</v>
      </c>
      <c r="D62" s="201" t="s">
        <v>391</v>
      </c>
      <c r="E62" s="324" t="s">
        <v>514</v>
      </c>
      <c r="F62" s="201">
        <v>5100</v>
      </c>
      <c r="G62" s="324">
        <v>1100</v>
      </c>
      <c r="H62" s="324" t="s">
        <v>389</v>
      </c>
      <c r="I62" s="324">
        <v>104099</v>
      </c>
      <c r="J62" s="201">
        <v>92800</v>
      </c>
      <c r="K62" s="630" t="str">
        <f t="shared" si="4"/>
        <v>030.0860.5100.1100.0980.104099.92800</v>
      </c>
      <c r="L62" s="631">
        <v>19761.95</v>
      </c>
      <c r="M62" s="479"/>
    </row>
    <row r="63" spans="1:13">
      <c r="A63" s="199">
        <f t="shared" si="2"/>
        <v>42</v>
      </c>
      <c r="B63" s="200" t="s">
        <v>556</v>
      </c>
      <c r="C63" s="201" t="s">
        <v>384</v>
      </c>
      <c r="D63" s="201" t="s">
        <v>391</v>
      </c>
      <c r="E63" s="324" t="s">
        <v>514</v>
      </c>
      <c r="F63" s="201">
        <v>5100</v>
      </c>
      <c r="G63" s="324">
        <v>1110</v>
      </c>
      <c r="H63" s="324" t="s">
        <v>389</v>
      </c>
      <c r="I63" s="324">
        <v>104098</v>
      </c>
      <c r="J63" s="201">
        <v>92800</v>
      </c>
      <c r="K63" s="630" t="str">
        <f t="shared" si="4"/>
        <v>030.0860.5100.1110.0980.104098.92800</v>
      </c>
      <c r="L63" s="631">
        <v>0</v>
      </c>
      <c r="M63" s="479"/>
    </row>
    <row r="64" spans="1:13">
      <c r="A64" s="199">
        <f t="shared" si="2"/>
        <v>43</v>
      </c>
      <c r="B64" s="200" t="s">
        <v>556</v>
      </c>
      <c r="C64" s="201" t="s">
        <v>384</v>
      </c>
      <c r="D64" s="201" t="s">
        <v>391</v>
      </c>
      <c r="E64" s="324" t="s">
        <v>514</v>
      </c>
      <c r="F64" s="201">
        <v>5100</v>
      </c>
      <c r="G64" s="324">
        <v>1110</v>
      </c>
      <c r="H64" s="324">
        <v>9999</v>
      </c>
      <c r="I64" s="324" t="s">
        <v>390</v>
      </c>
      <c r="J64" s="201">
        <v>92800</v>
      </c>
      <c r="K64" s="630" t="str">
        <f t="shared" si="4"/>
        <v>030.0860.5100.1110.9999.000000.92800</v>
      </c>
      <c r="L64" s="631">
        <v>0</v>
      </c>
      <c r="M64" s="479"/>
    </row>
    <row r="65" spans="1:13">
      <c r="A65" s="199">
        <f t="shared" si="2"/>
        <v>44</v>
      </c>
      <c r="B65" s="200" t="s">
        <v>556</v>
      </c>
      <c r="C65" s="201" t="s">
        <v>384</v>
      </c>
      <c r="D65" s="201" t="s">
        <v>391</v>
      </c>
      <c r="E65" s="324" t="s">
        <v>514</v>
      </c>
      <c r="F65" s="201">
        <v>5116</v>
      </c>
      <c r="G65" s="324" t="s">
        <v>402</v>
      </c>
      <c r="H65" s="324" t="s">
        <v>389</v>
      </c>
      <c r="I65" s="201">
        <v>104098</v>
      </c>
      <c r="J65" s="201">
        <v>92800</v>
      </c>
      <c r="K65" s="630" t="str">
        <f t="shared" si="4"/>
        <v>030.0860.5116.0000.0980.104098.92800</v>
      </c>
      <c r="L65" s="631">
        <v>19.29</v>
      </c>
      <c r="M65" s="479"/>
    </row>
    <row r="66" spans="1:13">
      <c r="A66" s="199">
        <f t="shared" si="2"/>
        <v>45</v>
      </c>
      <c r="B66" s="200" t="s">
        <v>556</v>
      </c>
      <c r="C66" s="201" t="s">
        <v>384</v>
      </c>
      <c r="D66" s="201" t="s">
        <v>391</v>
      </c>
      <c r="E66" s="324" t="s">
        <v>514</v>
      </c>
      <c r="F66" s="201">
        <v>5116</v>
      </c>
      <c r="G66" s="324" t="s">
        <v>402</v>
      </c>
      <c r="H66" s="324" t="s">
        <v>389</v>
      </c>
      <c r="I66" s="201">
        <v>104099</v>
      </c>
      <c r="J66" s="201">
        <v>92800</v>
      </c>
      <c r="K66" s="630" t="str">
        <f t="shared" si="4"/>
        <v>030.0860.5116.0000.0980.104099.92800</v>
      </c>
      <c r="L66" s="631">
        <v>53</v>
      </c>
      <c r="M66" s="479"/>
    </row>
    <row r="67" spans="1:13">
      <c r="A67" s="199">
        <f t="shared" si="2"/>
        <v>46</v>
      </c>
      <c r="B67" s="200" t="s">
        <v>556</v>
      </c>
      <c r="C67" s="201" t="s">
        <v>384</v>
      </c>
      <c r="D67" s="201" t="s">
        <v>391</v>
      </c>
      <c r="E67" s="324" t="s">
        <v>514</v>
      </c>
      <c r="F67" s="201">
        <v>5100</v>
      </c>
      <c r="G67" s="324">
        <v>2100</v>
      </c>
      <c r="H67" s="324" t="s">
        <v>389</v>
      </c>
      <c r="I67" s="324">
        <v>104098</v>
      </c>
      <c r="J67" s="201">
        <v>92800</v>
      </c>
      <c r="K67" s="630" t="str">
        <f t="shared" si="4"/>
        <v>030.0860.5100.2100.0980.104098.92800</v>
      </c>
      <c r="L67" s="631">
        <v>0</v>
      </c>
      <c r="M67" s="479"/>
    </row>
    <row r="68" spans="1:13">
      <c r="A68" s="199">
        <f t="shared" si="2"/>
        <v>47</v>
      </c>
      <c r="B68" s="200" t="s">
        <v>556</v>
      </c>
      <c r="C68" s="201" t="s">
        <v>384</v>
      </c>
      <c r="D68" s="201" t="s">
        <v>391</v>
      </c>
      <c r="E68" s="324" t="s">
        <v>514</v>
      </c>
      <c r="F68" s="201">
        <v>5101</v>
      </c>
      <c r="G68" s="324">
        <v>2700</v>
      </c>
      <c r="H68" s="324" t="s">
        <v>389</v>
      </c>
      <c r="I68" s="324">
        <v>104099</v>
      </c>
      <c r="J68" s="201">
        <v>92800</v>
      </c>
      <c r="K68" s="630" t="str">
        <f t="shared" si="4"/>
        <v>030.0860.5101.2700.0980.104099.92800</v>
      </c>
      <c r="L68" s="631">
        <v>131.85</v>
      </c>
      <c r="M68" s="479"/>
    </row>
    <row r="69" spans="1:13">
      <c r="A69" s="199">
        <f>A68+1</f>
        <v>48</v>
      </c>
      <c r="B69" s="200" t="s">
        <v>556</v>
      </c>
      <c r="C69" s="201" t="s">
        <v>384</v>
      </c>
      <c r="D69" s="201" t="s">
        <v>391</v>
      </c>
      <c r="E69" s="324" t="s">
        <v>514</v>
      </c>
      <c r="F69" s="201">
        <v>5101</v>
      </c>
      <c r="G69" s="201">
        <v>2500</v>
      </c>
      <c r="H69" s="324" t="s">
        <v>389</v>
      </c>
      <c r="I69" s="201">
        <v>104098</v>
      </c>
      <c r="J69" s="201">
        <v>92800</v>
      </c>
      <c r="K69" s="630" t="str">
        <f t="shared" si="1"/>
        <v>030.0860.5101.2500.0980.104098.92800</v>
      </c>
      <c r="L69" s="631">
        <v>1931.72</v>
      </c>
      <c r="M69" s="479"/>
    </row>
    <row r="70" spans="1:13">
      <c r="A70" s="199">
        <f>A69+1</f>
        <v>49</v>
      </c>
      <c r="B70" s="200"/>
      <c r="C70" s="201"/>
      <c r="D70" s="201"/>
      <c r="E70" s="201"/>
      <c r="F70" s="201"/>
      <c r="G70" s="201"/>
      <c r="H70" s="201"/>
      <c r="I70" s="201"/>
      <c r="J70" s="201"/>
      <c r="K70" s="201"/>
      <c r="L70" s="398">
        <f>SUM(L37:L69)</f>
        <v>450027.03</v>
      </c>
      <c r="M70" s="478"/>
    </row>
    <row r="71" spans="1:13">
      <c r="A71" s="199"/>
      <c r="B71" s="200"/>
      <c r="C71" s="201"/>
      <c r="D71" s="201"/>
      <c r="E71" s="201"/>
      <c r="F71" s="201"/>
      <c r="G71" s="201"/>
      <c r="H71" s="201"/>
      <c r="I71" s="201"/>
      <c r="J71" s="201"/>
      <c r="K71" s="201"/>
      <c r="L71" s="325"/>
      <c r="M71" s="478"/>
    </row>
    <row r="72" spans="1:13">
      <c r="A72" s="225"/>
      <c r="B72" s="485" t="s">
        <v>2</v>
      </c>
      <c r="C72" s="473" t="s">
        <v>3</v>
      </c>
      <c r="D72" s="473" t="s">
        <v>4</v>
      </c>
      <c r="E72" s="473" t="s">
        <v>5</v>
      </c>
      <c r="F72" s="473" t="s">
        <v>6</v>
      </c>
      <c r="G72" s="473" t="s">
        <v>8</v>
      </c>
      <c r="H72" s="473" t="s">
        <v>7</v>
      </c>
      <c r="I72" s="473" t="s">
        <v>29</v>
      </c>
      <c r="J72" s="473" t="s">
        <v>30</v>
      </c>
      <c r="K72" s="473"/>
      <c r="L72" s="473" t="s">
        <v>29</v>
      </c>
      <c r="M72" s="478"/>
    </row>
    <row r="73" spans="1:13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478"/>
    </row>
    <row r="74" spans="1:13" ht="25.5">
      <c r="A74" s="194" t="s">
        <v>37</v>
      </c>
      <c r="B74" s="260"/>
      <c r="C74" s="283" t="s">
        <v>455</v>
      </c>
      <c r="D74" s="283" t="s">
        <v>379</v>
      </c>
      <c r="E74" s="283" t="s">
        <v>380</v>
      </c>
      <c r="F74" s="283" t="s">
        <v>445</v>
      </c>
      <c r="G74" s="283" t="s">
        <v>381</v>
      </c>
      <c r="H74" s="283" t="s">
        <v>382</v>
      </c>
      <c r="I74" s="283" t="s">
        <v>361</v>
      </c>
      <c r="J74" s="283" t="s">
        <v>32</v>
      </c>
      <c r="K74" s="283"/>
      <c r="L74" s="284" t="s">
        <v>454</v>
      </c>
      <c r="M74" s="478"/>
    </row>
    <row r="75" spans="1:13">
      <c r="A75" s="199"/>
      <c r="B75" s="200"/>
      <c r="C75" s="201"/>
      <c r="D75" s="201"/>
      <c r="E75" s="201"/>
      <c r="F75" s="201"/>
      <c r="G75" s="201"/>
      <c r="H75" s="201"/>
      <c r="I75" s="201"/>
      <c r="J75" s="201"/>
      <c r="K75" s="201"/>
      <c r="L75" s="325"/>
      <c r="M75" s="478"/>
    </row>
    <row r="76" spans="1:13">
      <c r="A76" s="199">
        <f>A70+1</f>
        <v>50</v>
      </c>
      <c r="B76" s="204" t="s">
        <v>398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2"/>
      <c r="M76" s="478"/>
    </row>
    <row r="77" spans="1:13">
      <c r="A77" s="199">
        <f t="shared" si="2"/>
        <v>51</v>
      </c>
      <c r="B77" s="200" t="s">
        <v>556</v>
      </c>
      <c r="C77" s="201" t="s">
        <v>384</v>
      </c>
      <c r="D77" s="201" t="s">
        <v>385</v>
      </c>
      <c r="E77" s="201" t="s">
        <v>386</v>
      </c>
      <c r="F77" s="201" t="s">
        <v>387</v>
      </c>
      <c r="G77" s="201" t="s">
        <v>399</v>
      </c>
      <c r="H77" s="201" t="s">
        <v>389</v>
      </c>
      <c r="I77" s="201" t="s">
        <v>503</v>
      </c>
      <c r="J77" s="201">
        <v>92800</v>
      </c>
      <c r="K77" s="630" t="str">
        <f t="shared" ref="K77:K83" si="5">CONCATENATE(D77,".",E77,".",F77,".",G77,".",H77,".",I77,".",J77)</f>
        <v>010.0570.5101.2600.0980.100570.92800</v>
      </c>
      <c r="L77" s="631">
        <v>40.96</v>
      </c>
      <c r="M77" s="478"/>
    </row>
    <row r="78" spans="1:13">
      <c r="A78" s="199">
        <f t="shared" si="2"/>
        <v>52</v>
      </c>
      <c r="B78" s="200" t="s">
        <v>556</v>
      </c>
      <c r="C78" s="201">
        <v>100</v>
      </c>
      <c r="D78" s="201" t="s">
        <v>391</v>
      </c>
      <c r="E78" s="201" t="s">
        <v>394</v>
      </c>
      <c r="F78" s="201" t="s">
        <v>387</v>
      </c>
      <c r="G78" s="201" t="s">
        <v>507</v>
      </c>
      <c r="H78" s="201" t="s">
        <v>389</v>
      </c>
      <c r="I78" s="201" t="s">
        <v>519</v>
      </c>
      <c r="J78" s="201">
        <v>92800</v>
      </c>
      <c r="K78" s="630" t="str">
        <f t="shared" si="5"/>
        <v>030.0690.5101.2700.0980.100693.92800</v>
      </c>
      <c r="L78" s="631">
        <v>0</v>
      </c>
      <c r="M78" s="478"/>
    </row>
    <row r="79" spans="1:13">
      <c r="A79" s="199">
        <f t="shared" si="2"/>
        <v>53</v>
      </c>
      <c r="B79" s="200" t="s">
        <v>556</v>
      </c>
      <c r="C79" s="201">
        <v>100</v>
      </c>
      <c r="D79" s="201" t="s">
        <v>391</v>
      </c>
      <c r="E79" s="201" t="s">
        <v>396</v>
      </c>
      <c r="F79" s="201" t="s">
        <v>387</v>
      </c>
      <c r="G79" s="201" t="s">
        <v>399</v>
      </c>
      <c r="H79" s="201" t="s">
        <v>389</v>
      </c>
      <c r="I79" s="201" t="s">
        <v>512</v>
      </c>
      <c r="J79" s="201">
        <v>92800</v>
      </c>
      <c r="K79" s="630" t="str">
        <f t="shared" si="5"/>
        <v>030.0850.5101.2600.0980.100850.92800</v>
      </c>
      <c r="L79" s="631">
        <v>102.6</v>
      </c>
      <c r="M79" s="478"/>
    </row>
    <row r="80" spans="1:13">
      <c r="A80" s="199">
        <f t="shared" si="2"/>
        <v>54</v>
      </c>
      <c r="B80" s="200" t="s">
        <v>556</v>
      </c>
      <c r="C80" s="201">
        <v>100</v>
      </c>
      <c r="D80" s="201" t="s">
        <v>391</v>
      </c>
      <c r="E80" s="201" t="s">
        <v>396</v>
      </c>
      <c r="F80" s="201" t="s">
        <v>387</v>
      </c>
      <c r="G80" s="201" t="s">
        <v>507</v>
      </c>
      <c r="H80" s="201" t="s">
        <v>389</v>
      </c>
      <c r="I80" s="201" t="s">
        <v>512</v>
      </c>
      <c r="J80" s="201">
        <v>92800</v>
      </c>
      <c r="K80" s="630" t="str">
        <f t="shared" si="5"/>
        <v>030.0850.5101.2700.0980.100850.92800</v>
      </c>
      <c r="L80" s="631">
        <v>17.02</v>
      </c>
      <c r="M80" s="478"/>
    </row>
    <row r="81" spans="1:13">
      <c r="A81" s="199">
        <f t="shared" si="2"/>
        <v>55</v>
      </c>
      <c r="B81" s="200" t="s">
        <v>556</v>
      </c>
      <c r="C81" s="201">
        <v>100</v>
      </c>
      <c r="D81" s="201" t="s">
        <v>391</v>
      </c>
      <c r="E81" s="201" t="s">
        <v>514</v>
      </c>
      <c r="F81" s="201" t="s">
        <v>387</v>
      </c>
      <c r="G81" s="201" t="s">
        <v>399</v>
      </c>
      <c r="H81" s="201" t="s">
        <v>389</v>
      </c>
      <c r="I81" s="201" t="s">
        <v>515</v>
      </c>
      <c r="J81" s="201">
        <v>92800</v>
      </c>
      <c r="K81" s="630" t="str">
        <f t="shared" si="5"/>
        <v>030.0860.5101.2600.0980.104098.92800</v>
      </c>
      <c r="L81" s="631">
        <v>654.59</v>
      </c>
      <c r="M81" s="478"/>
    </row>
    <row r="82" spans="1:13">
      <c r="A82" s="199">
        <f t="shared" si="2"/>
        <v>56</v>
      </c>
      <c r="B82" s="200" t="s">
        <v>556</v>
      </c>
      <c r="C82" s="201">
        <v>100</v>
      </c>
      <c r="D82" s="201" t="s">
        <v>391</v>
      </c>
      <c r="E82" s="201" t="s">
        <v>514</v>
      </c>
      <c r="F82" s="201" t="s">
        <v>387</v>
      </c>
      <c r="G82" s="201" t="s">
        <v>507</v>
      </c>
      <c r="H82" s="201" t="s">
        <v>389</v>
      </c>
      <c r="I82" s="201" t="s">
        <v>515</v>
      </c>
      <c r="J82" s="201">
        <v>92800</v>
      </c>
      <c r="K82" s="630" t="str">
        <f t="shared" si="5"/>
        <v>030.0860.5101.2700.0980.104098.92800</v>
      </c>
      <c r="L82" s="631">
        <v>0</v>
      </c>
      <c r="M82" s="478"/>
    </row>
    <row r="83" spans="1:13">
      <c r="A83" s="199">
        <f t="shared" si="2"/>
        <v>57</v>
      </c>
      <c r="B83" s="200" t="s">
        <v>556</v>
      </c>
      <c r="C83" s="201">
        <v>100</v>
      </c>
      <c r="D83" s="201" t="s">
        <v>391</v>
      </c>
      <c r="E83" s="201" t="s">
        <v>514</v>
      </c>
      <c r="F83" s="201" t="s">
        <v>387</v>
      </c>
      <c r="G83" s="201" t="s">
        <v>507</v>
      </c>
      <c r="H83" s="201" t="s">
        <v>506</v>
      </c>
      <c r="I83" s="201" t="s">
        <v>521</v>
      </c>
      <c r="J83" s="201">
        <v>92800</v>
      </c>
      <c r="K83" s="630" t="str">
        <f t="shared" si="5"/>
        <v>030.0860.5101.2700.0990.100860.92800</v>
      </c>
      <c r="L83" s="631">
        <v>0</v>
      </c>
      <c r="M83" s="478"/>
    </row>
    <row r="84" spans="1:13">
      <c r="A84" s="199">
        <f t="shared" si="2"/>
        <v>58</v>
      </c>
      <c r="B84" s="205"/>
      <c r="C84" s="206"/>
      <c r="D84" s="206"/>
      <c r="E84" s="206"/>
      <c r="F84" s="206"/>
      <c r="G84" s="206"/>
      <c r="H84" s="206"/>
      <c r="I84" s="206"/>
      <c r="J84" s="207"/>
      <c r="K84" s="207"/>
      <c r="L84" s="203">
        <f>SUM(L77:L83)</f>
        <v>815.17000000000007</v>
      </c>
      <c r="M84" s="478"/>
    </row>
    <row r="85" spans="1:13">
      <c r="A85" s="199">
        <f t="shared" si="2"/>
        <v>59</v>
      </c>
      <c r="B85" s="208" t="s">
        <v>400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2"/>
      <c r="M85" s="478"/>
    </row>
    <row r="86" spans="1:13">
      <c r="A86" s="199">
        <f t="shared" si="2"/>
        <v>60</v>
      </c>
      <c r="B86" s="200" t="s">
        <v>556</v>
      </c>
      <c r="C86" s="201" t="s">
        <v>384</v>
      </c>
      <c r="D86" s="206" t="s">
        <v>385</v>
      </c>
      <c r="E86" s="206" t="s">
        <v>386</v>
      </c>
      <c r="F86" s="206" t="s">
        <v>401</v>
      </c>
      <c r="G86" s="206" t="s">
        <v>402</v>
      </c>
      <c r="H86" s="206" t="s">
        <v>389</v>
      </c>
      <c r="I86" s="201" t="s">
        <v>503</v>
      </c>
      <c r="J86" s="201">
        <v>92800</v>
      </c>
      <c r="K86" s="630" t="str">
        <f t="shared" ref="K86:K92" si="6">CONCATENATE(D86,".",E86,".",F86,".",G86,".",H86,".",I86,".",J86)</f>
        <v>010.0570.5103.0000.0980.100570.92800</v>
      </c>
      <c r="L86" s="631">
        <v>160.4</v>
      </c>
      <c r="M86" s="478"/>
    </row>
    <row r="87" spans="1:13">
      <c r="A87" s="199">
        <f t="shared" si="2"/>
        <v>61</v>
      </c>
      <c r="B87" s="200" t="s">
        <v>556</v>
      </c>
      <c r="C87" s="632" t="s">
        <v>384</v>
      </c>
      <c r="D87" s="632" t="s">
        <v>391</v>
      </c>
      <c r="E87" s="632" t="s">
        <v>394</v>
      </c>
      <c r="F87" s="632" t="s">
        <v>401</v>
      </c>
      <c r="G87" s="632" t="s">
        <v>402</v>
      </c>
      <c r="H87" s="632" t="s">
        <v>389</v>
      </c>
      <c r="I87" s="632" t="s">
        <v>519</v>
      </c>
      <c r="J87" s="201">
        <v>92800</v>
      </c>
      <c r="K87" s="630" t="str">
        <f t="shared" si="6"/>
        <v>030.0690.5103.0000.0980.100693.92800</v>
      </c>
      <c r="L87" s="631">
        <v>0</v>
      </c>
      <c r="M87" s="478"/>
    </row>
    <row r="88" spans="1:13">
      <c r="A88" s="199">
        <f t="shared" si="2"/>
        <v>62</v>
      </c>
      <c r="B88" s="200" t="s">
        <v>556</v>
      </c>
      <c r="C88" s="201" t="s">
        <v>384</v>
      </c>
      <c r="D88" s="632" t="s">
        <v>391</v>
      </c>
      <c r="E88" s="632" t="s">
        <v>396</v>
      </c>
      <c r="F88" s="632" t="s">
        <v>401</v>
      </c>
      <c r="G88" s="632" t="s">
        <v>402</v>
      </c>
      <c r="H88" s="632" t="s">
        <v>407</v>
      </c>
      <c r="I88" s="632" t="s">
        <v>512</v>
      </c>
      <c r="J88" s="201">
        <v>92800</v>
      </c>
      <c r="K88" s="630" t="str">
        <f>CONCATENATE(D88,".",E88,".",F88,".",G88,".",H88,".",I88,".",J88)</f>
        <v>030.0850.5103.0000.0600.100850.92800</v>
      </c>
      <c r="L88" s="631">
        <v>0</v>
      </c>
      <c r="M88" s="478"/>
    </row>
    <row r="89" spans="1:13">
      <c r="A89" s="199">
        <f t="shared" si="2"/>
        <v>63</v>
      </c>
      <c r="B89" s="200" t="s">
        <v>556</v>
      </c>
      <c r="C89" s="632" t="s">
        <v>384</v>
      </c>
      <c r="D89" s="632" t="s">
        <v>391</v>
      </c>
      <c r="E89" s="632" t="s">
        <v>396</v>
      </c>
      <c r="F89" s="632" t="s">
        <v>401</v>
      </c>
      <c r="G89" s="632" t="s">
        <v>402</v>
      </c>
      <c r="H89" s="632" t="s">
        <v>389</v>
      </c>
      <c r="I89" s="632" t="s">
        <v>512</v>
      </c>
      <c r="J89" s="201">
        <v>92800</v>
      </c>
      <c r="K89" s="630" t="str">
        <f>CONCATENATE(D89,".",E89,".",F89,".",G89,".",H89,".",I89,".",J89)</f>
        <v>030.0850.5103.0000.0980.100850.92800</v>
      </c>
      <c r="L89" s="631">
        <v>439.5</v>
      </c>
      <c r="M89" s="478"/>
    </row>
    <row r="90" spans="1:13">
      <c r="A90" s="199">
        <f t="shared" si="2"/>
        <v>64</v>
      </c>
      <c r="B90" s="200" t="s">
        <v>556</v>
      </c>
      <c r="C90" s="201" t="s">
        <v>384</v>
      </c>
      <c r="D90" s="632" t="s">
        <v>391</v>
      </c>
      <c r="E90" s="632" t="s">
        <v>396</v>
      </c>
      <c r="F90" s="632" t="s">
        <v>401</v>
      </c>
      <c r="G90" s="632" t="s">
        <v>402</v>
      </c>
      <c r="H90" s="632" t="s">
        <v>389</v>
      </c>
      <c r="I90" s="632" t="s">
        <v>520</v>
      </c>
      <c r="J90" s="201">
        <v>92800</v>
      </c>
      <c r="K90" s="630" t="str">
        <f>CONCATENATE(D90,".",E90,".",F90,".",G90,".",H90,".",I90,".",J90)</f>
        <v>030.0850.5103.0000.0980.103857.92800</v>
      </c>
      <c r="L90" s="631">
        <v>0</v>
      </c>
      <c r="M90" s="478"/>
    </row>
    <row r="91" spans="1:13">
      <c r="A91" s="199">
        <f t="shared" si="2"/>
        <v>65</v>
      </c>
      <c r="B91" s="200" t="s">
        <v>556</v>
      </c>
      <c r="C91" s="201" t="s">
        <v>384</v>
      </c>
      <c r="D91" s="201" t="s">
        <v>391</v>
      </c>
      <c r="E91" s="201" t="s">
        <v>514</v>
      </c>
      <c r="F91" s="201" t="s">
        <v>401</v>
      </c>
      <c r="G91" s="201" t="s">
        <v>402</v>
      </c>
      <c r="H91" s="201" t="s">
        <v>389</v>
      </c>
      <c r="I91" s="201" t="s">
        <v>515</v>
      </c>
      <c r="J91" s="201">
        <v>92800</v>
      </c>
      <c r="K91" s="630" t="str">
        <f t="shared" si="6"/>
        <v>030.0860.5103.0000.0980.104098.92800</v>
      </c>
      <c r="L91" s="631">
        <v>586.29999999999995</v>
      </c>
      <c r="M91" s="478"/>
    </row>
    <row r="92" spans="1:13">
      <c r="A92" s="199">
        <f t="shared" si="2"/>
        <v>66</v>
      </c>
      <c r="B92" s="200" t="s">
        <v>556</v>
      </c>
      <c r="C92" s="201" t="s">
        <v>384</v>
      </c>
      <c r="D92" s="201" t="s">
        <v>391</v>
      </c>
      <c r="E92" s="201" t="s">
        <v>514</v>
      </c>
      <c r="F92" s="201" t="s">
        <v>401</v>
      </c>
      <c r="G92" s="201" t="s">
        <v>402</v>
      </c>
      <c r="H92" s="324" t="s">
        <v>389</v>
      </c>
      <c r="I92" s="201">
        <v>104099</v>
      </c>
      <c r="J92" s="201">
        <v>92800</v>
      </c>
      <c r="K92" s="630" t="str">
        <f t="shared" si="6"/>
        <v>030.0860.5103.0000.0980.104099.92800</v>
      </c>
      <c r="L92" s="631">
        <v>1736.4</v>
      </c>
      <c r="M92" s="478"/>
    </row>
    <row r="93" spans="1:13">
      <c r="A93" s="199">
        <f t="shared" si="2"/>
        <v>67</v>
      </c>
      <c r="B93" s="205"/>
      <c r="C93" s="206"/>
      <c r="D93" s="206"/>
      <c r="E93" s="206"/>
      <c r="F93" s="206"/>
      <c r="G93" s="206"/>
      <c r="H93" s="206"/>
      <c r="I93" s="206"/>
      <c r="J93" s="207"/>
      <c r="K93" s="207"/>
      <c r="L93" s="203">
        <f>SUM(L86:L92)</f>
        <v>2922.6</v>
      </c>
      <c r="M93" s="478"/>
    </row>
    <row r="94" spans="1:13">
      <c r="A94" s="199">
        <f t="shared" si="2"/>
        <v>68</v>
      </c>
      <c r="B94" s="208" t="s">
        <v>403</v>
      </c>
      <c r="C94" s="201"/>
      <c r="D94" s="201"/>
      <c r="E94" s="201"/>
      <c r="F94" s="201"/>
      <c r="G94" s="201"/>
      <c r="H94" s="201"/>
      <c r="I94" s="201"/>
      <c r="J94" s="201"/>
      <c r="K94" s="201"/>
      <c r="L94" s="202"/>
      <c r="M94" s="478"/>
    </row>
    <row r="95" spans="1:13">
      <c r="A95" s="199">
        <f t="shared" si="2"/>
        <v>69</v>
      </c>
      <c r="B95" s="200" t="s">
        <v>556</v>
      </c>
      <c r="C95" s="201" t="s">
        <v>384</v>
      </c>
      <c r="D95" s="201" t="s">
        <v>385</v>
      </c>
      <c r="E95" s="201" t="s">
        <v>386</v>
      </c>
      <c r="F95" s="201" t="s">
        <v>405</v>
      </c>
      <c r="G95" s="201" t="s">
        <v>406</v>
      </c>
      <c r="H95" s="201" t="s">
        <v>389</v>
      </c>
      <c r="I95" s="201" t="s">
        <v>503</v>
      </c>
      <c r="J95" s="201">
        <v>92800</v>
      </c>
      <c r="K95" s="630" t="str">
        <f t="shared" ref="K95:K113" si="7">CONCATENATE(D95,".",E95,".",F95,".",G95,".",H95,".",I95,".",J95)</f>
        <v>010.0570.5110.1000.0980.100570.92800</v>
      </c>
      <c r="L95" s="631">
        <v>0</v>
      </c>
      <c r="M95" s="478"/>
    </row>
    <row r="96" spans="1:13">
      <c r="A96" s="199">
        <f t="shared" si="2"/>
        <v>70</v>
      </c>
      <c r="B96" s="200" t="s">
        <v>556</v>
      </c>
      <c r="C96" s="201" t="s">
        <v>384</v>
      </c>
      <c r="D96" s="201" t="s">
        <v>391</v>
      </c>
      <c r="E96" s="201" t="s">
        <v>501</v>
      </c>
      <c r="F96" s="201" t="s">
        <v>405</v>
      </c>
      <c r="G96" s="201" t="s">
        <v>406</v>
      </c>
      <c r="H96" s="201" t="s">
        <v>389</v>
      </c>
      <c r="I96" s="201" t="s">
        <v>518</v>
      </c>
      <c r="J96" s="201">
        <v>92800</v>
      </c>
      <c r="K96" s="630" t="str">
        <f t="shared" si="7"/>
        <v>030.0200.5110.1000.0980.100200.92800</v>
      </c>
      <c r="L96" s="631">
        <v>9173.86</v>
      </c>
      <c r="M96" s="478"/>
    </row>
    <row r="97" spans="1:13">
      <c r="A97" s="199">
        <f t="shared" si="2"/>
        <v>71</v>
      </c>
      <c r="B97" s="200" t="s">
        <v>556</v>
      </c>
      <c r="C97" s="201" t="s">
        <v>384</v>
      </c>
      <c r="D97" s="201" t="s">
        <v>391</v>
      </c>
      <c r="E97" s="201" t="s">
        <v>404</v>
      </c>
      <c r="F97" s="201" t="s">
        <v>405</v>
      </c>
      <c r="G97" s="201" t="s">
        <v>406</v>
      </c>
      <c r="H97" s="201" t="s">
        <v>389</v>
      </c>
      <c r="I97" s="201" t="s">
        <v>517</v>
      </c>
      <c r="J97" s="201">
        <v>92800</v>
      </c>
      <c r="K97" s="630" t="str">
        <f t="shared" si="7"/>
        <v>030.0670.5110.1000.0980.100670.92800</v>
      </c>
      <c r="L97" s="631">
        <v>60192.78</v>
      </c>
      <c r="M97" s="478"/>
    </row>
    <row r="98" spans="1:13">
      <c r="A98" s="199">
        <f t="shared" si="2"/>
        <v>72</v>
      </c>
      <c r="B98" s="200" t="s">
        <v>556</v>
      </c>
      <c r="C98" s="201" t="s">
        <v>384</v>
      </c>
      <c r="D98" s="201" t="s">
        <v>391</v>
      </c>
      <c r="E98" s="201" t="s">
        <v>394</v>
      </c>
      <c r="F98" s="201" t="s">
        <v>405</v>
      </c>
      <c r="G98" s="201" t="s">
        <v>406</v>
      </c>
      <c r="H98" s="201" t="s">
        <v>389</v>
      </c>
      <c r="I98" s="201" t="s">
        <v>522</v>
      </c>
      <c r="J98" s="201">
        <v>92800</v>
      </c>
      <c r="K98" s="630" t="str">
        <f t="shared" ref="K98:K104" si="8">CONCATENATE(D98,".",E98,".",F98,".",G98,".",H98,".",I98,".",J98)</f>
        <v>030.0690.5110.1000.0980.100690.92800</v>
      </c>
      <c r="L98" s="631">
        <v>5858.75</v>
      </c>
      <c r="M98" s="478"/>
    </row>
    <row r="99" spans="1:13">
      <c r="A99" s="199">
        <f t="shared" si="2"/>
        <v>73</v>
      </c>
      <c r="B99" s="200" t="s">
        <v>556</v>
      </c>
      <c r="C99" s="201" t="s">
        <v>384</v>
      </c>
      <c r="D99" s="201" t="s">
        <v>391</v>
      </c>
      <c r="E99" s="201" t="s">
        <v>394</v>
      </c>
      <c r="F99" s="201" t="s">
        <v>405</v>
      </c>
      <c r="G99" s="201" t="s">
        <v>406</v>
      </c>
      <c r="H99" s="201" t="s">
        <v>523</v>
      </c>
      <c r="I99" s="201" t="s">
        <v>522</v>
      </c>
      <c r="J99" s="201">
        <v>92800</v>
      </c>
      <c r="K99" s="630" t="str">
        <f t="shared" si="8"/>
        <v>030.0690.5110.1000.1270.100690.92800</v>
      </c>
      <c r="L99" s="631">
        <v>1908.3</v>
      </c>
      <c r="M99" s="478"/>
    </row>
    <row r="100" spans="1:13">
      <c r="A100" s="199">
        <f t="shared" si="2"/>
        <v>74</v>
      </c>
      <c r="B100" s="200" t="s">
        <v>556</v>
      </c>
      <c r="C100" s="201" t="s">
        <v>384</v>
      </c>
      <c r="D100" s="201" t="s">
        <v>391</v>
      </c>
      <c r="E100" s="201" t="s">
        <v>396</v>
      </c>
      <c r="F100" s="201" t="s">
        <v>405</v>
      </c>
      <c r="G100" s="201" t="s">
        <v>406</v>
      </c>
      <c r="H100" s="201" t="s">
        <v>407</v>
      </c>
      <c r="I100" s="201" t="s">
        <v>512</v>
      </c>
      <c r="J100" s="201">
        <v>92800</v>
      </c>
      <c r="K100" s="630" t="str">
        <f t="shared" si="8"/>
        <v>030.0850.5110.1000.0600.100850.92800</v>
      </c>
      <c r="L100" s="631">
        <v>4476.3</v>
      </c>
      <c r="M100" s="478"/>
    </row>
    <row r="101" spans="1:13">
      <c r="A101" s="199">
        <f t="shared" si="2"/>
        <v>75</v>
      </c>
      <c r="B101" s="200" t="s">
        <v>556</v>
      </c>
      <c r="C101" s="201" t="s">
        <v>384</v>
      </c>
      <c r="D101" s="201" t="s">
        <v>391</v>
      </c>
      <c r="E101" s="201" t="s">
        <v>396</v>
      </c>
      <c r="F101" s="201" t="s">
        <v>405</v>
      </c>
      <c r="G101" s="201" t="s">
        <v>406</v>
      </c>
      <c r="H101" s="201" t="s">
        <v>389</v>
      </c>
      <c r="I101" s="201" t="s">
        <v>512</v>
      </c>
      <c r="J101" s="201">
        <v>92800</v>
      </c>
      <c r="K101" s="630" t="str">
        <f t="shared" si="8"/>
        <v>030.0850.5110.1000.0980.100850.92800</v>
      </c>
      <c r="L101" s="631">
        <v>5571.2</v>
      </c>
      <c r="M101" s="478"/>
    </row>
    <row r="102" spans="1:13">
      <c r="A102" s="199">
        <f t="shared" si="2"/>
        <v>76</v>
      </c>
      <c r="B102" s="200" t="s">
        <v>556</v>
      </c>
      <c r="C102" s="201" t="s">
        <v>384</v>
      </c>
      <c r="D102" s="201" t="s">
        <v>391</v>
      </c>
      <c r="E102" s="201" t="s">
        <v>396</v>
      </c>
      <c r="F102" s="201" t="s">
        <v>405</v>
      </c>
      <c r="G102" s="201" t="s">
        <v>406</v>
      </c>
      <c r="H102" s="201" t="s">
        <v>389</v>
      </c>
      <c r="I102" s="201" t="s">
        <v>520</v>
      </c>
      <c r="J102" s="201">
        <v>92800</v>
      </c>
      <c r="K102" s="630" t="str">
        <f t="shared" si="8"/>
        <v>030.0850.5110.1000.0980.103857.92800</v>
      </c>
      <c r="L102" s="631">
        <v>0</v>
      </c>
      <c r="M102" s="478"/>
    </row>
    <row r="103" spans="1:13">
      <c r="A103" s="199">
        <f t="shared" si="2"/>
        <v>77</v>
      </c>
      <c r="B103" s="200" t="s">
        <v>556</v>
      </c>
      <c r="C103" s="201" t="s">
        <v>384</v>
      </c>
      <c r="D103" s="201" t="s">
        <v>391</v>
      </c>
      <c r="E103" s="201" t="s">
        <v>396</v>
      </c>
      <c r="F103" s="201" t="s">
        <v>405</v>
      </c>
      <c r="G103" s="201" t="s">
        <v>406</v>
      </c>
      <c r="H103" s="201" t="s">
        <v>506</v>
      </c>
      <c r="I103" s="201" t="s">
        <v>512</v>
      </c>
      <c r="J103" s="201">
        <v>92800</v>
      </c>
      <c r="K103" s="630" t="str">
        <f t="shared" si="8"/>
        <v>030.0850.5110.1000.0990.100850.92800</v>
      </c>
      <c r="L103" s="631">
        <v>0</v>
      </c>
      <c r="M103" s="478"/>
    </row>
    <row r="104" spans="1:13">
      <c r="A104" s="199">
        <f t="shared" si="2"/>
        <v>78</v>
      </c>
      <c r="B104" s="200" t="s">
        <v>556</v>
      </c>
      <c r="C104" s="201" t="s">
        <v>384</v>
      </c>
      <c r="D104" s="201" t="s">
        <v>391</v>
      </c>
      <c r="E104" s="201" t="s">
        <v>514</v>
      </c>
      <c r="F104" s="201" t="s">
        <v>405</v>
      </c>
      <c r="G104" s="201" t="s">
        <v>406</v>
      </c>
      <c r="H104" s="201" t="s">
        <v>389</v>
      </c>
      <c r="I104" s="201" t="s">
        <v>515</v>
      </c>
      <c r="J104" s="201">
        <v>92800</v>
      </c>
      <c r="K104" s="630" t="str">
        <f t="shared" si="8"/>
        <v>030.0860.5110.1000.0980.104098.92800</v>
      </c>
      <c r="L104" s="631">
        <v>349410.69</v>
      </c>
      <c r="M104" s="478"/>
    </row>
    <row r="105" spans="1:13">
      <c r="A105" s="199">
        <f t="shared" si="2"/>
        <v>79</v>
      </c>
      <c r="B105" s="200" t="s">
        <v>556</v>
      </c>
      <c r="C105" s="201" t="s">
        <v>384</v>
      </c>
      <c r="D105" s="201" t="s">
        <v>391</v>
      </c>
      <c r="E105" s="201" t="s">
        <v>514</v>
      </c>
      <c r="F105" s="201" t="s">
        <v>405</v>
      </c>
      <c r="G105" s="201" t="s">
        <v>406</v>
      </c>
      <c r="H105" s="201" t="s">
        <v>389</v>
      </c>
      <c r="I105" s="201" t="s">
        <v>516</v>
      </c>
      <c r="J105" s="201">
        <v>92800</v>
      </c>
      <c r="K105" s="630" t="str">
        <f t="shared" si="7"/>
        <v>030.0860.5110.1000.0980.104099.92800</v>
      </c>
      <c r="L105" s="631">
        <v>98293.85</v>
      </c>
      <c r="M105" s="478"/>
    </row>
    <row r="106" spans="1:13">
      <c r="A106" s="199">
        <f t="shared" si="2"/>
        <v>80</v>
      </c>
      <c r="B106" s="205"/>
      <c r="C106" s="206"/>
      <c r="D106" s="206"/>
      <c r="E106" s="206"/>
      <c r="F106" s="206"/>
      <c r="G106" s="206"/>
      <c r="H106" s="206"/>
      <c r="I106" s="206"/>
      <c r="J106" s="207"/>
      <c r="K106" s="630"/>
      <c r="L106" s="399">
        <f>SUM(L95:L105)</f>
        <v>534885.73</v>
      </c>
      <c r="M106" s="478"/>
    </row>
    <row r="107" spans="1:13">
      <c r="A107" s="199">
        <f t="shared" si="2"/>
        <v>81</v>
      </c>
      <c r="B107" s="208" t="s">
        <v>408</v>
      </c>
      <c r="C107" s="201"/>
      <c r="D107" s="201"/>
      <c r="E107" s="201"/>
      <c r="F107" s="201"/>
      <c r="G107" s="201"/>
      <c r="H107" s="201"/>
      <c r="I107" s="201"/>
      <c r="J107" s="201"/>
      <c r="K107" s="630"/>
      <c r="L107" s="202"/>
      <c r="M107" s="478"/>
    </row>
    <row r="108" spans="1:13">
      <c r="A108" s="199">
        <f t="shared" si="2"/>
        <v>82</v>
      </c>
      <c r="B108" s="200" t="s">
        <v>556</v>
      </c>
      <c r="C108" s="632" t="s">
        <v>384</v>
      </c>
      <c r="D108" s="632" t="s">
        <v>391</v>
      </c>
      <c r="E108" s="632" t="s">
        <v>409</v>
      </c>
      <c r="F108" s="632" t="s">
        <v>410</v>
      </c>
      <c r="G108" s="632" t="s">
        <v>411</v>
      </c>
      <c r="H108" s="632" t="s">
        <v>389</v>
      </c>
      <c r="I108" s="632" t="s">
        <v>505</v>
      </c>
      <c r="J108" s="201">
        <v>92800</v>
      </c>
      <c r="K108" s="630" t="str">
        <f t="shared" si="7"/>
        <v>030.0760.5106.2000.0980.100760.92800</v>
      </c>
      <c r="L108" s="631">
        <f>IF(ISERROR(VLOOKUP('Page 12 - A&amp;G Exp'!K108,#REF!,1,FALSE)),,VLOOKUP('Page 12 - A&amp;G Exp'!K108,#REF!,2,FALSE))</f>
        <v>0</v>
      </c>
      <c r="M108" s="478"/>
    </row>
    <row r="109" spans="1:13">
      <c r="A109" s="199">
        <f t="shared" ref="A109:A118" si="9">A108+1</f>
        <v>83</v>
      </c>
      <c r="B109" s="200" t="s">
        <v>556</v>
      </c>
      <c r="C109" s="632" t="s">
        <v>384</v>
      </c>
      <c r="D109" s="632" t="s">
        <v>391</v>
      </c>
      <c r="E109" s="632" t="s">
        <v>396</v>
      </c>
      <c r="F109" s="632" t="s">
        <v>410</v>
      </c>
      <c r="G109" s="632" t="s">
        <v>411</v>
      </c>
      <c r="H109" s="632" t="s">
        <v>389</v>
      </c>
      <c r="I109" s="632" t="s">
        <v>512</v>
      </c>
      <c r="J109" s="201">
        <v>92800</v>
      </c>
      <c r="K109" s="630" t="str">
        <f t="shared" si="7"/>
        <v>030.0850.5106.2000.0980.100850.92800</v>
      </c>
      <c r="L109" s="631">
        <v>312202.31</v>
      </c>
      <c r="M109" s="478"/>
    </row>
    <row r="110" spans="1:13">
      <c r="A110" s="199">
        <f t="shared" si="9"/>
        <v>84</v>
      </c>
      <c r="B110" s="200" t="s">
        <v>556</v>
      </c>
      <c r="C110" s="201" t="s">
        <v>384</v>
      </c>
      <c r="D110" s="201" t="s">
        <v>391</v>
      </c>
      <c r="E110" s="201" t="s">
        <v>396</v>
      </c>
      <c r="F110" s="201" t="s">
        <v>410</v>
      </c>
      <c r="G110" s="201" t="s">
        <v>411</v>
      </c>
      <c r="H110" s="324" t="s">
        <v>407</v>
      </c>
      <c r="I110" s="201">
        <v>100850</v>
      </c>
      <c r="J110" s="201">
        <v>92800</v>
      </c>
      <c r="K110" s="630" t="str">
        <f t="shared" si="7"/>
        <v>030.0850.5106.2000.0600.100850.92800</v>
      </c>
      <c r="L110" s="631">
        <v>100</v>
      </c>
      <c r="M110" s="478"/>
    </row>
    <row r="111" spans="1:13">
      <c r="A111" s="199">
        <f t="shared" si="9"/>
        <v>85</v>
      </c>
      <c r="B111" s="200" t="s">
        <v>556</v>
      </c>
      <c r="C111" s="201" t="s">
        <v>384</v>
      </c>
      <c r="D111" s="201" t="s">
        <v>391</v>
      </c>
      <c r="E111" s="201" t="s">
        <v>514</v>
      </c>
      <c r="F111" s="201" t="s">
        <v>410</v>
      </c>
      <c r="G111" s="201" t="s">
        <v>411</v>
      </c>
      <c r="H111" s="201" t="s">
        <v>389</v>
      </c>
      <c r="I111" s="201" t="s">
        <v>515</v>
      </c>
      <c r="J111" s="201">
        <v>92800</v>
      </c>
      <c r="K111" s="630" t="str">
        <f t="shared" si="7"/>
        <v>030.0860.5106.2000.0980.104098.92800</v>
      </c>
      <c r="L111" s="631">
        <v>434038.93</v>
      </c>
      <c r="M111" s="478"/>
    </row>
    <row r="112" spans="1:13">
      <c r="A112" s="199">
        <f t="shared" si="9"/>
        <v>86</v>
      </c>
      <c r="B112" s="200" t="s">
        <v>556</v>
      </c>
      <c r="C112" s="201" t="s">
        <v>384</v>
      </c>
      <c r="D112" s="201" t="s">
        <v>391</v>
      </c>
      <c r="E112" s="201" t="s">
        <v>514</v>
      </c>
      <c r="F112" s="201" t="s">
        <v>410</v>
      </c>
      <c r="G112" s="201" t="s">
        <v>411</v>
      </c>
      <c r="H112" s="201" t="s">
        <v>389</v>
      </c>
      <c r="I112" s="201" t="s">
        <v>516</v>
      </c>
      <c r="J112" s="201">
        <v>92800</v>
      </c>
      <c r="K112" s="630" t="str">
        <f>CONCATENATE(D112,".",E112,".",F112,".",G112,".",H112,".",I112,".",J112)</f>
        <v>030.0860.5106.2000.0980.104099.92800</v>
      </c>
      <c r="L112" s="631">
        <v>117037.35</v>
      </c>
      <c r="M112" s="478"/>
    </row>
    <row r="113" spans="1:19">
      <c r="A113" s="199">
        <f t="shared" si="9"/>
        <v>87</v>
      </c>
      <c r="B113" s="200" t="s">
        <v>556</v>
      </c>
      <c r="C113" s="201" t="s">
        <v>384</v>
      </c>
      <c r="D113" s="201" t="s">
        <v>391</v>
      </c>
      <c r="E113" s="201" t="s">
        <v>514</v>
      </c>
      <c r="F113" s="201" t="s">
        <v>410</v>
      </c>
      <c r="G113" s="201" t="s">
        <v>441</v>
      </c>
      <c r="H113" s="201" t="s">
        <v>389</v>
      </c>
      <c r="I113" s="201" t="s">
        <v>515</v>
      </c>
      <c r="J113" s="201">
        <v>92800</v>
      </c>
      <c r="K113" s="630" t="str">
        <f t="shared" si="7"/>
        <v>030.0860.5106.4000.0980.104098.92800</v>
      </c>
      <c r="L113" s="631">
        <v>0</v>
      </c>
      <c r="M113" s="478"/>
    </row>
    <row r="114" spans="1:19">
      <c r="A114" s="199">
        <f t="shared" si="9"/>
        <v>88</v>
      </c>
      <c r="B114" s="205"/>
      <c r="C114" s="209"/>
      <c r="D114" s="209"/>
      <c r="E114" s="209"/>
      <c r="F114" s="209"/>
      <c r="G114" s="209"/>
      <c r="H114" s="209"/>
      <c r="I114" s="209"/>
      <c r="J114" s="210"/>
      <c r="K114" s="210"/>
      <c r="L114" s="400">
        <f>SUM(L108:L113)</f>
        <v>863378.59</v>
      </c>
      <c r="M114" s="478"/>
    </row>
    <row r="115" spans="1:19">
      <c r="A115" s="199">
        <f t="shared" si="9"/>
        <v>89</v>
      </c>
      <c r="B115" s="211"/>
      <c r="C115" s="212"/>
      <c r="D115" s="212"/>
      <c r="E115" s="212"/>
      <c r="F115" s="212"/>
      <c r="G115" s="212"/>
      <c r="H115" s="212"/>
      <c r="I115" s="212"/>
      <c r="J115" s="213" t="s">
        <v>412</v>
      </c>
      <c r="K115" s="213"/>
      <c r="L115" s="400">
        <f>L70+L84+L93+L106+L114</f>
        <v>1852029.12</v>
      </c>
      <c r="M115" s="478"/>
    </row>
    <row r="116" spans="1:19">
      <c r="A116" s="199">
        <f t="shared" si="9"/>
        <v>90</v>
      </c>
      <c r="B116" s="214"/>
      <c r="C116" s="215"/>
      <c r="D116" s="215"/>
      <c r="E116" s="225"/>
      <c r="F116" s="225"/>
      <c r="G116" s="225"/>
      <c r="H116" s="225"/>
      <c r="I116" s="225"/>
      <c r="J116" s="216"/>
      <c r="K116" s="216"/>
      <c r="L116" s="203"/>
      <c r="M116" s="217"/>
      <c r="N116" s="209"/>
      <c r="O116" s="209"/>
      <c r="P116" s="209"/>
      <c r="Q116" s="209"/>
      <c r="R116" s="209"/>
      <c r="S116" s="209"/>
    </row>
    <row r="117" spans="1:19">
      <c r="A117" s="199">
        <f t="shared" si="9"/>
        <v>91</v>
      </c>
      <c r="B117" s="200" t="s">
        <v>413</v>
      </c>
      <c r="J117" s="219"/>
      <c r="K117" s="219"/>
      <c r="L117" s="402">
        <v>0</v>
      </c>
      <c r="M117" s="217"/>
      <c r="N117" s="209"/>
      <c r="O117" s="209"/>
      <c r="P117" s="209"/>
      <c r="Q117" s="209"/>
      <c r="R117" s="209"/>
      <c r="S117" s="209"/>
    </row>
    <row r="118" spans="1:19" ht="13.5" thickBot="1">
      <c r="A118" s="199">
        <f t="shared" si="9"/>
        <v>92</v>
      </c>
      <c r="B118" s="200"/>
      <c r="J118" s="219"/>
      <c r="K118" s="219"/>
      <c r="L118" s="401">
        <f>L115-L117</f>
        <v>1852029.12</v>
      </c>
      <c r="M118" s="217"/>
      <c r="N118" s="209"/>
      <c r="O118" s="209"/>
      <c r="P118" s="209"/>
      <c r="Q118" s="209"/>
      <c r="R118" s="209"/>
      <c r="S118" s="209"/>
    </row>
    <row r="119" spans="1:19" ht="13.5" thickTop="1">
      <c r="A119" s="220"/>
      <c r="B119" s="211"/>
      <c r="C119" s="221"/>
      <c r="D119" s="221"/>
      <c r="E119" s="221"/>
      <c r="F119" s="221"/>
      <c r="G119" s="221"/>
      <c r="H119" s="221"/>
      <c r="I119" s="221"/>
      <c r="J119" s="222"/>
      <c r="K119" s="222"/>
      <c r="L119" s="223"/>
      <c r="M119" s="217"/>
      <c r="N119" s="209"/>
      <c r="O119" s="209"/>
      <c r="P119" s="209"/>
      <c r="Q119" s="209"/>
      <c r="R119" s="209"/>
      <c r="S119" s="209"/>
    </row>
  </sheetData>
  <mergeCells count="4">
    <mergeCell ref="A2:L2"/>
    <mergeCell ref="A3:M3"/>
    <mergeCell ref="A4:M4"/>
    <mergeCell ref="B6:H6"/>
  </mergeCells>
  <printOptions horizontalCentered="1"/>
  <pageMargins left="0.75" right="0.75" top="0.75" bottom="0.75" header="0.5" footer="0.5"/>
  <pageSetup scale="76" fitToHeight="2" orientation="portrait" r:id="rId1"/>
  <headerFooter>
    <oddHeader>&amp;R&amp;"Arial,Regular"&amp;10Attachment O Work Paper
Page 12 of 20</oddHeader>
  </headerFooter>
  <rowBreaks count="1" manualBreakCount="1">
    <brk id="71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Sheet6"/>
  <dimension ref="A1:C31"/>
  <sheetViews>
    <sheetView showGridLines="0" zoomScaleNormal="100" workbookViewId="0">
      <selection activeCell="C30" sqref="C30"/>
    </sheetView>
  </sheetViews>
  <sheetFormatPr defaultColWidth="29.21875" defaultRowHeight="12.75"/>
  <cols>
    <col min="1" max="1" width="3.44140625" style="473" bestFit="1" customWidth="1"/>
    <col min="2" max="2" width="29.21875" style="225" customWidth="1"/>
    <col min="3" max="3" width="11.77734375" style="225" customWidth="1"/>
    <col min="4" max="250" width="8.88671875" style="225" customWidth="1"/>
    <col min="251" max="251" width="3.44140625" style="225" bestFit="1" customWidth="1"/>
    <col min="252" max="16384" width="29.21875" style="225"/>
  </cols>
  <sheetData>
    <row r="1" spans="1:3">
      <c r="B1" s="332"/>
      <c r="C1" s="634"/>
    </row>
    <row r="2" spans="1:3">
      <c r="B2" s="635"/>
      <c r="C2" s="634"/>
    </row>
    <row r="3" spans="1:3" ht="12.75" customHeight="1">
      <c r="A3" s="795" t="s">
        <v>0</v>
      </c>
      <c r="B3" s="796"/>
      <c r="C3" s="796"/>
    </row>
    <row r="4" spans="1:3" ht="12.75" customHeight="1">
      <c r="A4" s="795" t="s">
        <v>46</v>
      </c>
      <c r="B4" s="796"/>
      <c r="C4" s="796"/>
    </row>
    <row r="5" spans="1:3" ht="12.75" customHeight="1">
      <c r="A5" s="797" t="s">
        <v>560</v>
      </c>
      <c r="B5" s="797"/>
      <c r="C5" s="797"/>
    </row>
    <row r="6" spans="1:3">
      <c r="B6" s="636"/>
      <c r="C6" s="637"/>
    </row>
    <row r="7" spans="1:3">
      <c r="B7" s="638" t="s">
        <v>2</v>
      </c>
      <c r="C7" s="473" t="s">
        <v>3</v>
      </c>
    </row>
    <row r="8" spans="1:3">
      <c r="C8" s="342"/>
    </row>
    <row r="9" spans="1:3" ht="25.5">
      <c r="A9" s="194" t="s">
        <v>37</v>
      </c>
      <c r="B9" s="639" t="s">
        <v>46</v>
      </c>
      <c r="C9" s="640" t="s">
        <v>15</v>
      </c>
    </row>
    <row r="10" spans="1:3">
      <c r="A10" s="243"/>
      <c r="B10" s="471" t="s">
        <v>599</v>
      </c>
      <c r="C10" s="641"/>
    </row>
    <row r="11" spans="1:3">
      <c r="A11" s="243">
        <v>1</v>
      </c>
      <c r="B11" s="474" t="s">
        <v>47</v>
      </c>
      <c r="C11" s="642">
        <v>9529014</v>
      </c>
    </row>
    <row r="12" spans="1:3">
      <c r="A12" s="243">
        <f>A11+1</f>
        <v>2</v>
      </c>
      <c r="B12" s="474" t="s">
        <v>48</v>
      </c>
      <c r="C12" s="642">
        <v>175998</v>
      </c>
    </row>
    <row r="13" spans="1:3">
      <c r="A13" s="243">
        <f t="shared" ref="A13:A24" si="0">A12+1</f>
        <v>3</v>
      </c>
      <c r="B13" s="474" t="s">
        <v>49</v>
      </c>
      <c r="C13" s="642">
        <f>1073371+47210</f>
        <v>1120581</v>
      </c>
    </row>
    <row r="14" spans="1:3">
      <c r="A14" s="243">
        <f t="shared" si="0"/>
        <v>4</v>
      </c>
      <c r="B14" s="474" t="s">
        <v>50</v>
      </c>
      <c r="C14" s="643">
        <v>10364928</v>
      </c>
    </row>
    <row r="15" spans="1:3">
      <c r="A15" s="243">
        <f t="shared" si="0"/>
        <v>5</v>
      </c>
      <c r="B15" s="471" t="s">
        <v>51</v>
      </c>
      <c r="C15" s="642">
        <f>SUM(C11:C14)</f>
        <v>21190521</v>
      </c>
    </row>
    <row r="16" spans="1:3">
      <c r="A16" s="243">
        <f t="shared" si="0"/>
        <v>6</v>
      </c>
      <c r="B16" s="478"/>
      <c r="C16" s="644"/>
    </row>
    <row r="17" spans="1:3">
      <c r="A17" s="243">
        <f t="shared" si="0"/>
        <v>7</v>
      </c>
      <c r="B17" s="474" t="s">
        <v>52</v>
      </c>
      <c r="C17" s="645">
        <v>4211551</v>
      </c>
    </row>
    <row r="18" spans="1:3">
      <c r="A18" s="243">
        <f t="shared" si="0"/>
        <v>8</v>
      </c>
      <c r="B18" s="474"/>
      <c r="C18" s="331"/>
    </row>
    <row r="19" spans="1:3">
      <c r="A19" s="243">
        <f t="shared" si="0"/>
        <v>9</v>
      </c>
      <c r="B19" s="474" t="s">
        <v>53</v>
      </c>
      <c r="C19" s="642">
        <v>10204736</v>
      </c>
    </row>
    <row r="20" spans="1:3">
      <c r="A20" s="243">
        <f t="shared" si="0"/>
        <v>10</v>
      </c>
      <c r="B20" s="478"/>
      <c r="C20" s="644"/>
    </row>
    <row r="21" spans="1:3">
      <c r="A21" s="243">
        <f t="shared" si="0"/>
        <v>11</v>
      </c>
      <c r="B21" s="474" t="s">
        <v>54</v>
      </c>
      <c r="C21" s="644"/>
    </row>
    <row r="22" spans="1:3">
      <c r="A22" s="243">
        <f t="shared" si="0"/>
        <v>12</v>
      </c>
      <c r="B22" s="474" t="s">
        <v>55</v>
      </c>
      <c r="C22" s="645">
        <v>2560921</v>
      </c>
    </row>
    <row r="23" spans="1:3">
      <c r="A23" s="243">
        <f t="shared" si="0"/>
        <v>13</v>
      </c>
      <c r="B23" s="478"/>
      <c r="C23" s="646"/>
    </row>
    <row r="24" spans="1:3">
      <c r="A24" s="243">
        <f t="shared" si="0"/>
        <v>14</v>
      </c>
      <c r="B24" s="471" t="s">
        <v>56</v>
      </c>
      <c r="C24" s="642">
        <f>SUM(C15:C19)+C22</f>
        <v>38167729</v>
      </c>
    </row>
    <row r="25" spans="1:3">
      <c r="A25" s="244"/>
      <c r="B25" s="647"/>
      <c r="C25" s="648"/>
    </row>
    <row r="26" spans="1:3">
      <c r="A26" s="225"/>
      <c r="C26" s="649"/>
    </row>
    <row r="27" spans="1:3">
      <c r="C27" s="218"/>
    </row>
    <row r="29" spans="1:3">
      <c r="C29" s="218"/>
    </row>
    <row r="30" spans="1:3">
      <c r="C30" s="218"/>
    </row>
    <row r="31" spans="1:3">
      <c r="C31" s="218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13 of 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9"/>
  <sheetViews>
    <sheetView showGridLines="0" zoomScale="85" zoomScaleNormal="85" workbookViewId="0">
      <pane xSplit="6" ySplit="10" topLeftCell="I11" activePane="bottomRight" state="frozen"/>
      <selection pane="topRight" activeCell="G1" sqref="G1"/>
      <selection pane="bottomLeft" activeCell="A11" sqref="A11"/>
      <selection pane="bottomRight" activeCell="I15" sqref="I15"/>
    </sheetView>
  </sheetViews>
  <sheetFormatPr defaultRowHeight="15"/>
  <cols>
    <col min="1" max="1" width="3.88671875" style="652" bestFit="1" customWidth="1"/>
    <col min="2" max="2" width="23.88671875" style="650" bestFit="1" customWidth="1"/>
    <col min="3" max="6" width="6.77734375" style="652" customWidth="1"/>
    <col min="7" max="16384" width="8.88671875" style="650"/>
  </cols>
  <sheetData>
    <row r="3" spans="1:19">
      <c r="A3" s="792" t="s">
        <v>0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</row>
    <row r="4" spans="1:19">
      <c r="A4" s="792" t="s">
        <v>428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</row>
    <row r="5" spans="1:19">
      <c r="A5" s="792" t="s">
        <v>554</v>
      </c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</row>
    <row r="6" spans="1:19">
      <c r="A6" s="473"/>
      <c r="B6" s="225"/>
      <c r="C6" s="473"/>
      <c r="D6" s="473"/>
      <c r="E6" s="473"/>
      <c r="F6" s="473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19">
      <c r="A7" s="473"/>
      <c r="B7" s="485" t="s">
        <v>2</v>
      </c>
      <c r="C7" s="473" t="s">
        <v>3</v>
      </c>
      <c r="D7" s="473" t="s">
        <v>4</v>
      </c>
      <c r="E7" s="473" t="s">
        <v>5</v>
      </c>
      <c r="F7" s="473" t="s">
        <v>6</v>
      </c>
      <c r="G7" s="473" t="s">
        <v>8</v>
      </c>
      <c r="H7" s="473" t="s">
        <v>7</v>
      </c>
      <c r="I7" s="473" t="s">
        <v>29</v>
      </c>
      <c r="J7" s="473" t="s">
        <v>30</v>
      </c>
      <c r="K7" s="473" t="s">
        <v>29</v>
      </c>
      <c r="L7" s="473" t="s">
        <v>30</v>
      </c>
      <c r="M7" s="473" t="s">
        <v>31</v>
      </c>
      <c r="N7" s="473" t="s">
        <v>68</v>
      </c>
      <c r="O7" s="473" t="s">
        <v>69</v>
      </c>
      <c r="P7" s="473" t="s">
        <v>70</v>
      </c>
      <c r="Q7" s="473" t="s">
        <v>71</v>
      </c>
      <c r="R7" s="473" t="s">
        <v>72</v>
      </c>
      <c r="S7" s="473" t="s">
        <v>73</v>
      </c>
    </row>
    <row r="8" spans="1:19">
      <c r="A8" s="473"/>
      <c r="B8" s="225"/>
      <c r="C8" s="473"/>
      <c r="D8" s="473"/>
      <c r="E8" s="473"/>
      <c r="F8" s="473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</row>
    <row r="9" spans="1:19" s="241" customFormat="1" ht="15.75">
      <c r="A9" s="195" t="s">
        <v>9</v>
      </c>
      <c r="B9" s="245"/>
      <c r="C9" s="251"/>
      <c r="D9" s="251"/>
      <c r="E9" s="251"/>
      <c r="F9" s="251"/>
      <c r="G9" s="251" t="s">
        <v>539</v>
      </c>
      <c r="H9" s="251" t="str">
        <f>$G9</f>
        <v>Actual</v>
      </c>
      <c r="I9" s="251" t="str">
        <f t="shared" ref="I9:R9" si="0">$G9</f>
        <v>Actual</v>
      </c>
      <c r="J9" s="251" t="str">
        <f t="shared" si="0"/>
        <v>Actual</v>
      </c>
      <c r="K9" s="251" t="str">
        <f t="shared" si="0"/>
        <v>Actual</v>
      </c>
      <c r="L9" s="251" t="str">
        <f t="shared" si="0"/>
        <v>Actual</v>
      </c>
      <c r="M9" s="251" t="str">
        <f t="shared" si="0"/>
        <v>Actual</v>
      </c>
      <c r="N9" s="251" t="str">
        <f t="shared" si="0"/>
        <v>Actual</v>
      </c>
      <c r="O9" s="251" t="str">
        <f t="shared" si="0"/>
        <v>Actual</v>
      </c>
      <c r="P9" s="251" t="str">
        <f t="shared" si="0"/>
        <v>Actual</v>
      </c>
      <c r="Q9" s="251" t="str">
        <f t="shared" si="0"/>
        <v>Actual</v>
      </c>
      <c r="R9" s="251" t="str">
        <f t="shared" si="0"/>
        <v>Actual</v>
      </c>
      <c r="S9" s="252"/>
    </row>
    <row r="10" spans="1:19" s="241" customFormat="1" ht="15.75">
      <c r="A10" s="220" t="s">
        <v>10</v>
      </c>
      <c r="B10" s="249" t="s">
        <v>414</v>
      </c>
      <c r="C10" s="253" t="s">
        <v>380</v>
      </c>
      <c r="D10" s="253" t="s">
        <v>415</v>
      </c>
      <c r="E10" s="253" t="s">
        <v>416</v>
      </c>
      <c r="F10" s="253" t="s">
        <v>32</v>
      </c>
      <c r="G10" s="253" t="s">
        <v>417</v>
      </c>
      <c r="H10" s="253" t="s">
        <v>418</v>
      </c>
      <c r="I10" s="253" t="s">
        <v>419</v>
      </c>
      <c r="J10" s="253" t="s">
        <v>420</v>
      </c>
      <c r="K10" s="253" t="s">
        <v>19</v>
      </c>
      <c r="L10" s="253" t="s">
        <v>421</v>
      </c>
      <c r="M10" s="253" t="s">
        <v>422</v>
      </c>
      <c r="N10" s="253" t="s">
        <v>423</v>
      </c>
      <c r="O10" s="253" t="s">
        <v>424</v>
      </c>
      <c r="P10" s="253" t="s">
        <v>425</v>
      </c>
      <c r="Q10" s="253" t="s">
        <v>426</v>
      </c>
      <c r="R10" s="253" t="s">
        <v>427</v>
      </c>
      <c r="S10" s="254" t="s">
        <v>15</v>
      </c>
    </row>
    <row r="11" spans="1:19">
      <c r="A11" s="242">
        <v>1</v>
      </c>
      <c r="B11" s="257" t="s">
        <v>428</v>
      </c>
      <c r="C11" s="224"/>
      <c r="D11" s="201"/>
      <c r="E11" s="224"/>
      <c r="F11" s="224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6">
        <f>SUM(G11:R11)</f>
        <v>0</v>
      </c>
    </row>
    <row r="12" spans="1:19">
      <c r="A12" s="243">
        <f>+A11+1</f>
        <v>2</v>
      </c>
      <c r="B12" s="258" t="s">
        <v>575</v>
      </c>
      <c r="C12" s="201">
        <v>0</v>
      </c>
      <c r="D12" s="201">
        <v>5230</v>
      </c>
      <c r="E12" s="224">
        <v>4081</v>
      </c>
      <c r="F12" s="224">
        <v>40801</v>
      </c>
      <c r="G12" s="250">
        <v>474543</v>
      </c>
      <c r="H12" s="250">
        <v>474543</v>
      </c>
      <c r="I12" s="250">
        <v>474543</v>
      </c>
      <c r="J12" s="250">
        <v>474543</v>
      </c>
      <c r="K12" s="250">
        <v>474543</v>
      </c>
      <c r="L12" s="250">
        <v>492742</v>
      </c>
      <c r="M12" s="250">
        <v>633670</v>
      </c>
      <c r="N12" s="250">
        <v>633670</v>
      </c>
      <c r="O12" s="250">
        <v>633423</v>
      </c>
      <c r="P12" s="250">
        <v>633959</v>
      </c>
      <c r="Q12" s="250">
        <v>832226</v>
      </c>
      <c r="R12" s="250">
        <v>596190</v>
      </c>
      <c r="S12" s="247">
        <f t="shared" ref="S12:S34" si="1">SUM(G12:R12)</f>
        <v>6828595</v>
      </c>
    </row>
    <row r="13" spans="1:19">
      <c r="A13" s="243">
        <f t="shared" ref="A13:A37" si="2">+A12+1</f>
        <v>3</v>
      </c>
      <c r="B13" s="258" t="s">
        <v>576</v>
      </c>
      <c r="C13" s="224">
        <v>1020</v>
      </c>
      <c r="D13" s="201">
        <v>5230</v>
      </c>
      <c r="E13" s="224">
        <v>4081</v>
      </c>
      <c r="F13" s="224">
        <v>40801</v>
      </c>
      <c r="G13" s="250">
        <v>61359</v>
      </c>
      <c r="H13" s="250">
        <v>61359</v>
      </c>
      <c r="I13" s="250">
        <v>61359</v>
      </c>
      <c r="J13" s="250">
        <v>61359</v>
      </c>
      <c r="K13" s="250">
        <v>61359</v>
      </c>
      <c r="L13" s="250">
        <v>61359</v>
      </c>
      <c r="M13" s="250">
        <v>61359</v>
      </c>
      <c r="N13" s="250">
        <v>61359</v>
      </c>
      <c r="O13" s="250">
        <v>61359</v>
      </c>
      <c r="P13" s="250">
        <v>61359</v>
      </c>
      <c r="Q13" s="250">
        <v>61359</v>
      </c>
      <c r="R13" s="250">
        <v>61359</v>
      </c>
      <c r="S13" s="247">
        <f t="shared" si="1"/>
        <v>736308</v>
      </c>
    </row>
    <row r="14" spans="1:19">
      <c r="A14" s="243">
        <f t="shared" si="2"/>
        <v>4</v>
      </c>
      <c r="B14" s="258" t="s">
        <v>577</v>
      </c>
      <c r="C14" s="224">
        <v>1100</v>
      </c>
      <c r="D14" s="201">
        <v>5230</v>
      </c>
      <c r="E14" s="224">
        <v>4081</v>
      </c>
      <c r="F14" s="224">
        <v>40801</v>
      </c>
      <c r="G14" s="250">
        <v>63482</v>
      </c>
      <c r="H14" s="250">
        <v>63482</v>
      </c>
      <c r="I14" s="250">
        <v>63482</v>
      </c>
      <c r="J14" s="250">
        <v>63482</v>
      </c>
      <c r="K14" s="250">
        <v>63482</v>
      </c>
      <c r="L14" s="250">
        <v>63482</v>
      </c>
      <c r="M14" s="250">
        <v>63482</v>
      </c>
      <c r="N14" s="250">
        <v>63482</v>
      </c>
      <c r="O14" s="250">
        <v>63482</v>
      </c>
      <c r="P14" s="250">
        <v>63482</v>
      </c>
      <c r="Q14" s="250">
        <v>63482</v>
      </c>
      <c r="R14" s="250">
        <v>63482</v>
      </c>
      <c r="S14" s="247">
        <f t="shared" si="1"/>
        <v>761784</v>
      </c>
    </row>
    <row r="15" spans="1:19">
      <c r="A15" s="243">
        <f t="shared" si="2"/>
        <v>5</v>
      </c>
      <c r="B15" s="258" t="s">
        <v>578</v>
      </c>
      <c r="C15" s="224">
        <v>1200</v>
      </c>
      <c r="D15" s="201">
        <v>5230</v>
      </c>
      <c r="E15" s="224">
        <v>4081</v>
      </c>
      <c r="F15" s="224">
        <v>40801</v>
      </c>
      <c r="G15" s="250">
        <v>197466.73</v>
      </c>
      <c r="H15" s="250">
        <v>169398.78</v>
      </c>
      <c r="I15" s="250">
        <v>186620.15</v>
      </c>
      <c r="J15" s="250">
        <v>184005.56</v>
      </c>
      <c r="K15" s="250">
        <v>182095.71</v>
      </c>
      <c r="L15" s="250">
        <v>157102.62</v>
      </c>
      <c r="M15" s="250">
        <v>191396.87</v>
      </c>
      <c r="N15" s="250">
        <v>191253.43</v>
      </c>
      <c r="O15" s="250">
        <v>164383.51999999999</v>
      </c>
      <c r="P15" s="250">
        <v>190168.63</v>
      </c>
      <c r="Q15" s="250">
        <v>182002.94</v>
      </c>
      <c r="R15" s="250">
        <v>183133.24</v>
      </c>
      <c r="S15" s="247">
        <f>SUM(G15:R15)</f>
        <v>2179028.1799999997</v>
      </c>
    </row>
    <row r="16" spans="1:19" s="651" customFormat="1">
      <c r="A16" s="199">
        <f t="shared" si="2"/>
        <v>6</v>
      </c>
      <c r="B16" s="258" t="s">
        <v>579</v>
      </c>
      <c r="C16" s="224">
        <v>1230</v>
      </c>
      <c r="D16" s="201">
        <v>5230</v>
      </c>
      <c r="E16" s="224">
        <v>4081</v>
      </c>
      <c r="F16" s="224">
        <v>40801</v>
      </c>
      <c r="G16" s="250">
        <v>682</v>
      </c>
      <c r="H16" s="250">
        <v>682</v>
      </c>
      <c r="I16" s="250">
        <v>682</v>
      </c>
      <c r="J16" s="250">
        <v>682</v>
      </c>
      <c r="K16" s="250">
        <v>682</v>
      </c>
      <c r="L16" s="250">
        <v>682</v>
      </c>
      <c r="M16" s="250">
        <v>682</v>
      </c>
      <c r="N16" s="250">
        <v>682</v>
      </c>
      <c r="O16" s="250">
        <v>682</v>
      </c>
      <c r="P16" s="250">
        <v>682</v>
      </c>
      <c r="Q16" s="250">
        <v>682</v>
      </c>
      <c r="R16" s="250">
        <v>682</v>
      </c>
      <c r="S16" s="247">
        <f>SUM(G16:R16)</f>
        <v>8184</v>
      </c>
    </row>
    <row r="17" spans="1:19" s="651" customFormat="1">
      <c r="A17" s="199">
        <f t="shared" si="2"/>
        <v>7</v>
      </c>
      <c r="B17" s="258" t="s">
        <v>580</v>
      </c>
      <c r="C17" s="224">
        <v>1290</v>
      </c>
      <c r="D17" s="201">
        <v>5230</v>
      </c>
      <c r="E17" s="224">
        <v>4081</v>
      </c>
      <c r="F17" s="224">
        <v>40801</v>
      </c>
      <c r="G17" s="250">
        <v>-128452</v>
      </c>
      <c r="H17" s="250">
        <v>-110346</v>
      </c>
      <c r="I17" s="250">
        <v>-121382</v>
      </c>
      <c r="J17" s="250">
        <v>-119880</v>
      </c>
      <c r="K17" s="250">
        <v>-118394</v>
      </c>
      <c r="L17" s="250">
        <v>-102037</v>
      </c>
      <c r="M17" s="250">
        <v>-124284</v>
      </c>
      <c r="N17" s="250">
        <v>-123858</v>
      </c>
      <c r="O17" s="250">
        <v>-106814</v>
      </c>
      <c r="P17" s="250">
        <v>-124394</v>
      </c>
      <c r="Q17" s="250">
        <v>-118651</v>
      </c>
      <c r="R17" s="250">
        <v>-119351</v>
      </c>
      <c r="S17" s="247">
        <f>SUM(G17:R17)</f>
        <v>-1417843</v>
      </c>
    </row>
    <row r="18" spans="1:19" s="330" customFormat="1" ht="15.75">
      <c r="A18" s="243">
        <f t="shared" si="2"/>
        <v>8</v>
      </c>
      <c r="B18" s="257" t="s">
        <v>429</v>
      </c>
      <c r="C18" s="327"/>
      <c r="D18" s="328"/>
      <c r="E18" s="327"/>
      <c r="F18" s="327"/>
      <c r="G18" s="329">
        <f>G15+G17</f>
        <v>69014.73000000001</v>
      </c>
      <c r="H18" s="329">
        <f t="shared" ref="H18:R18" si="3">H15+H17</f>
        <v>59052.78</v>
      </c>
      <c r="I18" s="329">
        <f t="shared" si="3"/>
        <v>65238.149999999994</v>
      </c>
      <c r="J18" s="329">
        <f t="shared" si="3"/>
        <v>64125.56</v>
      </c>
      <c r="K18" s="329">
        <f t="shared" si="3"/>
        <v>63701.709999999992</v>
      </c>
      <c r="L18" s="329">
        <f t="shared" si="3"/>
        <v>55065.619999999995</v>
      </c>
      <c r="M18" s="329">
        <f t="shared" si="3"/>
        <v>67112.87</v>
      </c>
      <c r="N18" s="329">
        <f t="shared" si="3"/>
        <v>67395.429999999993</v>
      </c>
      <c r="O18" s="329">
        <f t="shared" si="3"/>
        <v>57569.51999999999</v>
      </c>
      <c r="P18" s="329">
        <f t="shared" si="3"/>
        <v>65774.63</v>
      </c>
      <c r="Q18" s="329">
        <f t="shared" si="3"/>
        <v>63351.94</v>
      </c>
      <c r="R18" s="329">
        <f t="shared" si="3"/>
        <v>63782.239999999991</v>
      </c>
      <c r="S18" s="331">
        <f>S15+S17</f>
        <v>761185.1799999997</v>
      </c>
    </row>
    <row r="19" spans="1:19">
      <c r="A19" s="243">
        <f>+A17+1</f>
        <v>8</v>
      </c>
      <c r="B19" s="258" t="s">
        <v>581</v>
      </c>
      <c r="C19" s="224">
        <v>1310</v>
      </c>
      <c r="D19" s="201">
        <v>5230</v>
      </c>
      <c r="E19" s="224">
        <v>4081</v>
      </c>
      <c r="F19" s="224">
        <v>40801</v>
      </c>
      <c r="G19" s="250">
        <v>920</v>
      </c>
      <c r="H19" s="250">
        <v>920</v>
      </c>
      <c r="I19" s="250">
        <v>920</v>
      </c>
      <c r="J19" s="250">
        <v>920</v>
      </c>
      <c r="K19" s="250">
        <v>920</v>
      </c>
      <c r="L19" s="250">
        <v>920</v>
      </c>
      <c r="M19" s="250">
        <v>920</v>
      </c>
      <c r="N19" s="250">
        <v>920</v>
      </c>
      <c r="O19" s="250">
        <v>920</v>
      </c>
      <c r="P19" s="250">
        <v>920</v>
      </c>
      <c r="Q19" s="250">
        <v>920</v>
      </c>
      <c r="R19" s="250">
        <v>920</v>
      </c>
      <c r="S19" s="247">
        <f t="shared" si="1"/>
        <v>11040</v>
      </c>
    </row>
    <row r="20" spans="1:19">
      <c r="A20" s="243">
        <f t="shared" si="2"/>
        <v>9</v>
      </c>
      <c r="B20" s="258" t="s">
        <v>582</v>
      </c>
      <c r="C20" s="224">
        <v>1320</v>
      </c>
      <c r="D20" s="201">
        <v>5230</v>
      </c>
      <c r="E20" s="224">
        <v>4081</v>
      </c>
      <c r="F20" s="224">
        <v>40801</v>
      </c>
      <c r="G20" s="250">
        <v>1269</v>
      </c>
      <c r="H20" s="250">
        <v>1269</v>
      </c>
      <c r="I20" s="250">
        <v>1269</v>
      </c>
      <c r="J20" s="250">
        <v>1269</v>
      </c>
      <c r="K20" s="250">
        <v>1269</v>
      </c>
      <c r="L20" s="250">
        <v>1269</v>
      </c>
      <c r="M20" s="250">
        <v>1269</v>
      </c>
      <c r="N20" s="250">
        <v>1269</v>
      </c>
      <c r="O20" s="250">
        <v>1269</v>
      </c>
      <c r="P20" s="250">
        <v>1269</v>
      </c>
      <c r="Q20" s="250">
        <v>1269</v>
      </c>
      <c r="R20" s="250">
        <v>1269</v>
      </c>
      <c r="S20" s="247">
        <f t="shared" si="1"/>
        <v>15228</v>
      </c>
    </row>
    <row r="21" spans="1:19">
      <c r="A21" s="243">
        <f t="shared" si="2"/>
        <v>10</v>
      </c>
      <c r="B21" s="258" t="s">
        <v>583</v>
      </c>
      <c r="C21" s="224">
        <v>1330</v>
      </c>
      <c r="D21" s="201">
        <v>5230</v>
      </c>
      <c r="E21" s="224">
        <v>4081</v>
      </c>
      <c r="F21" s="224">
        <v>40801</v>
      </c>
      <c r="G21" s="250">
        <v>617</v>
      </c>
      <c r="H21" s="250">
        <v>617</v>
      </c>
      <c r="I21" s="250">
        <v>617</v>
      </c>
      <c r="J21" s="250">
        <v>617</v>
      </c>
      <c r="K21" s="250">
        <v>617</v>
      </c>
      <c r="L21" s="250">
        <v>617</v>
      </c>
      <c r="M21" s="250">
        <v>617</v>
      </c>
      <c r="N21" s="250">
        <v>617</v>
      </c>
      <c r="O21" s="250">
        <v>617</v>
      </c>
      <c r="P21" s="250">
        <v>617</v>
      </c>
      <c r="Q21" s="250">
        <v>617</v>
      </c>
      <c r="R21" s="250">
        <v>617</v>
      </c>
      <c r="S21" s="247">
        <f t="shared" si="1"/>
        <v>7404</v>
      </c>
    </row>
    <row r="22" spans="1:19">
      <c r="A22" s="243">
        <f t="shared" si="2"/>
        <v>11</v>
      </c>
      <c r="B22" s="258" t="s">
        <v>584</v>
      </c>
      <c r="C22" s="224">
        <v>1340</v>
      </c>
      <c r="D22" s="201">
        <v>5230</v>
      </c>
      <c r="E22" s="224">
        <v>4081</v>
      </c>
      <c r="F22" s="224">
        <v>40801</v>
      </c>
      <c r="G22" s="250">
        <v>1271</v>
      </c>
      <c r="H22" s="250">
        <v>1271</v>
      </c>
      <c r="I22" s="250">
        <v>1271</v>
      </c>
      <c r="J22" s="250">
        <v>1271</v>
      </c>
      <c r="K22" s="250">
        <v>1271</v>
      </c>
      <c r="L22" s="250">
        <v>1271</v>
      </c>
      <c r="M22" s="250">
        <v>1271</v>
      </c>
      <c r="N22" s="250">
        <v>1271</v>
      </c>
      <c r="O22" s="250">
        <v>1271</v>
      </c>
      <c r="P22" s="250">
        <v>1271</v>
      </c>
      <c r="Q22" s="250">
        <v>1271</v>
      </c>
      <c r="R22" s="250">
        <v>1271</v>
      </c>
      <c r="S22" s="247">
        <f t="shared" si="1"/>
        <v>15252</v>
      </c>
    </row>
    <row r="23" spans="1:19">
      <c r="A23" s="243">
        <f t="shared" si="2"/>
        <v>12</v>
      </c>
      <c r="B23" s="258" t="s">
        <v>585</v>
      </c>
      <c r="C23" s="224">
        <v>1350</v>
      </c>
      <c r="D23" s="201">
        <v>5230</v>
      </c>
      <c r="E23" s="224">
        <v>4081</v>
      </c>
      <c r="F23" s="224">
        <v>40801</v>
      </c>
      <c r="G23" s="250">
        <v>924</v>
      </c>
      <c r="H23" s="250">
        <v>924</v>
      </c>
      <c r="I23" s="250">
        <v>924</v>
      </c>
      <c r="J23" s="250">
        <v>924</v>
      </c>
      <c r="K23" s="250">
        <v>924</v>
      </c>
      <c r="L23" s="250">
        <v>924</v>
      </c>
      <c r="M23" s="250">
        <v>924</v>
      </c>
      <c r="N23" s="250">
        <v>924</v>
      </c>
      <c r="O23" s="250">
        <v>924</v>
      </c>
      <c r="P23" s="250">
        <v>924</v>
      </c>
      <c r="Q23" s="250">
        <v>924</v>
      </c>
      <c r="R23" s="250">
        <v>924</v>
      </c>
      <c r="S23" s="247">
        <f t="shared" si="1"/>
        <v>11088</v>
      </c>
    </row>
    <row r="24" spans="1:19">
      <c r="A24" s="243">
        <f t="shared" si="2"/>
        <v>13</v>
      </c>
      <c r="B24" s="258" t="s">
        <v>586</v>
      </c>
      <c r="C24" s="224">
        <v>1380</v>
      </c>
      <c r="D24" s="201">
        <v>5230</v>
      </c>
      <c r="E24" s="224">
        <v>4081</v>
      </c>
      <c r="F24" s="224">
        <v>40801</v>
      </c>
      <c r="G24" s="250">
        <v>881</v>
      </c>
      <c r="H24" s="250">
        <v>881</v>
      </c>
      <c r="I24" s="250">
        <v>881</v>
      </c>
      <c r="J24" s="250">
        <v>881</v>
      </c>
      <c r="K24" s="250">
        <v>881</v>
      </c>
      <c r="L24" s="250">
        <v>881</v>
      </c>
      <c r="M24" s="250">
        <v>881</v>
      </c>
      <c r="N24" s="250">
        <v>881</v>
      </c>
      <c r="O24" s="250">
        <v>881</v>
      </c>
      <c r="P24" s="250">
        <v>881</v>
      </c>
      <c r="Q24" s="250">
        <v>881</v>
      </c>
      <c r="R24" s="250">
        <v>881</v>
      </c>
      <c r="S24" s="247">
        <f t="shared" si="1"/>
        <v>10572</v>
      </c>
    </row>
    <row r="25" spans="1:19">
      <c r="A25" s="243">
        <f t="shared" si="2"/>
        <v>14</v>
      </c>
      <c r="B25" s="258" t="s">
        <v>587</v>
      </c>
      <c r="C25" s="224">
        <v>1400</v>
      </c>
      <c r="D25" s="201">
        <v>5230</v>
      </c>
      <c r="E25" s="224">
        <v>4081</v>
      </c>
      <c r="F25" s="224">
        <v>40801</v>
      </c>
      <c r="G25" s="250">
        <v>2215</v>
      </c>
      <c r="H25" s="250">
        <v>2215</v>
      </c>
      <c r="I25" s="250">
        <v>2215</v>
      </c>
      <c r="J25" s="250">
        <v>2215</v>
      </c>
      <c r="K25" s="250">
        <v>2215</v>
      </c>
      <c r="L25" s="250">
        <v>2215</v>
      </c>
      <c r="M25" s="250">
        <v>2215</v>
      </c>
      <c r="N25" s="250">
        <v>2215</v>
      </c>
      <c r="O25" s="250">
        <v>2215</v>
      </c>
      <c r="P25" s="250">
        <v>2215</v>
      </c>
      <c r="Q25" s="250">
        <v>2215</v>
      </c>
      <c r="R25" s="250">
        <v>2215</v>
      </c>
      <c r="S25" s="247">
        <f t="shared" si="1"/>
        <v>26580</v>
      </c>
    </row>
    <row r="26" spans="1:19">
      <c r="A26" s="243">
        <f t="shared" si="2"/>
        <v>15</v>
      </c>
      <c r="B26" s="258" t="s">
        <v>588</v>
      </c>
      <c r="C26" s="224">
        <v>1410</v>
      </c>
      <c r="D26" s="201">
        <v>5230</v>
      </c>
      <c r="E26" s="224">
        <v>4081</v>
      </c>
      <c r="F26" s="224">
        <v>40801</v>
      </c>
      <c r="G26" s="250">
        <v>2647</v>
      </c>
      <c r="H26" s="250">
        <v>2647</v>
      </c>
      <c r="I26" s="250">
        <v>2647</v>
      </c>
      <c r="J26" s="250">
        <v>2647</v>
      </c>
      <c r="K26" s="250">
        <v>2647</v>
      </c>
      <c r="L26" s="250">
        <v>2647</v>
      </c>
      <c r="M26" s="250">
        <v>2647</v>
      </c>
      <c r="N26" s="250">
        <v>2647</v>
      </c>
      <c r="O26" s="250">
        <v>2647</v>
      </c>
      <c r="P26" s="250">
        <v>2647</v>
      </c>
      <c r="Q26" s="250">
        <v>2647</v>
      </c>
      <c r="R26" s="250">
        <v>2647</v>
      </c>
      <c r="S26" s="247">
        <f t="shared" si="1"/>
        <v>31764</v>
      </c>
    </row>
    <row r="27" spans="1:19">
      <c r="A27" s="243">
        <f t="shared" si="2"/>
        <v>16</v>
      </c>
      <c r="B27" s="258" t="s">
        <v>589</v>
      </c>
      <c r="C27" s="224">
        <v>1420</v>
      </c>
      <c r="D27" s="201">
        <v>5230</v>
      </c>
      <c r="E27" s="224">
        <v>4081</v>
      </c>
      <c r="F27" s="224">
        <v>40801</v>
      </c>
      <c r="G27" s="250">
        <v>3025</v>
      </c>
      <c r="H27" s="250">
        <v>3025</v>
      </c>
      <c r="I27" s="250">
        <v>3025</v>
      </c>
      <c r="J27" s="250">
        <v>3025</v>
      </c>
      <c r="K27" s="250">
        <v>3025</v>
      </c>
      <c r="L27" s="250">
        <v>3025</v>
      </c>
      <c r="M27" s="250">
        <v>3025</v>
      </c>
      <c r="N27" s="250">
        <v>3025</v>
      </c>
      <c r="O27" s="250">
        <v>3025</v>
      </c>
      <c r="P27" s="250">
        <v>3025</v>
      </c>
      <c r="Q27" s="250">
        <v>3025</v>
      </c>
      <c r="R27" s="250">
        <v>3025</v>
      </c>
      <c r="S27" s="247">
        <f t="shared" si="1"/>
        <v>36300</v>
      </c>
    </row>
    <row r="28" spans="1:19">
      <c r="A28" s="243">
        <f t="shared" si="2"/>
        <v>17</v>
      </c>
      <c r="B28" s="258" t="s">
        <v>590</v>
      </c>
      <c r="C28" s="224">
        <v>1430</v>
      </c>
      <c r="D28" s="201">
        <v>5230</v>
      </c>
      <c r="E28" s="224">
        <v>4081</v>
      </c>
      <c r="F28" s="224">
        <v>40801</v>
      </c>
      <c r="G28" s="250">
        <v>934</v>
      </c>
      <c r="H28" s="250">
        <v>934</v>
      </c>
      <c r="I28" s="250">
        <v>934</v>
      </c>
      <c r="J28" s="250">
        <v>934</v>
      </c>
      <c r="K28" s="250">
        <v>934</v>
      </c>
      <c r="L28" s="250">
        <v>934</v>
      </c>
      <c r="M28" s="250">
        <v>934</v>
      </c>
      <c r="N28" s="250">
        <v>934</v>
      </c>
      <c r="O28" s="250">
        <v>934</v>
      </c>
      <c r="P28" s="250">
        <v>934</v>
      </c>
      <c r="Q28" s="250">
        <v>934</v>
      </c>
      <c r="R28" s="250">
        <v>934</v>
      </c>
      <c r="S28" s="247">
        <f t="shared" si="1"/>
        <v>11208</v>
      </c>
    </row>
    <row r="29" spans="1:19">
      <c r="A29" s="243">
        <f t="shared" si="2"/>
        <v>18</v>
      </c>
      <c r="B29" s="258" t="s">
        <v>591</v>
      </c>
      <c r="C29" s="224">
        <v>1440</v>
      </c>
      <c r="D29" s="201">
        <v>5230</v>
      </c>
      <c r="E29" s="224">
        <v>4081</v>
      </c>
      <c r="F29" s="224">
        <v>40801</v>
      </c>
      <c r="G29" s="250">
        <v>4620</v>
      </c>
      <c r="H29" s="250">
        <v>4620</v>
      </c>
      <c r="I29" s="250">
        <v>4620</v>
      </c>
      <c r="J29" s="250">
        <v>4620</v>
      </c>
      <c r="K29" s="250">
        <v>4620</v>
      </c>
      <c r="L29" s="250">
        <v>4620</v>
      </c>
      <c r="M29" s="250">
        <v>4620</v>
      </c>
      <c r="N29" s="250">
        <v>4620</v>
      </c>
      <c r="O29" s="250">
        <v>4620</v>
      </c>
      <c r="P29" s="250">
        <v>4620</v>
      </c>
      <c r="Q29" s="250">
        <v>4620</v>
      </c>
      <c r="R29" s="250">
        <v>4620</v>
      </c>
      <c r="S29" s="247">
        <f t="shared" si="1"/>
        <v>55440</v>
      </c>
    </row>
    <row r="30" spans="1:19" ht="15" customHeight="1">
      <c r="A30" s="243">
        <f t="shared" si="2"/>
        <v>19</v>
      </c>
      <c r="B30" s="258" t="s">
        <v>592</v>
      </c>
      <c r="C30" s="224">
        <v>1600</v>
      </c>
      <c r="D30" s="201">
        <v>5230</v>
      </c>
      <c r="E30" s="224">
        <v>4081</v>
      </c>
      <c r="F30" s="224">
        <v>40801</v>
      </c>
      <c r="G30" s="250">
        <v>26835</v>
      </c>
      <c r="H30" s="250">
        <v>26835</v>
      </c>
      <c r="I30" s="250">
        <v>26835</v>
      </c>
      <c r="J30" s="250">
        <v>26835</v>
      </c>
      <c r="K30" s="250">
        <v>26835</v>
      </c>
      <c r="L30" s="250">
        <v>26835</v>
      </c>
      <c r="M30" s="250">
        <v>10665</v>
      </c>
      <c r="N30" s="250">
        <v>10665</v>
      </c>
      <c r="O30" s="250">
        <v>10665</v>
      </c>
      <c r="P30" s="250">
        <v>10665</v>
      </c>
      <c r="Q30" s="250">
        <v>10665</v>
      </c>
      <c r="R30" s="250">
        <v>10665</v>
      </c>
      <c r="S30" s="247">
        <f t="shared" si="1"/>
        <v>225000</v>
      </c>
    </row>
    <row r="31" spans="1:19" ht="14.25" customHeight="1">
      <c r="A31" s="243">
        <f t="shared" si="2"/>
        <v>20</v>
      </c>
      <c r="B31" s="258" t="s">
        <v>593</v>
      </c>
      <c r="C31" s="224">
        <v>1610</v>
      </c>
      <c r="D31" s="201">
        <v>5230</v>
      </c>
      <c r="E31" s="224">
        <v>4081</v>
      </c>
      <c r="F31" s="224">
        <v>40801</v>
      </c>
      <c r="G31" s="250">
        <v>39611</v>
      </c>
      <c r="H31" s="250">
        <v>39611</v>
      </c>
      <c r="I31" s="250">
        <v>39611</v>
      </c>
      <c r="J31" s="250">
        <v>39611</v>
      </c>
      <c r="K31" s="250">
        <v>39611</v>
      </c>
      <c r="L31" s="250">
        <v>39611</v>
      </c>
      <c r="M31" s="250">
        <v>22056</v>
      </c>
      <c r="N31" s="250">
        <v>22056</v>
      </c>
      <c r="O31" s="250">
        <v>22056</v>
      </c>
      <c r="P31" s="250">
        <v>22056</v>
      </c>
      <c r="Q31" s="250">
        <v>22056</v>
      </c>
      <c r="R31" s="250">
        <v>22056</v>
      </c>
      <c r="S31" s="247">
        <f t="shared" si="1"/>
        <v>370002</v>
      </c>
    </row>
    <row r="32" spans="1:19">
      <c r="A32" s="243">
        <f t="shared" si="2"/>
        <v>21</v>
      </c>
      <c r="B32" s="258" t="s">
        <v>594</v>
      </c>
      <c r="C32" s="224">
        <v>1620</v>
      </c>
      <c r="D32" s="201">
        <v>5230</v>
      </c>
      <c r="E32" s="224">
        <v>4081</v>
      </c>
      <c r="F32" s="224">
        <v>40801</v>
      </c>
      <c r="G32" s="250">
        <v>51322</v>
      </c>
      <c r="H32" s="250">
        <v>51322</v>
      </c>
      <c r="I32" s="250">
        <v>51322</v>
      </c>
      <c r="J32" s="250">
        <v>51322</v>
      </c>
      <c r="K32" s="250">
        <v>51322</v>
      </c>
      <c r="L32" s="250">
        <v>51322</v>
      </c>
      <c r="M32" s="250">
        <v>-9655</v>
      </c>
      <c r="N32" s="250">
        <v>-9655</v>
      </c>
      <c r="O32" s="250">
        <v>-9655</v>
      </c>
      <c r="P32" s="250">
        <v>-9655</v>
      </c>
      <c r="Q32" s="250">
        <v>-9655</v>
      </c>
      <c r="R32" s="250">
        <v>-9655</v>
      </c>
      <c r="S32" s="247">
        <f t="shared" si="1"/>
        <v>250002</v>
      </c>
    </row>
    <row r="33" spans="1:19">
      <c r="A33" s="243">
        <f t="shared" si="2"/>
        <v>22</v>
      </c>
      <c r="B33" s="258" t="s">
        <v>595</v>
      </c>
      <c r="C33" s="259">
        <v>1980</v>
      </c>
      <c r="D33" s="201">
        <v>5230</v>
      </c>
      <c r="E33" s="224">
        <v>4081</v>
      </c>
      <c r="F33" s="224">
        <v>40801</v>
      </c>
      <c r="G33" s="250">
        <v>0</v>
      </c>
      <c r="H33" s="250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47">
        <f t="shared" si="1"/>
        <v>0</v>
      </c>
    </row>
    <row r="34" spans="1:19">
      <c r="A34" s="243">
        <f t="shared" si="2"/>
        <v>23</v>
      </c>
      <c r="B34" s="258" t="s">
        <v>596</v>
      </c>
      <c r="C34" s="224">
        <v>1990</v>
      </c>
      <c r="D34" s="201">
        <v>5230</v>
      </c>
      <c r="E34" s="224">
        <v>4081</v>
      </c>
      <c r="F34" s="224">
        <v>40801</v>
      </c>
      <c r="G34" s="250">
        <v>995</v>
      </c>
      <c r="H34" s="250">
        <v>995</v>
      </c>
      <c r="I34" s="250">
        <v>995</v>
      </c>
      <c r="J34" s="250">
        <v>995</v>
      </c>
      <c r="K34" s="250">
        <v>995</v>
      </c>
      <c r="L34" s="250">
        <v>995</v>
      </c>
      <c r="M34" s="250">
        <v>995</v>
      </c>
      <c r="N34" s="250">
        <v>995</v>
      </c>
      <c r="O34" s="250">
        <v>995</v>
      </c>
      <c r="P34" s="250">
        <v>995</v>
      </c>
      <c r="Q34" s="250">
        <v>995</v>
      </c>
      <c r="R34" s="250">
        <v>995</v>
      </c>
      <c r="S34" s="247">
        <f t="shared" si="1"/>
        <v>11940</v>
      </c>
    </row>
    <row r="35" spans="1:19">
      <c r="A35" s="243">
        <f t="shared" si="2"/>
        <v>24</v>
      </c>
      <c r="B35" s="240" t="s">
        <v>430</v>
      </c>
      <c r="C35" s="246"/>
      <c r="D35" s="201"/>
      <c r="E35" s="201"/>
      <c r="G35" s="286">
        <f t="shared" ref="G35:R35" si="4">SUM(G12:G14)+G18+SUM(G19:G34)</f>
        <v>806484.73</v>
      </c>
      <c r="H35" s="286">
        <f t="shared" si="4"/>
        <v>796522.78</v>
      </c>
      <c r="I35" s="286">
        <f t="shared" si="4"/>
        <v>802708.15</v>
      </c>
      <c r="J35" s="286">
        <f t="shared" si="4"/>
        <v>801595.56</v>
      </c>
      <c r="K35" s="286">
        <f t="shared" si="4"/>
        <v>801171.71</v>
      </c>
      <c r="L35" s="286">
        <f t="shared" si="4"/>
        <v>810734.62</v>
      </c>
      <c r="M35" s="286">
        <f t="shared" si="4"/>
        <v>869007.87</v>
      </c>
      <c r="N35" s="286">
        <f t="shared" si="4"/>
        <v>869290.42999999993</v>
      </c>
      <c r="O35" s="286">
        <f t="shared" si="4"/>
        <v>859217.52</v>
      </c>
      <c r="P35" s="286">
        <f t="shared" si="4"/>
        <v>867958.63</v>
      </c>
      <c r="Q35" s="286">
        <f t="shared" si="4"/>
        <v>1063802.94</v>
      </c>
      <c r="R35" s="286">
        <f t="shared" si="4"/>
        <v>828197.24</v>
      </c>
      <c r="S35" s="453">
        <f>SUM(S12:S14)+S16+S18+SUM(S19:S34)</f>
        <v>10184876.18</v>
      </c>
    </row>
    <row r="36" spans="1:19">
      <c r="A36" s="243">
        <f t="shared" si="2"/>
        <v>25</v>
      </c>
      <c r="B36" s="483" t="s">
        <v>470</v>
      </c>
      <c r="C36" s="246"/>
      <c r="D36" s="201"/>
      <c r="E36" s="201"/>
      <c r="F36" s="240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96">
        <f>S18</f>
        <v>761185.1799999997</v>
      </c>
    </row>
    <row r="37" spans="1:19" ht="15.75" thickBot="1">
      <c r="A37" s="243">
        <f t="shared" si="2"/>
        <v>26</v>
      </c>
      <c r="B37" s="478" t="s">
        <v>471</v>
      </c>
      <c r="C37" s="246"/>
      <c r="D37" s="201"/>
      <c r="E37" s="201"/>
      <c r="F37" s="240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97">
        <f>+S35-S36</f>
        <v>9423691</v>
      </c>
    </row>
    <row r="38" spans="1:19" ht="15.75" thickTop="1">
      <c r="A38" s="244"/>
      <c r="B38" s="235"/>
      <c r="C38" s="248"/>
      <c r="D38" s="248"/>
      <c r="E38" s="248"/>
      <c r="F38" s="248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7"/>
    </row>
    <row r="39" spans="1:19">
      <c r="A39" s="246"/>
      <c r="B39" s="479"/>
      <c r="C39" s="246"/>
      <c r="D39" s="246"/>
      <c r="E39" s="246"/>
      <c r="F39" s="246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</row>
  </sheetData>
  <mergeCells count="3">
    <mergeCell ref="A3:S3"/>
    <mergeCell ref="A4:S4"/>
    <mergeCell ref="A5:S5"/>
  </mergeCells>
  <printOptions horizontalCentered="1"/>
  <pageMargins left="0.75" right="0.75" top="0.75" bottom="0.75" header="0.5" footer="0.5"/>
  <pageSetup scale="59" orientation="landscape" r:id="rId1"/>
  <headerFooter>
    <oddHeader>&amp;R&amp;"Arial,Regular"&amp;10Attachment O Work Paper
Page 14 of 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Sheet11"/>
  <dimension ref="A1:C21"/>
  <sheetViews>
    <sheetView showGridLines="0" zoomScaleNormal="100" workbookViewId="0">
      <selection activeCell="C23" sqref="C23"/>
    </sheetView>
  </sheetViews>
  <sheetFormatPr defaultColWidth="11.77734375" defaultRowHeight="12.75"/>
  <cols>
    <col min="1" max="1" width="3.44140625" style="32" bestFit="1" customWidth="1"/>
    <col min="2" max="2" width="29.21875" style="34" customWidth="1"/>
    <col min="3" max="3" width="11.77734375" style="34" customWidth="1"/>
    <col min="4" max="250" width="8.88671875" style="34" customWidth="1"/>
    <col min="251" max="251" width="3.44140625" style="34" bestFit="1" customWidth="1"/>
    <col min="252" max="252" width="29.21875" style="34" customWidth="1"/>
    <col min="253" max="16384" width="11.77734375" style="34"/>
  </cols>
  <sheetData>
    <row r="1" spans="1:3">
      <c r="B1" s="33"/>
      <c r="C1" s="35"/>
    </row>
    <row r="2" spans="1:3">
      <c r="B2" s="36"/>
      <c r="C2" s="35"/>
    </row>
    <row r="3" spans="1:3" ht="12.75" customHeight="1">
      <c r="A3" s="798" t="s">
        <v>0</v>
      </c>
      <c r="B3" s="799"/>
      <c r="C3" s="799"/>
    </row>
    <row r="4" spans="1:3" ht="12.75" customHeight="1">
      <c r="A4" s="798" t="s">
        <v>332</v>
      </c>
      <c r="B4" s="799"/>
      <c r="C4" s="799"/>
    </row>
    <row r="5" spans="1:3" ht="12.75" customHeight="1">
      <c r="A5" s="800" t="s">
        <v>560</v>
      </c>
      <c r="B5" s="800"/>
      <c r="C5" s="800"/>
    </row>
    <row r="6" spans="1:3">
      <c r="B6" s="38"/>
      <c r="C6" s="39"/>
    </row>
    <row r="7" spans="1:3">
      <c r="B7" s="40" t="s">
        <v>2</v>
      </c>
      <c r="C7" s="32" t="s">
        <v>3</v>
      </c>
    </row>
    <row r="8" spans="1:3">
      <c r="C8" s="37"/>
    </row>
    <row r="9" spans="1:3" ht="25.5">
      <c r="A9" s="41" t="s">
        <v>37</v>
      </c>
      <c r="B9" s="42" t="s">
        <v>332</v>
      </c>
      <c r="C9" s="43" t="s">
        <v>333</v>
      </c>
    </row>
    <row r="10" spans="1:3">
      <c r="A10" s="44">
        <v>1</v>
      </c>
      <c r="B10" s="55" t="s">
        <v>334</v>
      </c>
      <c r="C10" s="48">
        <v>854924</v>
      </c>
    </row>
    <row r="11" spans="1:3">
      <c r="A11" s="44">
        <f>A10+1</f>
        <v>2</v>
      </c>
      <c r="B11" s="47"/>
      <c r="C11" s="48"/>
    </row>
    <row r="12" spans="1:3">
      <c r="A12" s="44">
        <f>A11+1</f>
        <v>3</v>
      </c>
      <c r="B12" s="47" t="s">
        <v>335</v>
      </c>
      <c r="C12" s="52">
        <v>1531124</v>
      </c>
    </row>
    <row r="13" spans="1:3">
      <c r="A13" s="44">
        <f>A12+1</f>
        <v>4</v>
      </c>
      <c r="B13" s="47"/>
      <c r="C13" s="49"/>
    </row>
    <row r="14" spans="1:3" ht="13.5" thickBot="1">
      <c r="A14" s="44">
        <f>A13+1</f>
        <v>5</v>
      </c>
      <c r="B14" s="45" t="s">
        <v>15</v>
      </c>
      <c r="C14" s="282">
        <f>+C10+C12</f>
        <v>2386048</v>
      </c>
    </row>
    <row r="15" spans="1:3" ht="13.5" thickTop="1">
      <c r="A15" s="50"/>
      <c r="B15" s="51"/>
      <c r="C15" s="52"/>
    </row>
    <row r="16" spans="1:3">
      <c r="A16" s="34"/>
      <c r="C16" s="53"/>
    </row>
    <row r="17" spans="3:3">
      <c r="C17" s="46"/>
    </row>
    <row r="19" spans="3:3">
      <c r="C19" s="46"/>
    </row>
    <row r="20" spans="3:3">
      <c r="C20" s="46"/>
    </row>
    <row r="21" spans="3:3">
      <c r="C21" s="46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15 of 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28"/>
  <sheetViews>
    <sheetView showGridLines="0" workbookViewId="0">
      <pane xSplit="1" ySplit="9" topLeftCell="B109" activePane="bottomRight" state="frozen"/>
      <selection pane="topRight" activeCell="B1" sqref="B1"/>
      <selection pane="bottomLeft" activeCell="A10" sqref="A10"/>
      <selection pane="bottomRight" activeCell="A2" sqref="A2:L2"/>
    </sheetView>
  </sheetViews>
  <sheetFormatPr defaultRowHeight="12.75"/>
  <cols>
    <col min="1" max="1" width="3.44140625" style="239" bestFit="1" customWidth="1"/>
    <col min="2" max="10" width="6.77734375" style="239" customWidth="1"/>
    <col min="11" max="11" width="35.44140625" style="239" customWidth="1"/>
    <col min="12" max="12" width="10" style="225" bestFit="1" customWidth="1"/>
    <col min="13" max="13" width="2.44140625" style="225" bestFit="1" customWidth="1"/>
    <col min="14" max="14" width="10" style="225" bestFit="1" customWidth="1"/>
    <col min="15" max="16384" width="8.88671875" style="225"/>
  </cols>
  <sheetData>
    <row r="2" spans="1:14">
      <c r="A2" s="798" t="s">
        <v>0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</row>
    <row r="3" spans="1:14">
      <c r="A3" s="798" t="s">
        <v>457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</row>
    <row r="4" spans="1:14">
      <c r="A4" s="800" t="s">
        <v>560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</row>
    <row r="6" spans="1:14">
      <c r="B6" s="238" t="s">
        <v>2</v>
      </c>
      <c r="C6" s="239" t="s">
        <v>3</v>
      </c>
      <c r="D6" s="239" t="s">
        <v>4</v>
      </c>
      <c r="E6" s="239" t="s">
        <v>5</v>
      </c>
      <c r="F6" s="239" t="s">
        <v>6</v>
      </c>
      <c r="G6" s="239" t="s">
        <v>8</v>
      </c>
      <c r="H6" s="239" t="s">
        <v>7</v>
      </c>
      <c r="I6" s="239" t="s">
        <v>29</v>
      </c>
      <c r="J6" s="239" t="s">
        <v>30</v>
      </c>
      <c r="L6" s="239" t="s">
        <v>31</v>
      </c>
    </row>
    <row r="8" spans="1:14">
      <c r="A8" s="242" t="s">
        <v>9</v>
      </c>
      <c r="B8" s="245"/>
      <c r="C8" s="251"/>
      <c r="D8" s="251"/>
      <c r="E8" s="251"/>
      <c r="F8" s="251"/>
      <c r="G8" s="251"/>
      <c r="H8" s="251"/>
      <c r="I8" s="251"/>
      <c r="J8" s="251"/>
      <c r="K8" s="251"/>
      <c r="L8" s="281"/>
    </row>
    <row r="9" spans="1:14">
      <c r="A9" s="244" t="s">
        <v>10</v>
      </c>
      <c r="B9" s="267" t="s">
        <v>444</v>
      </c>
      <c r="C9" s="268" t="s">
        <v>448</v>
      </c>
      <c r="D9" s="268" t="s">
        <v>379</v>
      </c>
      <c r="E9" s="268" t="s">
        <v>380</v>
      </c>
      <c r="F9" s="268" t="s">
        <v>445</v>
      </c>
      <c r="G9" s="268" t="s">
        <v>381</v>
      </c>
      <c r="H9" s="268" t="s">
        <v>446</v>
      </c>
      <c r="I9" s="268" t="s">
        <v>447</v>
      </c>
      <c r="J9" s="268" t="s">
        <v>32</v>
      </c>
      <c r="K9" s="268"/>
      <c r="L9" s="269" t="s">
        <v>15</v>
      </c>
    </row>
    <row r="10" spans="1:14">
      <c r="A10" s="242">
        <v>1</v>
      </c>
      <c r="B10" s="261">
        <v>2011</v>
      </c>
      <c r="C10" s="262" t="s">
        <v>384</v>
      </c>
      <c r="D10" s="262" t="s">
        <v>434</v>
      </c>
      <c r="E10" s="262" t="s">
        <v>431</v>
      </c>
      <c r="F10" s="262" t="s">
        <v>392</v>
      </c>
      <c r="G10" s="262" t="s">
        <v>393</v>
      </c>
      <c r="H10" s="262" t="s">
        <v>397</v>
      </c>
      <c r="I10" s="262">
        <v>100360</v>
      </c>
      <c r="J10" s="264">
        <v>56101</v>
      </c>
      <c r="K10" s="264" t="str">
        <f t="shared" ref="K10:K16" si="0">CONCATENATE(D10,".",E10,".",F10,".",G10,".",H10,".",I10,".",J10)</f>
        <v>020.0360.5100.1100.0520.100360.56101</v>
      </c>
      <c r="L10" s="270">
        <v>59122.5</v>
      </c>
    </row>
    <row r="11" spans="1:14">
      <c r="A11" s="243">
        <f>+A10+1</f>
        <v>2</v>
      </c>
      <c r="B11" s="263">
        <v>2011</v>
      </c>
      <c r="C11" s="264" t="s">
        <v>384</v>
      </c>
      <c r="D11" s="264" t="s">
        <v>434</v>
      </c>
      <c r="E11" s="264" t="s">
        <v>431</v>
      </c>
      <c r="F11" s="264" t="s">
        <v>392</v>
      </c>
      <c r="G11" s="264" t="s">
        <v>393</v>
      </c>
      <c r="H11" s="264" t="s">
        <v>433</v>
      </c>
      <c r="I11" s="264">
        <v>100360</v>
      </c>
      <c r="J11" s="264">
        <v>56101</v>
      </c>
      <c r="K11" s="264" t="str">
        <f t="shared" si="0"/>
        <v>020.0360.5100.1100.0530.100360.56101</v>
      </c>
      <c r="L11" s="271">
        <v>0</v>
      </c>
    </row>
    <row r="12" spans="1:14">
      <c r="A12" s="243">
        <f t="shared" ref="A12:A26" si="1">+A11+1</f>
        <v>3</v>
      </c>
      <c r="B12" s="263">
        <v>2011</v>
      </c>
      <c r="C12" s="264" t="s">
        <v>384</v>
      </c>
      <c r="D12" s="264" t="s">
        <v>434</v>
      </c>
      <c r="E12" s="264" t="s">
        <v>431</v>
      </c>
      <c r="F12" s="264" t="s">
        <v>387</v>
      </c>
      <c r="G12" s="264">
        <v>2500</v>
      </c>
      <c r="H12" s="264" t="s">
        <v>397</v>
      </c>
      <c r="I12" s="264">
        <v>100360</v>
      </c>
      <c r="J12" s="264">
        <v>56101</v>
      </c>
      <c r="K12" s="264" t="str">
        <f t="shared" si="0"/>
        <v>020.0360.5101.2500.0520.100360.56101</v>
      </c>
      <c r="L12" s="271">
        <v>1039.83</v>
      </c>
    </row>
    <row r="13" spans="1:14">
      <c r="A13" s="243">
        <f t="shared" si="1"/>
        <v>4</v>
      </c>
      <c r="B13" s="263">
        <v>2011</v>
      </c>
      <c r="C13" s="264" t="s">
        <v>384</v>
      </c>
      <c r="D13" s="264" t="s">
        <v>434</v>
      </c>
      <c r="E13" s="264" t="s">
        <v>431</v>
      </c>
      <c r="F13" s="264" t="s">
        <v>387</v>
      </c>
      <c r="G13" s="264" t="s">
        <v>399</v>
      </c>
      <c r="H13" s="264" t="s">
        <v>397</v>
      </c>
      <c r="I13" s="264">
        <v>100360</v>
      </c>
      <c r="J13" s="264">
        <v>56101</v>
      </c>
      <c r="K13" s="264" t="str">
        <f t="shared" si="0"/>
        <v>020.0360.5101.2600.0520.100360.56101</v>
      </c>
      <c r="L13" s="271">
        <v>51.21</v>
      </c>
    </row>
    <row r="14" spans="1:14">
      <c r="A14" s="243">
        <f t="shared" si="1"/>
        <v>5</v>
      </c>
      <c r="B14" s="263">
        <v>2011</v>
      </c>
      <c r="C14" s="264" t="s">
        <v>384</v>
      </c>
      <c r="D14" s="264" t="s">
        <v>434</v>
      </c>
      <c r="E14" s="264" t="s">
        <v>431</v>
      </c>
      <c r="F14" s="264" t="s">
        <v>387</v>
      </c>
      <c r="G14" s="264">
        <v>2700</v>
      </c>
      <c r="H14" s="264" t="s">
        <v>397</v>
      </c>
      <c r="I14" s="264">
        <v>100360</v>
      </c>
      <c r="J14" s="264">
        <v>56101</v>
      </c>
      <c r="K14" s="264" t="str">
        <f t="shared" si="0"/>
        <v>020.0360.5101.2700.0520.100360.56101</v>
      </c>
      <c r="L14" s="271">
        <v>0</v>
      </c>
    </row>
    <row r="15" spans="1:14">
      <c r="A15" s="243">
        <f t="shared" si="1"/>
        <v>6</v>
      </c>
      <c r="B15" s="263">
        <v>2011</v>
      </c>
      <c r="C15" s="264" t="s">
        <v>384</v>
      </c>
      <c r="D15" s="264" t="s">
        <v>434</v>
      </c>
      <c r="E15" s="264" t="s">
        <v>431</v>
      </c>
      <c r="F15" s="264">
        <v>5103</v>
      </c>
      <c r="G15" s="326" t="s">
        <v>402</v>
      </c>
      <c r="H15" s="326" t="s">
        <v>397</v>
      </c>
      <c r="I15" s="264">
        <v>100360</v>
      </c>
      <c r="J15" s="264">
        <v>56101</v>
      </c>
      <c r="K15" s="264" t="str">
        <f t="shared" si="0"/>
        <v>020.0360.5103.0000.0520.100360.56101</v>
      </c>
      <c r="L15" s="271">
        <v>685.8</v>
      </c>
      <c r="N15" s="274"/>
    </row>
    <row r="16" spans="1:14">
      <c r="A16" s="243">
        <f t="shared" si="1"/>
        <v>7</v>
      </c>
      <c r="B16" s="263">
        <v>2011</v>
      </c>
      <c r="C16" s="264" t="s">
        <v>384</v>
      </c>
      <c r="D16" s="264" t="s">
        <v>434</v>
      </c>
      <c r="E16" s="326" t="s">
        <v>504</v>
      </c>
      <c r="F16" s="264">
        <v>5100</v>
      </c>
      <c r="G16" s="326">
        <v>1100</v>
      </c>
      <c r="H16" s="326">
        <v>9999</v>
      </c>
      <c r="I16" s="326" t="s">
        <v>390</v>
      </c>
      <c r="J16" s="264">
        <v>56101</v>
      </c>
      <c r="K16" s="264" t="str">
        <f t="shared" si="0"/>
        <v>020.0960.5100.1100.9999.000000.56101</v>
      </c>
      <c r="L16" s="271">
        <v>-1260</v>
      </c>
      <c r="N16" s="274"/>
    </row>
    <row r="17" spans="1:15">
      <c r="A17" s="243">
        <f>A16+1</f>
        <v>8</v>
      </c>
      <c r="B17" s="263"/>
      <c r="C17" s="264"/>
      <c r="D17" s="264"/>
      <c r="E17" s="264"/>
      <c r="F17" s="264"/>
      <c r="G17" s="264"/>
      <c r="H17" s="264"/>
      <c r="I17" s="264"/>
      <c r="J17" s="264"/>
      <c r="K17" s="264"/>
      <c r="L17" s="270">
        <f>SUM(L10:L16)</f>
        <v>59639.340000000004</v>
      </c>
      <c r="N17" s="274"/>
    </row>
    <row r="18" spans="1:15">
      <c r="A18" s="243">
        <f t="shared" si="1"/>
        <v>9</v>
      </c>
      <c r="B18" s="263"/>
      <c r="C18" s="264"/>
      <c r="D18" s="264"/>
      <c r="E18" s="264"/>
      <c r="F18" s="264"/>
      <c r="G18" s="264"/>
      <c r="H18" s="264"/>
      <c r="I18" s="264"/>
      <c r="J18" s="264"/>
      <c r="K18" s="264"/>
      <c r="L18" s="265"/>
    </row>
    <row r="19" spans="1:15">
      <c r="A19" s="243">
        <f t="shared" si="1"/>
        <v>10</v>
      </c>
      <c r="B19" s="275">
        <v>2011</v>
      </c>
      <c r="C19" s="264" t="s">
        <v>384</v>
      </c>
      <c r="D19" s="264" t="s">
        <v>434</v>
      </c>
      <c r="E19" s="229" t="s">
        <v>606</v>
      </c>
      <c r="F19" s="456">
        <v>5100</v>
      </c>
      <c r="G19" s="456">
        <v>1110</v>
      </c>
      <c r="H19" s="460" t="s">
        <v>433</v>
      </c>
      <c r="I19" s="457">
        <v>104629</v>
      </c>
      <c r="J19" s="458">
        <v>56102</v>
      </c>
      <c r="K19" s="264" t="str">
        <f>CONCATENATE(D19,".",E19,".",F19,".",G19,".",H19,".",I19,".",J19)</f>
        <v>020.0260.5100.1110.0530.104629.56102</v>
      </c>
      <c r="L19" s="271">
        <v>485.78</v>
      </c>
      <c r="N19" s="274"/>
      <c r="O19" s="463"/>
    </row>
    <row r="20" spans="1:15">
      <c r="A20" s="243">
        <f t="shared" si="1"/>
        <v>11</v>
      </c>
      <c r="B20" s="275">
        <v>2011</v>
      </c>
      <c r="C20" s="264" t="s">
        <v>384</v>
      </c>
      <c r="D20" s="264" t="s">
        <v>434</v>
      </c>
      <c r="E20" s="229" t="s">
        <v>606</v>
      </c>
      <c r="F20" s="456">
        <v>5100</v>
      </c>
      <c r="G20" s="456">
        <v>2100</v>
      </c>
      <c r="H20" s="460" t="s">
        <v>600</v>
      </c>
      <c r="I20" s="459">
        <v>104629</v>
      </c>
      <c r="J20" s="458">
        <v>56102</v>
      </c>
      <c r="K20" s="264" t="str">
        <f t="shared" ref="K20:K82" si="2">CONCATENATE(D20,".",E20,".",F20,".",G20,".",H20,".",I20,".",J20)</f>
        <v>020.0260.5100.2100.0531.104629.56102</v>
      </c>
      <c r="L20" s="271">
        <v>-485.78</v>
      </c>
      <c r="N20" s="274"/>
      <c r="O20" s="463"/>
    </row>
    <row r="21" spans="1:15">
      <c r="A21" s="243">
        <f t="shared" si="1"/>
        <v>12</v>
      </c>
      <c r="B21" s="275">
        <v>2011</v>
      </c>
      <c r="C21" s="264" t="s">
        <v>384</v>
      </c>
      <c r="D21" s="264" t="s">
        <v>434</v>
      </c>
      <c r="E21" s="229" t="s">
        <v>607</v>
      </c>
      <c r="F21" s="456">
        <v>5100</v>
      </c>
      <c r="G21" s="456">
        <v>1110</v>
      </c>
      <c r="H21" s="460" t="s">
        <v>601</v>
      </c>
      <c r="I21" s="459">
        <v>100360</v>
      </c>
      <c r="J21" s="458">
        <v>56102</v>
      </c>
      <c r="K21" s="264" t="str">
        <f t="shared" si="2"/>
        <v>020.0300.5100.1110.0532.100360.56102</v>
      </c>
      <c r="L21" s="271">
        <v>21098.99</v>
      </c>
      <c r="N21" s="274"/>
      <c r="O21" s="463"/>
    </row>
    <row r="22" spans="1:15">
      <c r="A22" s="243">
        <f t="shared" si="1"/>
        <v>13</v>
      </c>
      <c r="B22" s="275">
        <v>2011</v>
      </c>
      <c r="C22" s="264" t="s">
        <v>384</v>
      </c>
      <c r="D22" s="264" t="s">
        <v>434</v>
      </c>
      <c r="E22" s="229" t="s">
        <v>607</v>
      </c>
      <c r="F22" s="456">
        <v>5100</v>
      </c>
      <c r="G22" s="456">
        <v>1110</v>
      </c>
      <c r="H22" s="460" t="s">
        <v>602</v>
      </c>
      <c r="I22" s="459">
        <v>104629</v>
      </c>
      <c r="J22" s="458">
        <v>56102</v>
      </c>
      <c r="K22" s="264" t="str">
        <f t="shared" si="2"/>
        <v>020.0300.5100.1110.0533.104629.56102</v>
      </c>
      <c r="L22" s="271">
        <v>573.74</v>
      </c>
      <c r="N22" s="274"/>
      <c r="O22" s="463"/>
    </row>
    <row r="23" spans="1:15">
      <c r="A23" s="243">
        <f t="shared" si="1"/>
        <v>14</v>
      </c>
      <c r="B23" s="275">
        <v>2011</v>
      </c>
      <c r="C23" s="264" t="s">
        <v>384</v>
      </c>
      <c r="D23" s="264" t="s">
        <v>434</v>
      </c>
      <c r="E23" s="229" t="s">
        <v>607</v>
      </c>
      <c r="F23" s="456">
        <v>5100</v>
      </c>
      <c r="G23" s="456">
        <v>2100</v>
      </c>
      <c r="H23" s="460" t="s">
        <v>603</v>
      </c>
      <c r="I23" s="459">
        <v>100360</v>
      </c>
      <c r="J23" s="458">
        <v>56102</v>
      </c>
      <c r="K23" s="264" t="str">
        <f t="shared" si="2"/>
        <v>020.0300.5100.2100.0534.100360.56102</v>
      </c>
      <c r="L23" s="271">
        <v>-21098.99</v>
      </c>
      <c r="N23" s="274"/>
      <c r="O23" s="463"/>
    </row>
    <row r="24" spans="1:15">
      <c r="A24" s="243">
        <f t="shared" si="1"/>
        <v>15</v>
      </c>
      <c r="B24" s="275">
        <v>2011</v>
      </c>
      <c r="C24" s="264" t="s">
        <v>384</v>
      </c>
      <c r="D24" s="264" t="s">
        <v>434</v>
      </c>
      <c r="E24" s="229" t="s">
        <v>607</v>
      </c>
      <c r="F24" s="456">
        <v>5100</v>
      </c>
      <c r="G24" s="456">
        <v>2100</v>
      </c>
      <c r="H24" s="460" t="s">
        <v>604</v>
      </c>
      <c r="I24" s="459">
        <v>104629</v>
      </c>
      <c r="J24" s="458">
        <v>56102</v>
      </c>
      <c r="K24" s="264" t="str">
        <f t="shared" si="2"/>
        <v>020.0300.5100.2100.0535.104629.56102</v>
      </c>
      <c r="L24" s="271">
        <v>-573.74</v>
      </c>
      <c r="N24" s="274"/>
      <c r="O24" s="463"/>
    </row>
    <row r="25" spans="1:15">
      <c r="A25" s="243">
        <f t="shared" si="1"/>
        <v>16</v>
      </c>
      <c r="B25" s="275">
        <v>2011</v>
      </c>
      <c r="C25" s="264" t="s">
        <v>384</v>
      </c>
      <c r="D25" s="264" t="s">
        <v>434</v>
      </c>
      <c r="E25" s="229" t="s">
        <v>431</v>
      </c>
      <c r="F25" s="456">
        <v>5100</v>
      </c>
      <c r="G25" s="456">
        <v>1100</v>
      </c>
      <c r="H25" s="460" t="s">
        <v>397</v>
      </c>
      <c r="I25" s="459">
        <v>100360</v>
      </c>
      <c r="J25" s="458">
        <v>56102</v>
      </c>
      <c r="K25" s="264" t="str">
        <f t="shared" si="2"/>
        <v>020.0360.5100.1100.0520.100360.56102</v>
      </c>
      <c r="L25" s="271">
        <v>729463.6</v>
      </c>
      <c r="N25" s="274"/>
      <c r="O25" s="463"/>
    </row>
    <row r="26" spans="1:15">
      <c r="A26" s="243">
        <f t="shared" si="1"/>
        <v>17</v>
      </c>
      <c r="B26" s="275">
        <v>2011</v>
      </c>
      <c r="C26" s="264" t="s">
        <v>384</v>
      </c>
      <c r="D26" s="264" t="s">
        <v>434</v>
      </c>
      <c r="E26" s="229" t="s">
        <v>431</v>
      </c>
      <c r="F26" s="456">
        <v>5100</v>
      </c>
      <c r="G26" s="456">
        <v>1100</v>
      </c>
      <c r="H26" s="460" t="s">
        <v>397</v>
      </c>
      <c r="I26" s="459">
        <v>104059</v>
      </c>
      <c r="J26" s="458">
        <v>56102</v>
      </c>
      <c r="K26" s="264" t="str">
        <f t="shared" si="2"/>
        <v>020.0360.5100.1100.0520.104059.56102</v>
      </c>
      <c r="L26" s="271">
        <v>7740.24</v>
      </c>
      <c r="N26" s="274"/>
      <c r="O26" s="463"/>
    </row>
    <row r="27" spans="1:15">
      <c r="A27" s="266">
        <f t="shared" ref="A27:A125" si="3">+A26+1</f>
        <v>18</v>
      </c>
      <c r="B27" s="275">
        <v>2011</v>
      </c>
      <c r="C27" s="264" t="s">
        <v>384</v>
      </c>
      <c r="D27" s="264" t="s">
        <v>434</v>
      </c>
      <c r="E27" s="229" t="s">
        <v>431</v>
      </c>
      <c r="F27" s="456">
        <v>5100</v>
      </c>
      <c r="G27" s="456">
        <v>1100</v>
      </c>
      <c r="H27" s="460" t="s">
        <v>433</v>
      </c>
      <c r="I27" s="459">
        <v>100360</v>
      </c>
      <c r="J27" s="458">
        <v>56102</v>
      </c>
      <c r="K27" s="264" t="str">
        <f t="shared" si="2"/>
        <v>020.0360.5100.1100.0530.100360.56102</v>
      </c>
      <c r="L27" s="271">
        <v>473219.14</v>
      </c>
      <c r="N27" s="274"/>
      <c r="O27" s="463"/>
    </row>
    <row r="28" spans="1:15">
      <c r="A28" s="266">
        <f t="shared" si="3"/>
        <v>19</v>
      </c>
      <c r="B28" s="275">
        <v>2011</v>
      </c>
      <c r="C28" s="264" t="s">
        <v>384</v>
      </c>
      <c r="D28" s="264" t="s">
        <v>434</v>
      </c>
      <c r="E28" s="229" t="s">
        <v>431</v>
      </c>
      <c r="F28" s="456">
        <v>5100</v>
      </c>
      <c r="G28" s="456">
        <v>1100</v>
      </c>
      <c r="H28" s="460" t="s">
        <v>433</v>
      </c>
      <c r="I28" s="459">
        <v>104059</v>
      </c>
      <c r="J28" s="458">
        <v>56102</v>
      </c>
      <c r="K28" s="264" t="str">
        <f t="shared" si="2"/>
        <v>020.0360.5100.1100.0530.104059.56102</v>
      </c>
      <c r="L28" s="271">
        <v>3841.8</v>
      </c>
      <c r="N28" s="274"/>
      <c r="O28" s="463"/>
    </row>
    <row r="29" spans="1:15">
      <c r="A29" s="266">
        <f t="shared" si="3"/>
        <v>20</v>
      </c>
      <c r="B29" s="275">
        <v>2011</v>
      </c>
      <c r="C29" s="264" t="s">
        <v>384</v>
      </c>
      <c r="D29" s="264" t="s">
        <v>434</v>
      </c>
      <c r="E29" s="229" t="s">
        <v>431</v>
      </c>
      <c r="F29" s="456">
        <v>5100</v>
      </c>
      <c r="G29" s="456">
        <v>1100</v>
      </c>
      <c r="H29" s="460" t="s">
        <v>433</v>
      </c>
      <c r="I29" s="459">
        <v>104629</v>
      </c>
      <c r="J29" s="458">
        <v>56102</v>
      </c>
      <c r="K29" s="264" t="str">
        <f t="shared" si="2"/>
        <v>020.0360.5100.1100.0530.104629.56102</v>
      </c>
      <c r="L29" s="271">
        <v>23268</v>
      </c>
      <c r="N29" s="274"/>
      <c r="O29" s="463"/>
    </row>
    <row r="30" spans="1:15">
      <c r="A30" s="266">
        <f t="shared" si="3"/>
        <v>21</v>
      </c>
      <c r="B30" s="275">
        <v>2011</v>
      </c>
      <c r="C30" s="264" t="s">
        <v>384</v>
      </c>
      <c r="D30" s="264" t="s">
        <v>434</v>
      </c>
      <c r="E30" s="229" t="s">
        <v>431</v>
      </c>
      <c r="F30" s="456">
        <v>5100</v>
      </c>
      <c r="G30" s="456">
        <v>1100</v>
      </c>
      <c r="H30" s="460" t="s">
        <v>437</v>
      </c>
      <c r="I30" s="459">
        <v>100360</v>
      </c>
      <c r="J30" s="458">
        <v>56102</v>
      </c>
      <c r="K30" s="264" t="str">
        <f t="shared" si="2"/>
        <v>020.0360.5100.1100.0540.100360.56102</v>
      </c>
      <c r="L30" s="271">
        <v>65730.14</v>
      </c>
      <c r="N30" s="274"/>
      <c r="O30" s="463"/>
    </row>
    <row r="31" spans="1:15">
      <c r="A31" s="266">
        <f t="shared" si="3"/>
        <v>22</v>
      </c>
      <c r="B31" s="275">
        <v>2011</v>
      </c>
      <c r="C31" s="264" t="s">
        <v>384</v>
      </c>
      <c r="D31" s="264" t="s">
        <v>434</v>
      </c>
      <c r="E31" s="229" t="s">
        <v>431</v>
      </c>
      <c r="F31" s="456">
        <v>5100</v>
      </c>
      <c r="G31" s="456">
        <v>1100</v>
      </c>
      <c r="H31" s="461">
        <v>1495</v>
      </c>
      <c r="I31" s="459">
        <v>100360</v>
      </c>
      <c r="J31" s="458">
        <v>56102</v>
      </c>
      <c r="K31" s="264" t="str">
        <f t="shared" si="2"/>
        <v>020.0360.5100.1100.1495.100360.56102</v>
      </c>
      <c r="L31" s="271">
        <v>656271.04</v>
      </c>
      <c r="N31" s="274"/>
      <c r="O31" s="463"/>
    </row>
    <row r="32" spans="1:15">
      <c r="A32" s="266">
        <f t="shared" si="3"/>
        <v>23</v>
      </c>
      <c r="B32" s="275">
        <v>2011</v>
      </c>
      <c r="C32" s="264" t="s">
        <v>384</v>
      </c>
      <c r="D32" s="264" t="s">
        <v>434</v>
      </c>
      <c r="E32" s="229" t="s">
        <v>431</v>
      </c>
      <c r="F32" s="456">
        <v>5100</v>
      </c>
      <c r="G32" s="456">
        <v>1100</v>
      </c>
      <c r="H32" s="461">
        <v>1580</v>
      </c>
      <c r="I32" s="459">
        <v>100360</v>
      </c>
      <c r="J32" s="458">
        <v>56102</v>
      </c>
      <c r="K32" s="264" t="str">
        <f t="shared" si="2"/>
        <v>020.0360.5100.1100.1580.100360.56102</v>
      </c>
      <c r="L32" s="271">
        <v>218443.59</v>
      </c>
      <c r="N32" s="274"/>
      <c r="O32" s="463"/>
    </row>
    <row r="33" spans="1:15">
      <c r="A33" s="266">
        <f t="shared" si="3"/>
        <v>24</v>
      </c>
      <c r="B33" s="275">
        <v>2011</v>
      </c>
      <c r="C33" s="264" t="s">
        <v>384</v>
      </c>
      <c r="D33" s="264" t="s">
        <v>434</v>
      </c>
      <c r="E33" s="229" t="s">
        <v>431</v>
      </c>
      <c r="F33" s="456">
        <v>5100</v>
      </c>
      <c r="G33" s="456">
        <v>1120</v>
      </c>
      <c r="H33" s="460" t="s">
        <v>433</v>
      </c>
      <c r="I33" s="459">
        <v>100360</v>
      </c>
      <c r="J33" s="458">
        <v>56102</v>
      </c>
      <c r="K33" s="264" t="str">
        <f t="shared" si="2"/>
        <v>020.0360.5100.1120.0530.100360.56102</v>
      </c>
      <c r="L33" s="271">
        <v>46671.05</v>
      </c>
      <c r="N33" s="274"/>
      <c r="O33" s="463"/>
    </row>
    <row r="34" spans="1:15">
      <c r="A34" s="266">
        <f t="shared" si="3"/>
        <v>25</v>
      </c>
      <c r="B34" s="275">
        <v>2011</v>
      </c>
      <c r="C34" s="264" t="s">
        <v>384</v>
      </c>
      <c r="D34" s="264" t="s">
        <v>434</v>
      </c>
      <c r="E34" s="229" t="s">
        <v>431</v>
      </c>
      <c r="F34" s="456">
        <v>5100</v>
      </c>
      <c r="G34" s="456">
        <v>1120</v>
      </c>
      <c r="H34" s="460" t="s">
        <v>433</v>
      </c>
      <c r="I34" s="459">
        <v>104629</v>
      </c>
      <c r="J34" s="458">
        <v>56102</v>
      </c>
      <c r="K34" s="264" t="str">
        <f t="shared" si="2"/>
        <v>020.0360.5100.1120.0530.104629.56102</v>
      </c>
      <c r="L34" s="271">
        <v>1059.52</v>
      </c>
      <c r="N34" s="274"/>
      <c r="O34" s="463"/>
    </row>
    <row r="35" spans="1:15">
      <c r="A35" s="266">
        <f t="shared" si="3"/>
        <v>26</v>
      </c>
      <c r="B35" s="275">
        <v>2011</v>
      </c>
      <c r="C35" s="264" t="s">
        <v>384</v>
      </c>
      <c r="D35" s="264" t="s">
        <v>434</v>
      </c>
      <c r="E35" s="229" t="s">
        <v>431</v>
      </c>
      <c r="F35" s="456">
        <v>5100</v>
      </c>
      <c r="G35" s="456">
        <v>1120</v>
      </c>
      <c r="H35" s="461">
        <v>1580</v>
      </c>
      <c r="I35" s="459">
        <v>100360</v>
      </c>
      <c r="J35" s="458">
        <v>56102</v>
      </c>
      <c r="K35" s="264" t="str">
        <f t="shared" si="2"/>
        <v>020.0360.5100.1120.1580.100360.56102</v>
      </c>
      <c r="L35" s="271">
        <v>920.53</v>
      </c>
      <c r="N35" s="274"/>
      <c r="O35" s="463"/>
    </row>
    <row r="36" spans="1:15">
      <c r="A36" s="266">
        <f t="shared" si="3"/>
        <v>27</v>
      </c>
      <c r="B36" s="275">
        <v>2011</v>
      </c>
      <c r="C36" s="264" t="s">
        <v>384</v>
      </c>
      <c r="D36" s="264" t="s">
        <v>434</v>
      </c>
      <c r="E36" s="229" t="s">
        <v>431</v>
      </c>
      <c r="F36" s="456">
        <v>5101</v>
      </c>
      <c r="G36" s="456">
        <v>2500</v>
      </c>
      <c r="H36" s="460" t="s">
        <v>433</v>
      </c>
      <c r="I36" s="459">
        <v>100360</v>
      </c>
      <c r="J36" s="458">
        <v>56102</v>
      </c>
      <c r="K36" s="264" t="str">
        <f t="shared" si="2"/>
        <v>020.0360.5101.2500.0530.100360.56102</v>
      </c>
      <c r="L36" s="271">
        <v>3320.77</v>
      </c>
      <c r="N36" s="274"/>
      <c r="O36" s="463"/>
    </row>
    <row r="37" spans="1:15">
      <c r="A37" s="266">
        <f t="shared" si="3"/>
        <v>28</v>
      </c>
      <c r="B37" s="275">
        <v>2011</v>
      </c>
      <c r="C37" s="264" t="s">
        <v>384</v>
      </c>
      <c r="D37" s="264" t="s">
        <v>434</v>
      </c>
      <c r="E37" s="229" t="s">
        <v>431</v>
      </c>
      <c r="F37" s="456">
        <v>5101</v>
      </c>
      <c r="G37" s="456">
        <v>2500</v>
      </c>
      <c r="H37" s="461">
        <v>1580</v>
      </c>
      <c r="I37" s="459">
        <v>100360</v>
      </c>
      <c r="J37" s="458">
        <v>56102</v>
      </c>
      <c r="K37" s="264" t="str">
        <f t="shared" si="2"/>
        <v>020.0360.5101.2500.1580.100360.56102</v>
      </c>
      <c r="L37" s="271">
        <v>17769.82</v>
      </c>
      <c r="N37" s="274"/>
      <c r="O37" s="463"/>
    </row>
    <row r="38" spans="1:15">
      <c r="A38" s="266">
        <f t="shared" ref="A38" si="4">+A37+1</f>
        <v>29</v>
      </c>
      <c r="B38" s="275">
        <v>2011</v>
      </c>
      <c r="C38" s="264" t="s">
        <v>384</v>
      </c>
      <c r="D38" s="264" t="s">
        <v>434</v>
      </c>
      <c r="E38" s="229" t="s">
        <v>431</v>
      </c>
      <c r="F38" s="456">
        <v>5101</v>
      </c>
      <c r="G38" s="456">
        <v>2600</v>
      </c>
      <c r="H38" s="460" t="s">
        <v>397</v>
      </c>
      <c r="I38" s="459">
        <v>100360</v>
      </c>
      <c r="J38" s="458">
        <v>56102</v>
      </c>
      <c r="K38" s="264" t="str">
        <f t="shared" si="2"/>
        <v>020.0360.5101.2600.0520.100360.56102</v>
      </c>
      <c r="L38" s="271">
        <v>117.87</v>
      </c>
      <c r="N38" s="274"/>
      <c r="O38" s="463"/>
    </row>
    <row r="39" spans="1:15">
      <c r="A39" s="266">
        <f t="shared" ref="A39" si="5">+A38+1</f>
        <v>30</v>
      </c>
      <c r="B39" s="275">
        <v>2011</v>
      </c>
      <c r="C39" s="264" t="s">
        <v>384</v>
      </c>
      <c r="D39" s="264" t="s">
        <v>434</v>
      </c>
      <c r="E39" s="229" t="s">
        <v>431</v>
      </c>
      <c r="F39" s="456">
        <v>5101</v>
      </c>
      <c r="G39" s="456">
        <v>2600</v>
      </c>
      <c r="H39" s="460" t="s">
        <v>433</v>
      </c>
      <c r="I39" s="459">
        <v>100360</v>
      </c>
      <c r="J39" s="458">
        <v>56102</v>
      </c>
      <c r="K39" s="264" t="str">
        <f t="shared" si="2"/>
        <v>020.0360.5101.2600.0530.100360.56102</v>
      </c>
      <c r="L39" s="271">
        <v>1590.79</v>
      </c>
      <c r="N39" s="274"/>
      <c r="O39" s="463"/>
    </row>
    <row r="40" spans="1:15">
      <c r="A40" s="266">
        <f t="shared" ref="A40" si="6">+A39+1</f>
        <v>31</v>
      </c>
      <c r="B40" s="275">
        <v>2011</v>
      </c>
      <c r="C40" s="264" t="s">
        <v>384</v>
      </c>
      <c r="D40" s="264" t="s">
        <v>434</v>
      </c>
      <c r="E40" s="229" t="s">
        <v>431</v>
      </c>
      <c r="F40" s="456">
        <v>5101</v>
      </c>
      <c r="G40" s="456">
        <v>2600</v>
      </c>
      <c r="H40" s="460" t="s">
        <v>433</v>
      </c>
      <c r="I40" s="459">
        <v>104059</v>
      </c>
      <c r="J40" s="458">
        <v>56102</v>
      </c>
      <c r="K40" s="264" t="str">
        <f t="shared" si="2"/>
        <v>020.0360.5101.2600.0530.104059.56102</v>
      </c>
      <c r="L40" s="271">
        <v>41.6</v>
      </c>
      <c r="N40" s="274"/>
      <c r="O40" s="463"/>
    </row>
    <row r="41" spans="1:15">
      <c r="A41" s="266">
        <f t="shared" ref="A41" si="7">+A40+1</f>
        <v>32</v>
      </c>
      <c r="B41" s="275">
        <v>2011</v>
      </c>
      <c r="C41" s="264" t="s">
        <v>384</v>
      </c>
      <c r="D41" s="264" t="s">
        <v>434</v>
      </c>
      <c r="E41" s="229" t="s">
        <v>431</v>
      </c>
      <c r="F41" s="456">
        <v>5101</v>
      </c>
      <c r="G41" s="456">
        <v>2600</v>
      </c>
      <c r="H41" s="460" t="s">
        <v>433</v>
      </c>
      <c r="I41" s="459">
        <v>104629</v>
      </c>
      <c r="J41" s="458">
        <v>56102</v>
      </c>
      <c r="K41" s="264" t="str">
        <f t="shared" si="2"/>
        <v>020.0360.5101.2600.0530.104629.56102</v>
      </c>
      <c r="L41" s="271">
        <v>141.33000000000001</v>
      </c>
      <c r="N41" s="274"/>
      <c r="O41" s="463"/>
    </row>
    <row r="42" spans="1:15">
      <c r="A42" s="266">
        <f t="shared" ref="A42" si="8">+A41+1</f>
        <v>33</v>
      </c>
      <c r="B42" s="275">
        <v>2011</v>
      </c>
      <c r="C42" s="264" t="s">
        <v>384</v>
      </c>
      <c r="D42" s="264" t="s">
        <v>434</v>
      </c>
      <c r="E42" s="229" t="s">
        <v>431</v>
      </c>
      <c r="F42" s="456">
        <v>5101</v>
      </c>
      <c r="G42" s="456">
        <v>2600</v>
      </c>
      <c r="H42" s="461">
        <v>1580</v>
      </c>
      <c r="I42" s="459">
        <v>100360</v>
      </c>
      <c r="J42" s="458">
        <v>56102</v>
      </c>
      <c r="K42" s="264" t="str">
        <f t="shared" si="2"/>
        <v>020.0360.5101.2600.1580.100360.56102</v>
      </c>
      <c r="L42" s="271">
        <v>16615.91</v>
      </c>
      <c r="N42" s="274"/>
      <c r="O42" s="463"/>
    </row>
    <row r="43" spans="1:15">
      <c r="A43" s="266">
        <f t="shared" ref="A43" si="9">+A42+1</f>
        <v>34</v>
      </c>
      <c r="B43" s="275">
        <v>2011</v>
      </c>
      <c r="C43" s="264" t="s">
        <v>384</v>
      </c>
      <c r="D43" s="264" t="s">
        <v>434</v>
      </c>
      <c r="E43" s="229" t="s">
        <v>431</v>
      </c>
      <c r="F43" s="456">
        <v>5101</v>
      </c>
      <c r="G43" s="456">
        <v>2700</v>
      </c>
      <c r="H43" s="460" t="s">
        <v>397</v>
      </c>
      <c r="I43" s="459">
        <v>100360</v>
      </c>
      <c r="J43" s="458">
        <v>56102</v>
      </c>
      <c r="K43" s="264" t="str">
        <f t="shared" si="2"/>
        <v>020.0360.5101.2700.0520.100360.56102</v>
      </c>
      <c r="L43" s="271">
        <v>13.47</v>
      </c>
      <c r="N43" s="274"/>
      <c r="O43" s="463"/>
    </row>
    <row r="44" spans="1:15">
      <c r="A44" s="266">
        <f t="shared" ref="A44" si="10">+A43+1</f>
        <v>35</v>
      </c>
      <c r="B44" s="275">
        <v>2011</v>
      </c>
      <c r="C44" s="264" t="s">
        <v>384</v>
      </c>
      <c r="D44" s="264" t="s">
        <v>434</v>
      </c>
      <c r="E44" s="229" t="s">
        <v>431</v>
      </c>
      <c r="F44" s="456">
        <v>5101</v>
      </c>
      <c r="G44" s="456">
        <v>2700</v>
      </c>
      <c r="H44" s="460" t="s">
        <v>433</v>
      </c>
      <c r="I44" s="459">
        <v>100360</v>
      </c>
      <c r="J44" s="458">
        <v>56102</v>
      </c>
      <c r="K44" s="264" t="str">
        <f t="shared" si="2"/>
        <v>020.0360.5101.2700.0530.100360.56102</v>
      </c>
      <c r="L44" s="271">
        <v>68.7</v>
      </c>
      <c r="N44" s="274"/>
      <c r="O44" s="463"/>
    </row>
    <row r="45" spans="1:15">
      <c r="A45" s="266">
        <f t="shared" si="3"/>
        <v>36</v>
      </c>
      <c r="B45" s="275">
        <v>2011</v>
      </c>
      <c r="C45" s="264" t="s">
        <v>384</v>
      </c>
      <c r="D45" s="264" t="s">
        <v>434</v>
      </c>
      <c r="E45" s="229" t="s">
        <v>431</v>
      </c>
      <c r="F45" s="456">
        <v>5101</v>
      </c>
      <c r="G45" s="456">
        <v>2700</v>
      </c>
      <c r="H45" s="460" t="s">
        <v>437</v>
      </c>
      <c r="I45" s="459">
        <v>100360</v>
      </c>
      <c r="J45" s="458">
        <v>56102</v>
      </c>
      <c r="K45" s="264" t="str">
        <f t="shared" si="2"/>
        <v>020.0360.5101.2700.0540.100360.56102</v>
      </c>
      <c r="L45" s="271">
        <v>33.130000000000003</v>
      </c>
      <c r="N45" s="274"/>
      <c r="O45" s="463"/>
    </row>
    <row r="46" spans="1:15">
      <c r="A46" s="266">
        <f t="shared" si="3"/>
        <v>37</v>
      </c>
      <c r="B46" s="275">
        <v>2011</v>
      </c>
      <c r="C46" s="264" t="s">
        <v>384</v>
      </c>
      <c r="D46" s="264" t="s">
        <v>434</v>
      </c>
      <c r="E46" s="229" t="s">
        <v>431</v>
      </c>
      <c r="F46" s="456">
        <v>5101</v>
      </c>
      <c r="G46" s="456">
        <v>2700</v>
      </c>
      <c r="H46" s="460" t="s">
        <v>605</v>
      </c>
      <c r="I46" s="459">
        <v>100360</v>
      </c>
      <c r="J46" s="458">
        <v>56102</v>
      </c>
      <c r="K46" s="264" t="str">
        <f t="shared" si="2"/>
        <v>020.0360.5101.2700.01580.100360.56102</v>
      </c>
      <c r="L46" s="271">
        <v>6180.18</v>
      </c>
      <c r="N46" s="274"/>
      <c r="O46" s="463"/>
    </row>
    <row r="47" spans="1:15">
      <c r="A47" s="266">
        <f t="shared" si="3"/>
        <v>38</v>
      </c>
      <c r="B47" s="275">
        <v>2011</v>
      </c>
      <c r="C47" s="264" t="s">
        <v>384</v>
      </c>
      <c r="D47" s="264" t="s">
        <v>434</v>
      </c>
      <c r="E47" s="229" t="s">
        <v>431</v>
      </c>
      <c r="F47" s="456">
        <v>5102</v>
      </c>
      <c r="G47" s="460" t="s">
        <v>402</v>
      </c>
      <c r="H47" s="460" t="s">
        <v>397</v>
      </c>
      <c r="I47" s="459">
        <v>100360</v>
      </c>
      <c r="J47" s="458">
        <v>56102</v>
      </c>
      <c r="K47" s="264" t="str">
        <f t="shared" si="2"/>
        <v>020.0360.5102.0000.0520.100360.56102</v>
      </c>
      <c r="L47" s="271">
        <v>465.27</v>
      </c>
      <c r="N47" s="274"/>
      <c r="O47" s="463"/>
    </row>
    <row r="48" spans="1:15">
      <c r="A48" s="266">
        <f t="shared" si="3"/>
        <v>39</v>
      </c>
      <c r="B48" s="275">
        <v>2011</v>
      </c>
      <c r="C48" s="264" t="s">
        <v>384</v>
      </c>
      <c r="D48" s="264" t="s">
        <v>434</v>
      </c>
      <c r="E48" s="229" t="s">
        <v>431</v>
      </c>
      <c r="F48" s="456">
        <v>5102</v>
      </c>
      <c r="G48" s="460" t="s">
        <v>402</v>
      </c>
      <c r="H48" s="460" t="s">
        <v>433</v>
      </c>
      <c r="I48" s="459">
        <v>100360</v>
      </c>
      <c r="J48" s="458">
        <v>56102</v>
      </c>
      <c r="K48" s="264" t="str">
        <f t="shared" si="2"/>
        <v>020.0360.5102.0000.0530.100360.56102</v>
      </c>
      <c r="L48" s="271">
        <v>197307.21</v>
      </c>
      <c r="N48" s="274"/>
      <c r="O48" s="463"/>
    </row>
    <row r="49" spans="1:15">
      <c r="A49" s="266">
        <f t="shared" si="3"/>
        <v>40</v>
      </c>
      <c r="B49" s="275">
        <v>2011</v>
      </c>
      <c r="C49" s="264" t="s">
        <v>384</v>
      </c>
      <c r="D49" s="264" t="s">
        <v>434</v>
      </c>
      <c r="E49" s="229" t="s">
        <v>431</v>
      </c>
      <c r="F49" s="456">
        <v>5102</v>
      </c>
      <c r="G49" s="460" t="s">
        <v>402</v>
      </c>
      <c r="H49" s="460" t="s">
        <v>433</v>
      </c>
      <c r="I49" s="459">
        <v>104059</v>
      </c>
      <c r="J49" s="458">
        <v>56102</v>
      </c>
      <c r="K49" s="264" t="str">
        <f t="shared" si="2"/>
        <v>020.0360.5102.0000.0530.104059.56102</v>
      </c>
      <c r="L49" s="271">
        <v>1810.92</v>
      </c>
      <c r="N49" s="274"/>
      <c r="O49" s="463"/>
    </row>
    <row r="50" spans="1:15">
      <c r="A50" s="266">
        <f t="shared" si="3"/>
        <v>41</v>
      </c>
      <c r="B50" s="275">
        <v>2011</v>
      </c>
      <c r="C50" s="264" t="s">
        <v>384</v>
      </c>
      <c r="D50" s="264" t="s">
        <v>434</v>
      </c>
      <c r="E50" s="229" t="s">
        <v>431</v>
      </c>
      <c r="F50" s="456">
        <v>5102</v>
      </c>
      <c r="G50" s="460" t="s">
        <v>402</v>
      </c>
      <c r="H50" s="461">
        <v>1580</v>
      </c>
      <c r="I50" s="459">
        <v>100360</v>
      </c>
      <c r="J50" s="458">
        <v>56102</v>
      </c>
      <c r="K50" s="264" t="str">
        <f t="shared" si="2"/>
        <v>020.0360.5102.0000.1580.100360.56102</v>
      </c>
      <c r="L50" s="271">
        <v>16629.990000000002</v>
      </c>
      <c r="N50" s="274"/>
      <c r="O50" s="463"/>
    </row>
    <row r="51" spans="1:15">
      <c r="A51" s="266">
        <f t="shared" si="3"/>
        <v>42</v>
      </c>
      <c r="B51" s="275">
        <v>2011</v>
      </c>
      <c r="C51" s="264" t="s">
        <v>384</v>
      </c>
      <c r="D51" s="264" t="s">
        <v>434</v>
      </c>
      <c r="E51" s="229" t="s">
        <v>431</v>
      </c>
      <c r="F51" s="456">
        <v>5103</v>
      </c>
      <c r="G51" s="460" t="s">
        <v>402</v>
      </c>
      <c r="H51" s="460" t="s">
        <v>433</v>
      </c>
      <c r="I51" s="459">
        <v>100360</v>
      </c>
      <c r="J51" s="458">
        <v>56102</v>
      </c>
      <c r="K51" s="264" t="str">
        <f t="shared" si="2"/>
        <v>020.0360.5103.0000.0530.100360.56102</v>
      </c>
      <c r="L51" s="271">
        <v>602.53</v>
      </c>
      <c r="N51" s="274"/>
      <c r="O51" s="463"/>
    </row>
    <row r="52" spans="1:15">
      <c r="A52" s="266">
        <f t="shared" si="3"/>
        <v>43</v>
      </c>
      <c r="B52" s="275">
        <v>2011</v>
      </c>
      <c r="C52" s="264" t="s">
        <v>384</v>
      </c>
      <c r="D52" s="264" t="s">
        <v>434</v>
      </c>
      <c r="E52" s="229" t="s">
        <v>431</v>
      </c>
      <c r="F52" s="456">
        <v>5103</v>
      </c>
      <c r="G52" s="460" t="s">
        <v>402</v>
      </c>
      <c r="H52" s="460" t="s">
        <v>433</v>
      </c>
      <c r="I52" s="459">
        <v>104629</v>
      </c>
      <c r="J52" s="458">
        <v>56102</v>
      </c>
      <c r="K52" s="264" t="str">
        <f t="shared" si="2"/>
        <v>020.0360.5103.0000.0530.104629.56102</v>
      </c>
      <c r="L52" s="271">
        <v>66.599999999999994</v>
      </c>
      <c r="N52" s="274"/>
      <c r="O52" s="463"/>
    </row>
    <row r="53" spans="1:15">
      <c r="A53" s="266">
        <f t="shared" si="3"/>
        <v>44</v>
      </c>
      <c r="B53" s="275">
        <v>2011</v>
      </c>
      <c r="C53" s="264" t="s">
        <v>384</v>
      </c>
      <c r="D53" s="264" t="s">
        <v>434</v>
      </c>
      <c r="E53" s="229" t="s">
        <v>431</v>
      </c>
      <c r="F53" s="456">
        <v>5103</v>
      </c>
      <c r="G53" s="460" t="s">
        <v>402</v>
      </c>
      <c r="H53" s="461">
        <v>1495</v>
      </c>
      <c r="I53" s="459">
        <v>100360</v>
      </c>
      <c r="J53" s="458">
        <v>56102</v>
      </c>
      <c r="K53" s="264" t="str">
        <f t="shared" si="2"/>
        <v>020.0360.5103.0000.1495.100360.56102</v>
      </c>
      <c r="L53" s="271">
        <v>60</v>
      </c>
      <c r="N53" s="274"/>
      <c r="O53" s="463"/>
    </row>
    <row r="54" spans="1:15">
      <c r="A54" s="266">
        <f t="shared" si="3"/>
        <v>45</v>
      </c>
      <c r="B54" s="275">
        <v>2011</v>
      </c>
      <c r="C54" s="264" t="s">
        <v>384</v>
      </c>
      <c r="D54" s="264" t="s">
        <v>434</v>
      </c>
      <c r="E54" s="229" t="s">
        <v>431</v>
      </c>
      <c r="F54" s="456">
        <v>5103</v>
      </c>
      <c r="G54" s="460" t="s">
        <v>402</v>
      </c>
      <c r="H54" s="461">
        <v>1580</v>
      </c>
      <c r="I54" s="459">
        <v>100360</v>
      </c>
      <c r="J54" s="458">
        <v>56102</v>
      </c>
      <c r="K54" s="264" t="str">
        <f t="shared" si="2"/>
        <v>020.0360.5103.0000.1580.100360.56102</v>
      </c>
      <c r="L54" s="271">
        <v>11980.49</v>
      </c>
      <c r="N54" s="274"/>
      <c r="O54" s="463"/>
    </row>
    <row r="55" spans="1:15">
      <c r="A55" s="266">
        <f t="shared" si="3"/>
        <v>46</v>
      </c>
      <c r="B55" s="275">
        <v>2011</v>
      </c>
      <c r="C55" s="264" t="s">
        <v>384</v>
      </c>
      <c r="D55" s="264" t="s">
        <v>434</v>
      </c>
      <c r="E55" s="229" t="s">
        <v>431</v>
      </c>
      <c r="F55" s="456">
        <v>5105</v>
      </c>
      <c r="G55" s="460" t="s">
        <v>402</v>
      </c>
      <c r="H55" s="460" t="s">
        <v>433</v>
      </c>
      <c r="I55" s="459">
        <v>100360</v>
      </c>
      <c r="J55" s="458">
        <v>56102</v>
      </c>
      <c r="K55" s="264" t="str">
        <f t="shared" si="2"/>
        <v>020.0360.5105.0000.0530.100360.56102</v>
      </c>
      <c r="L55" s="271">
        <v>12591.42</v>
      </c>
      <c r="N55" s="274"/>
      <c r="O55" s="463"/>
    </row>
    <row r="56" spans="1:15">
      <c r="A56" s="266">
        <f t="shared" si="3"/>
        <v>47</v>
      </c>
      <c r="B56" s="275">
        <v>2011</v>
      </c>
      <c r="C56" s="264" t="s">
        <v>384</v>
      </c>
      <c r="D56" s="264" t="s">
        <v>434</v>
      </c>
      <c r="E56" s="229" t="s">
        <v>431</v>
      </c>
      <c r="F56" s="456">
        <v>5105</v>
      </c>
      <c r="G56" s="460" t="s">
        <v>402</v>
      </c>
      <c r="H56" s="461">
        <v>1580</v>
      </c>
      <c r="I56" s="459">
        <v>100360</v>
      </c>
      <c r="J56" s="458">
        <v>56102</v>
      </c>
      <c r="K56" s="264" t="str">
        <f t="shared" si="2"/>
        <v>020.0360.5105.0000.1580.100360.56102</v>
      </c>
      <c r="L56" s="271">
        <v>106.08</v>
      </c>
      <c r="N56" s="274"/>
      <c r="O56" s="463"/>
    </row>
    <row r="57" spans="1:15">
      <c r="A57" s="266">
        <f t="shared" si="3"/>
        <v>48</v>
      </c>
      <c r="B57" s="275">
        <v>2011</v>
      </c>
      <c r="C57" s="264" t="s">
        <v>384</v>
      </c>
      <c r="D57" s="264" t="s">
        <v>434</v>
      </c>
      <c r="E57" s="229" t="s">
        <v>431</v>
      </c>
      <c r="F57" s="456">
        <v>5106</v>
      </c>
      <c r="G57" s="456">
        <v>3000</v>
      </c>
      <c r="H57" s="461">
        <v>1580</v>
      </c>
      <c r="I57" s="459">
        <v>100360</v>
      </c>
      <c r="J57" s="458">
        <v>56102</v>
      </c>
      <c r="K57" s="264" t="str">
        <f t="shared" si="2"/>
        <v>020.0360.5106.3000.1580.100360.56102</v>
      </c>
      <c r="L57" s="271">
        <v>188.6</v>
      </c>
      <c r="N57" s="274"/>
      <c r="O57" s="463"/>
    </row>
    <row r="58" spans="1:15">
      <c r="A58" s="266">
        <f t="shared" si="3"/>
        <v>49</v>
      </c>
      <c r="B58" s="275">
        <v>2011</v>
      </c>
      <c r="C58" s="264" t="s">
        <v>384</v>
      </c>
      <c r="D58" s="264" t="s">
        <v>434</v>
      </c>
      <c r="E58" s="229" t="s">
        <v>431</v>
      </c>
      <c r="F58" s="456">
        <v>5106</v>
      </c>
      <c r="G58" s="456">
        <v>4000</v>
      </c>
      <c r="H58" s="460" t="s">
        <v>433</v>
      </c>
      <c r="I58" s="459">
        <v>100360</v>
      </c>
      <c r="J58" s="458">
        <v>56102</v>
      </c>
      <c r="K58" s="264" t="str">
        <f t="shared" si="2"/>
        <v>020.0360.5106.4000.0530.100360.56102</v>
      </c>
      <c r="L58" s="271">
        <v>328.96</v>
      </c>
      <c r="N58" s="274"/>
      <c r="O58" s="463"/>
    </row>
    <row r="59" spans="1:15">
      <c r="A59" s="266">
        <f t="shared" si="3"/>
        <v>50</v>
      </c>
      <c r="B59" s="275">
        <v>2011</v>
      </c>
      <c r="C59" s="264" t="s">
        <v>384</v>
      </c>
      <c r="D59" s="264" t="s">
        <v>434</v>
      </c>
      <c r="E59" s="229" t="s">
        <v>431</v>
      </c>
      <c r="F59" s="456">
        <v>5106</v>
      </c>
      <c r="G59" s="456">
        <v>4000</v>
      </c>
      <c r="H59" s="461">
        <v>1580</v>
      </c>
      <c r="I59" s="459">
        <v>100360</v>
      </c>
      <c r="J59" s="458">
        <v>56102</v>
      </c>
      <c r="K59" s="264" t="str">
        <f t="shared" si="2"/>
        <v>020.0360.5106.4000.1580.100360.56102</v>
      </c>
      <c r="L59" s="271">
        <v>213.72</v>
      </c>
      <c r="N59" s="274"/>
      <c r="O59" s="463"/>
    </row>
    <row r="60" spans="1:15">
      <c r="A60" s="266">
        <f t="shared" si="3"/>
        <v>51</v>
      </c>
      <c r="B60" s="275">
        <v>2011</v>
      </c>
      <c r="C60" s="264" t="s">
        <v>384</v>
      </c>
      <c r="D60" s="264" t="s">
        <v>434</v>
      </c>
      <c r="E60" s="229" t="s">
        <v>431</v>
      </c>
      <c r="F60" s="456">
        <v>5107</v>
      </c>
      <c r="G60" s="460" t="s">
        <v>402</v>
      </c>
      <c r="H60" s="460" t="s">
        <v>397</v>
      </c>
      <c r="I60" s="459">
        <v>100360</v>
      </c>
      <c r="J60" s="458">
        <v>56102</v>
      </c>
      <c r="K60" s="264" t="str">
        <f t="shared" si="2"/>
        <v>020.0360.5107.0000.0520.100360.56102</v>
      </c>
      <c r="L60" s="271">
        <v>454.22</v>
      </c>
      <c r="N60" s="274"/>
      <c r="O60" s="463"/>
    </row>
    <row r="61" spans="1:15">
      <c r="A61" s="266">
        <f t="shared" si="3"/>
        <v>52</v>
      </c>
      <c r="B61" s="275">
        <v>2011</v>
      </c>
      <c r="C61" s="264" t="s">
        <v>384</v>
      </c>
      <c r="D61" s="264" t="s">
        <v>434</v>
      </c>
      <c r="E61" s="229" t="s">
        <v>431</v>
      </c>
      <c r="F61" s="456">
        <v>5107</v>
      </c>
      <c r="G61" s="460" t="s">
        <v>402</v>
      </c>
      <c r="H61" s="460" t="s">
        <v>433</v>
      </c>
      <c r="I61" s="459">
        <v>100360</v>
      </c>
      <c r="J61" s="458">
        <v>56102</v>
      </c>
      <c r="K61" s="264" t="str">
        <f t="shared" si="2"/>
        <v>020.0360.5107.0000.0530.100360.56102</v>
      </c>
      <c r="L61" s="271">
        <v>181.5</v>
      </c>
      <c r="N61" s="274"/>
      <c r="O61" s="463"/>
    </row>
    <row r="62" spans="1:15">
      <c r="A62" s="266">
        <f t="shared" si="3"/>
        <v>53</v>
      </c>
      <c r="B62" s="275">
        <v>2011</v>
      </c>
      <c r="C62" s="264" t="s">
        <v>384</v>
      </c>
      <c r="D62" s="264" t="s">
        <v>434</v>
      </c>
      <c r="E62" s="229" t="s">
        <v>431</v>
      </c>
      <c r="F62" s="456">
        <v>5107</v>
      </c>
      <c r="G62" s="460" t="s">
        <v>402</v>
      </c>
      <c r="H62" s="460" t="s">
        <v>433</v>
      </c>
      <c r="I62" s="459">
        <v>104629</v>
      </c>
      <c r="J62" s="458">
        <v>56102</v>
      </c>
      <c r="K62" s="264" t="str">
        <f t="shared" si="2"/>
        <v>020.0360.5107.0000.0530.104629.56102</v>
      </c>
      <c r="L62" s="271">
        <v>510</v>
      </c>
      <c r="N62" s="274"/>
      <c r="O62" s="463"/>
    </row>
    <row r="63" spans="1:15">
      <c r="A63" s="266">
        <f t="shared" si="3"/>
        <v>54</v>
      </c>
      <c r="B63" s="275">
        <v>2011</v>
      </c>
      <c r="C63" s="264" t="s">
        <v>384</v>
      </c>
      <c r="D63" s="264" t="s">
        <v>434</v>
      </c>
      <c r="E63" s="229" t="s">
        <v>431</v>
      </c>
      <c r="F63" s="456">
        <v>5107</v>
      </c>
      <c r="G63" s="460" t="s">
        <v>402</v>
      </c>
      <c r="H63" s="461">
        <v>1495</v>
      </c>
      <c r="I63" s="459">
        <v>100360</v>
      </c>
      <c r="J63" s="458">
        <v>56102</v>
      </c>
      <c r="K63" s="264" t="str">
        <f t="shared" si="2"/>
        <v>020.0360.5107.0000.1495.100360.56102</v>
      </c>
      <c r="L63" s="271">
        <v>2543.41</v>
      </c>
      <c r="N63" s="274"/>
      <c r="O63" s="463"/>
    </row>
    <row r="64" spans="1:15">
      <c r="A64" s="266">
        <f t="shared" si="3"/>
        <v>55</v>
      </c>
      <c r="B64" s="275">
        <v>2011</v>
      </c>
      <c r="C64" s="264" t="s">
        <v>384</v>
      </c>
      <c r="D64" s="264" t="s">
        <v>434</v>
      </c>
      <c r="E64" s="229" t="s">
        <v>431</v>
      </c>
      <c r="F64" s="456">
        <v>5107</v>
      </c>
      <c r="G64" s="460" t="s">
        <v>402</v>
      </c>
      <c r="H64" s="461">
        <v>1580</v>
      </c>
      <c r="I64" s="459">
        <v>100360</v>
      </c>
      <c r="J64" s="458">
        <v>56102</v>
      </c>
      <c r="K64" s="264" t="str">
        <f t="shared" si="2"/>
        <v>020.0360.5107.0000.1580.100360.56102</v>
      </c>
      <c r="L64" s="271">
        <v>421.32</v>
      </c>
      <c r="N64" s="274"/>
      <c r="O64" s="463"/>
    </row>
    <row r="65" spans="1:15">
      <c r="A65" s="266">
        <f t="shared" si="3"/>
        <v>56</v>
      </c>
      <c r="B65" s="275">
        <v>2011</v>
      </c>
      <c r="C65" s="264" t="s">
        <v>384</v>
      </c>
      <c r="D65" s="264" t="s">
        <v>434</v>
      </c>
      <c r="E65" s="229" t="s">
        <v>431</v>
      </c>
      <c r="F65" s="456">
        <v>5109</v>
      </c>
      <c r="G65" s="460" t="s">
        <v>402</v>
      </c>
      <c r="H65" s="460" t="s">
        <v>397</v>
      </c>
      <c r="I65" s="459">
        <v>100360</v>
      </c>
      <c r="J65" s="458">
        <v>56102</v>
      </c>
      <c r="K65" s="264" t="str">
        <f t="shared" si="2"/>
        <v>020.0360.5109.0000.0520.100360.56102</v>
      </c>
      <c r="L65" s="271">
        <v>-283586.34000000003</v>
      </c>
      <c r="N65" s="274"/>
      <c r="O65" s="463"/>
    </row>
    <row r="66" spans="1:15">
      <c r="A66" s="266">
        <f t="shared" si="3"/>
        <v>57</v>
      </c>
      <c r="B66" s="275">
        <v>2011</v>
      </c>
      <c r="C66" s="264" t="s">
        <v>384</v>
      </c>
      <c r="D66" s="264" t="s">
        <v>434</v>
      </c>
      <c r="E66" s="229" t="s">
        <v>431</v>
      </c>
      <c r="F66" s="456">
        <v>5110</v>
      </c>
      <c r="G66" s="456">
        <v>1000</v>
      </c>
      <c r="H66" s="460" t="s">
        <v>433</v>
      </c>
      <c r="I66" s="459">
        <v>100360</v>
      </c>
      <c r="J66" s="458">
        <v>56102</v>
      </c>
      <c r="K66" s="264" t="str">
        <f t="shared" si="2"/>
        <v>020.0360.5110.1000.0530.100360.56102</v>
      </c>
      <c r="L66" s="271">
        <v>47064.3</v>
      </c>
      <c r="N66" s="274"/>
      <c r="O66" s="463"/>
    </row>
    <row r="67" spans="1:15">
      <c r="A67" s="266">
        <f t="shared" si="3"/>
        <v>58</v>
      </c>
      <c r="B67" s="275">
        <v>2011</v>
      </c>
      <c r="C67" s="264" t="s">
        <v>384</v>
      </c>
      <c r="D67" s="264" t="s">
        <v>434</v>
      </c>
      <c r="E67" s="229" t="s">
        <v>431</v>
      </c>
      <c r="F67" s="456">
        <v>5110</v>
      </c>
      <c r="G67" s="456">
        <v>1000</v>
      </c>
      <c r="H67" s="461">
        <v>1580</v>
      </c>
      <c r="I67" s="459">
        <v>100360</v>
      </c>
      <c r="J67" s="458">
        <v>56102</v>
      </c>
      <c r="K67" s="264" t="str">
        <f t="shared" si="2"/>
        <v>020.0360.5110.1000.1580.100360.56102</v>
      </c>
      <c r="L67" s="271">
        <v>18485.3</v>
      </c>
      <c r="N67" s="455"/>
      <c r="O67" s="463"/>
    </row>
    <row r="68" spans="1:15">
      <c r="A68" s="266">
        <f t="shared" si="3"/>
        <v>59</v>
      </c>
      <c r="B68" s="275">
        <v>2011</v>
      </c>
      <c r="C68" s="264" t="s">
        <v>384</v>
      </c>
      <c r="D68" s="264" t="s">
        <v>434</v>
      </c>
      <c r="E68" s="229" t="s">
        <v>431</v>
      </c>
      <c r="F68" s="456">
        <v>5116</v>
      </c>
      <c r="G68" s="460" t="s">
        <v>402</v>
      </c>
      <c r="H68" s="460" t="s">
        <v>397</v>
      </c>
      <c r="I68" s="459">
        <v>100360</v>
      </c>
      <c r="J68" s="458">
        <v>56102</v>
      </c>
      <c r="K68" s="264" t="str">
        <f t="shared" si="2"/>
        <v>020.0360.5116.0000.0520.100360.56102</v>
      </c>
      <c r="L68" s="271">
        <v>1082.42</v>
      </c>
      <c r="N68" s="274"/>
      <c r="O68" s="463"/>
    </row>
    <row r="69" spans="1:15">
      <c r="A69" s="266">
        <f t="shared" si="3"/>
        <v>60</v>
      </c>
      <c r="B69" s="275">
        <v>2011</v>
      </c>
      <c r="C69" s="264" t="s">
        <v>384</v>
      </c>
      <c r="D69" s="264" t="s">
        <v>434</v>
      </c>
      <c r="E69" s="229" t="s">
        <v>431</v>
      </c>
      <c r="F69" s="456">
        <v>5116</v>
      </c>
      <c r="G69" s="460" t="s">
        <v>402</v>
      </c>
      <c r="H69" s="460" t="s">
        <v>433</v>
      </c>
      <c r="I69" s="459">
        <v>100360</v>
      </c>
      <c r="J69" s="458">
        <v>56102</v>
      </c>
      <c r="K69" s="264" t="str">
        <f t="shared" si="2"/>
        <v>020.0360.5116.0000.0530.100360.56102</v>
      </c>
      <c r="L69" s="271">
        <v>68.510000000000005</v>
      </c>
      <c r="N69" s="274"/>
      <c r="O69" s="463"/>
    </row>
    <row r="70" spans="1:15">
      <c r="A70" s="266">
        <f t="shared" si="3"/>
        <v>61</v>
      </c>
      <c r="B70" s="275">
        <v>2012</v>
      </c>
      <c r="C70" s="264" t="s">
        <v>384</v>
      </c>
      <c r="D70" s="264" t="s">
        <v>434</v>
      </c>
      <c r="E70" s="229" t="s">
        <v>431</v>
      </c>
      <c r="F70" s="456">
        <v>5116</v>
      </c>
      <c r="G70" s="460" t="s">
        <v>402</v>
      </c>
      <c r="H70" s="461">
        <v>1495</v>
      </c>
      <c r="I70" s="459">
        <v>100360</v>
      </c>
      <c r="J70" s="458">
        <v>56102</v>
      </c>
      <c r="K70" s="264" t="str">
        <f t="shared" si="2"/>
        <v>020.0360.5116.0000.1495.100360.56102</v>
      </c>
      <c r="L70" s="271">
        <v>966.59</v>
      </c>
      <c r="N70" s="274"/>
      <c r="O70" s="463"/>
    </row>
    <row r="71" spans="1:15">
      <c r="A71" s="266">
        <f t="shared" si="3"/>
        <v>62</v>
      </c>
      <c r="B71" s="275">
        <v>2013</v>
      </c>
      <c r="C71" s="264" t="s">
        <v>384</v>
      </c>
      <c r="D71" s="264" t="s">
        <v>434</v>
      </c>
      <c r="E71" s="229" t="s">
        <v>431</v>
      </c>
      <c r="F71" s="456">
        <v>5116</v>
      </c>
      <c r="G71" s="460" t="s">
        <v>402</v>
      </c>
      <c r="H71" s="461">
        <v>1580</v>
      </c>
      <c r="I71" s="459">
        <v>100360</v>
      </c>
      <c r="J71" s="458">
        <v>56102</v>
      </c>
      <c r="K71" s="264" t="str">
        <f t="shared" si="2"/>
        <v>020.0360.5116.0000.1580.100360.56102</v>
      </c>
      <c r="L71" s="271">
        <v>7237.02</v>
      </c>
      <c r="N71" s="274"/>
      <c r="O71" s="463"/>
    </row>
    <row r="72" spans="1:15">
      <c r="A72" s="266">
        <f t="shared" si="3"/>
        <v>63</v>
      </c>
      <c r="B72" s="275">
        <v>2014</v>
      </c>
      <c r="C72" s="264" t="s">
        <v>384</v>
      </c>
      <c r="D72" s="264" t="s">
        <v>434</v>
      </c>
      <c r="E72" s="229" t="s">
        <v>431</v>
      </c>
      <c r="F72" s="456">
        <v>5240</v>
      </c>
      <c r="G72" s="456">
        <v>3000</v>
      </c>
      <c r="H72" s="461">
        <v>1495</v>
      </c>
      <c r="I72" s="459">
        <v>100360</v>
      </c>
      <c r="J72" s="458">
        <v>56102</v>
      </c>
      <c r="K72" s="264" t="str">
        <f t="shared" si="2"/>
        <v>020.0360.5240.3000.1495.100360.56102</v>
      </c>
      <c r="L72" s="271">
        <v>1233</v>
      </c>
      <c r="N72" s="274"/>
      <c r="O72" s="463"/>
    </row>
    <row r="73" spans="1:15">
      <c r="A73" s="266">
        <f t="shared" si="3"/>
        <v>64</v>
      </c>
      <c r="B73" s="275">
        <v>2015</v>
      </c>
      <c r="C73" s="264" t="s">
        <v>384</v>
      </c>
      <c r="D73" s="264" t="s">
        <v>434</v>
      </c>
      <c r="E73" s="229" t="s">
        <v>431</v>
      </c>
      <c r="F73" s="456">
        <v>5240</v>
      </c>
      <c r="G73" s="456">
        <v>3000</v>
      </c>
      <c r="H73" s="461">
        <v>1580</v>
      </c>
      <c r="I73" s="459">
        <v>100360</v>
      </c>
      <c r="J73" s="458">
        <v>56102</v>
      </c>
      <c r="K73" s="264" t="str">
        <f t="shared" si="2"/>
        <v>020.0360.5240.3000.1580.100360.56102</v>
      </c>
      <c r="L73" s="271">
        <v>888</v>
      </c>
      <c r="N73" s="274"/>
      <c r="O73" s="463"/>
    </row>
    <row r="74" spans="1:15">
      <c r="A74" s="266">
        <f t="shared" si="3"/>
        <v>65</v>
      </c>
      <c r="B74" s="275">
        <v>2016</v>
      </c>
      <c r="C74" s="264" t="s">
        <v>384</v>
      </c>
      <c r="D74" s="264" t="s">
        <v>434</v>
      </c>
      <c r="E74" s="229" t="s">
        <v>443</v>
      </c>
      <c r="F74" s="456">
        <v>5100</v>
      </c>
      <c r="G74" s="456">
        <v>1110</v>
      </c>
      <c r="H74" s="460" t="s">
        <v>433</v>
      </c>
      <c r="I74" s="459">
        <v>100360</v>
      </c>
      <c r="J74" s="458">
        <v>56102</v>
      </c>
      <c r="K74" s="264" t="str">
        <f t="shared" si="2"/>
        <v>020.0460.5100.1110.0530.100360.56102</v>
      </c>
      <c r="L74" s="271">
        <v>6563.85</v>
      </c>
      <c r="N74" s="274"/>
      <c r="O74" s="463"/>
    </row>
    <row r="75" spans="1:15">
      <c r="A75" s="266">
        <f t="shared" si="3"/>
        <v>66</v>
      </c>
      <c r="B75" s="275">
        <v>2017</v>
      </c>
      <c r="C75" s="264" t="s">
        <v>384</v>
      </c>
      <c r="D75" s="264" t="s">
        <v>434</v>
      </c>
      <c r="E75" s="229" t="s">
        <v>443</v>
      </c>
      <c r="F75" s="456">
        <v>5100</v>
      </c>
      <c r="G75" s="456">
        <v>1110</v>
      </c>
      <c r="H75" s="461">
        <v>1580</v>
      </c>
      <c r="I75" s="459">
        <v>100360</v>
      </c>
      <c r="J75" s="458">
        <v>56102</v>
      </c>
      <c r="K75" s="264" t="str">
        <f t="shared" si="2"/>
        <v>020.0460.5100.1110.1580.100360.56102</v>
      </c>
      <c r="L75" s="271">
        <v>920.53</v>
      </c>
      <c r="N75" s="274"/>
      <c r="O75" s="463"/>
    </row>
    <row r="76" spans="1:15">
      <c r="A76" s="266">
        <f t="shared" si="3"/>
        <v>67</v>
      </c>
      <c r="B76" s="275">
        <v>2018</v>
      </c>
      <c r="C76" s="264" t="s">
        <v>384</v>
      </c>
      <c r="D76" s="264" t="s">
        <v>434</v>
      </c>
      <c r="E76" s="229" t="s">
        <v>443</v>
      </c>
      <c r="F76" s="456">
        <v>5100</v>
      </c>
      <c r="G76" s="456">
        <v>2100</v>
      </c>
      <c r="H76" s="460" t="s">
        <v>433</v>
      </c>
      <c r="I76" s="459">
        <v>100360</v>
      </c>
      <c r="J76" s="458">
        <v>56102</v>
      </c>
      <c r="K76" s="264" t="str">
        <f t="shared" si="2"/>
        <v>020.0460.5100.2100.0530.100360.56102</v>
      </c>
      <c r="L76" s="271">
        <v>-6563.85</v>
      </c>
      <c r="N76" s="274"/>
      <c r="O76" s="463"/>
    </row>
    <row r="77" spans="1:15">
      <c r="A77" s="266">
        <f t="shared" si="3"/>
        <v>68</v>
      </c>
      <c r="B77" s="275">
        <v>2019</v>
      </c>
      <c r="C77" s="264" t="s">
        <v>384</v>
      </c>
      <c r="D77" s="264" t="s">
        <v>434</v>
      </c>
      <c r="E77" s="229" t="s">
        <v>443</v>
      </c>
      <c r="F77" s="456">
        <v>5100</v>
      </c>
      <c r="G77" s="456">
        <v>2100</v>
      </c>
      <c r="H77" s="461">
        <v>1580</v>
      </c>
      <c r="I77" s="459">
        <v>100360</v>
      </c>
      <c r="J77" s="458">
        <v>56102</v>
      </c>
      <c r="K77" s="264" t="str">
        <f t="shared" si="2"/>
        <v>020.0460.5100.2100.1580.100360.56102</v>
      </c>
      <c r="L77" s="271">
        <v>-920.53</v>
      </c>
      <c r="N77" s="274"/>
      <c r="O77" s="463"/>
    </row>
    <row r="78" spans="1:15">
      <c r="A78" s="266">
        <f t="shared" si="3"/>
        <v>69</v>
      </c>
      <c r="B78" s="275">
        <v>2020</v>
      </c>
      <c r="C78" s="264" t="s">
        <v>384</v>
      </c>
      <c r="D78" s="264" t="s">
        <v>434</v>
      </c>
      <c r="E78" s="229" t="s">
        <v>395</v>
      </c>
      <c r="F78" s="456">
        <v>5100</v>
      </c>
      <c r="G78" s="456">
        <v>1110</v>
      </c>
      <c r="H78" s="460" t="s">
        <v>433</v>
      </c>
      <c r="I78" s="459">
        <v>100360</v>
      </c>
      <c r="J78" s="458">
        <v>56102</v>
      </c>
      <c r="K78" s="264" t="str">
        <f t="shared" si="2"/>
        <v>020.0720.5100.1110.0530.100360.56102</v>
      </c>
      <c r="L78" s="271">
        <v>1381.9</v>
      </c>
      <c r="N78" s="274"/>
      <c r="O78" s="463"/>
    </row>
    <row r="79" spans="1:15">
      <c r="A79" s="266">
        <f t="shared" si="3"/>
        <v>70</v>
      </c>
      <c r="B79" s="275">
        <v>2021</v>
      </c>
      <c r="C79" s="264" t="s">
        <v>384</v>
      </c>
      <c r="D79" s="264" t="s">
        <v>434</v>
      </c>
      <c r="E79" s="229" t="s">
        <v>395</v>
      </c>
      <c r="F79" s="456">
        <v>5100</v>
      </c>
      <c r="G79" s="456">
        <v>2100</v>
      </c>
      <c r="H79" s="460" t="s">
        <v>433</v>
      </c>
      <c r="I79" s="459">
        <v>100360</v>
      </c>
      <c r="J79" s="458">
        <v>56102</v>
      </c>
      <c r="K79" s="264" t="str">
        <f t="shared" si="2"/>
        <v>020.0720.5100.2100.0530.100360.56102</v>
      </c>
      <c r="L79" s="271">
        <v>-1381.9</v>
      </c>
      <c r="N79" s="274"/>
      <c r="O79" s="463"/>
    </row>
    <row r="80" spans="1:15">
      <c r="A80" s="266">
        <f t="shared" si="3"/>
        <v>71</v>
      </c>
      <c r="B80" s="275">
        <v>2022</v>
      </c>
      <c r="C80" s="264" t="s">
        <v>384</v>
      </c>
      <c r="D80" s="264" t="s">
        <v>434</v>
      </c>
      <c r="E80" s="229" t="s">
        <v>504</v>
      </c>
      <c r="F80" s="456">
        <v>5100</v>
      </c>
      <c r="G80" s="456">
        <v>1100</v>
      </c>
      <c r="H80" s="461">
        <v>9999</v>
      </c>
      <c r="I80" s="460" t="s">
        <v>390</v>
      </c>
      <c r="J80" s="458">
        <v>56102</v>
      </c>
      <c r="K80" s="264" t="str">
        <f t="shared" si="2"/>
        <v>020.0960.5100.1100.9999.000000.56102</v>
      </c>
      <c r="L80" s="271">
        <v>11196</v>
      </c>
      <c r="N80" s="274"/>
      <c r="O80" s="463"/>
    </row>
    <row r="81" spans="1:15">
      <c r="A81" s="266">
        <f t="shared" si="3"/>
        <v>72</v>
      </c>
      <c r="B81" s="275">
        <v>2023</v>
      </c>
      <c r="C81" s="264" t="s">
        <v>384</v>
      </c>
      <c r="D81" s="264" t="s">
        <v>434</v>
      </c>
      <c r="E81" s="229" t="s">
        <v>608</v>
      </c>
      <c r="F81" s="456">
        <v>5100</v>
      </c>
      <c r="G81" s="456">
        <v>1110</v>
      </c>
      <c r="H81" s="460" t="s">
        <v>433</v>
      </c>
      <c r="I81" s="459">
        <v>100360</v>
      </c>
      <c r="J81" s="458">
        <v>56102</v>
      </c>
      <c r="K81" s="264" t="str">
        <f t="shared" si="2"/>
        <v>020.1690.5100.1110.0530.100360.56102</v>
      </c>
      <c r="L81" s="271">
        <v>17626.310000000001</v>
      </c>
      <c r="N81" s="274"/>
      <c r="O81" s="463"/>
    </row>
    <row r="82" spans="1:15">
      <c r="A82" s="266">
        <f t="shared" si="3"/>
        <v>73</v>
      </c>
      <c r="B82" s="275">
        <v>2024</v>
      </c>
      <c r="C82" s="264" t="s">
        <v>384</v>
      </c>
      <c r="D82" s="264" t="s">
        <v>434</v>
      </c>
      <c r="E82" s="229" t="s">
        <v>608</v>
      </c>
      <c r="F82" s="456">
        <v>5100</v>
      </c>
      <c r="G82" s="456">
        <v>2100</v>
      </c>
      <c r="H82" s="460" t="s">
        <v>433</v>
      </c>
      <c r="I82" s="459">
        <v>100360</v>
      </c>
      <c r="J82" s="458">
        <v>56102</v>
      </c>
      <c r="K82" s="264" t="str">
        <f t="shared" si="2"/>
        <v>020.1690.5100.2100.0530.100360.56102</v>
      </c>
      <c r="L82" s="271">
        <v>-17626.310000000001</v>
      </c>
      <c r="N82" s="274"/>
      <c r="O82" s="463"/>
    </row>
    <row r="83" spans="1:15">
      <c r="A83" s="266">
        <f t="shared" si="3"/>
        <v>74</v>
      </c>
      <c r="B83" s="275">
        <v>2025</v>
      </c>
      <c r="C83" s="264" t="s">
        <v>384</v>
      </c>
      <c r="D83" s="460" t="s">
        <v>391</v>
      </c>
      <c r="E83" s="229" t="s">
        <v>431</v>
      </c>
      <c r="F83" s="456">
        <v>5107</v>
      </c>
      <c r="G83" s="460" t="s">
        <v>402</v>
      </c>
      <c r="H83" s="461">
        <v>1580</v>
      </c>
      <c r="I83" s="459">
        <v>100360</v>
      </c>
      <c r="J83" s="458">
        <v>56102</v>
      </c>
      <c r="K83" s="264" t="str">
        <f t="shared" ref="K83" si="11">CONCATENATE(D83,".",E83,".",F83,".",G83,".",H83,".",I83,".",J83)</f>
        <v>030.0360.5107.0000.1580.100360.56102</v>
      </c>
      <c r="L83" s="273">
        <v>442</v>
      </c>
      <c r="N83" s="455"/>
      <c r="O83" s="463"/>
    </row>
    <row r="84" spans="1:15">
      <c r="A84" s="266">
        <f t="shared" si="3"/>
        <v>75</v>
      </c>
      <c r="B84" s="275"/>
      <c r="C84" s="264"/>
      <c r="D84" s="264"/>
      <c r="E84" s="264"/>
      <c r="F84" s="264"/>
      <c r="G84" s="264"/>
      <c r="H84" s="326"/>
      <c r="I84" s="264"/>
      <c r="J84" s="264"/>
      <c r="K84" s="264"/>
      <c r="L84" s="271">
        <f>SUM(L19:L83)</f>
        <v>2324061.2600000002</v>
      </c>
      <c r="N84" s="462"/>
    </row>
    <row r="85" spans="1:15">
      <c r="A85" s="266">
        <f t="shared" si="3"/>
        <v>76</v>
      </c>
      <c r="B85" s="275"/>
      <c r="K85" s="264"/>
      <c r="L85" s="272"/>
      <c r="N85" s="342"/>
    </row>
    <row r="86" spans="1:15">
      <c r="A86" s="266">
        <f t="shared" si="3"/>
        <v>77</v>
      </c>
      <c r="B86" s="275">
        <v>2011</v>
      </c>
      <c r="C86" s="264" t="s">
        <v>384</v>
      </c>
      <c r="D86" s="264" t="s">
        <v>434</v>
      </c>
      <c r="E86" s="264" t="s">
        <v>449</v>
      </c>
      <c r="F86" s="264" t="s">
        <v>392</v>
      </c>
      <c r="G86" s="264" t="s">
        <v>393</v>
      </c>
      <c r="H86" s="264" t="s">
        <v>450</v>
      </c>
      <c r="I86" s="264" t="s">
        <v>511</v>
      </c>
      <c r="J86" s="264">
        <v>56105</v>
      </c>
      <c r="K86" s="264" t="str">
        <f>CONCATENATE(D86,".",E86,".",F86,".",G86,".",H86,".",I86,".",J86)</f>
        <v>020.0310.5100.1100.1500.100310.56105</v>
      </c>
      <c r="L86" s="271">
        <v>436591.2</v>
      </c>
      <c r="N86" s="342"/>
    </row>
    <row r="87" spans="1:15">
      <c r="A87" s="266">
        <f t="shared" si="3"/>
        <v>78</v>
      </c>
      <c r="B87" s="275">
        <v>2011</v>
      </c>
      <c r="C87" s="264" t="s">
        <v>384</v>
      </c>
      <c r="D87" s="264" t="s">
        <v>434</v>
      </c>
      <c r="E87" s="264" t="s">
        <v>449</v>
      </c>
      <c r="F87" s="264" t="s">
        <v>392</v>
      </c>
      <c r="G87" s="264" t="s">
        <v>438</v>
      </c>
      <c r="H87" s="264" t="s">
        <v>450</v>
      </c>
      <c r="I87" s="264" t="s">
        <v>511</v>
      </c>
      <c r="J87" s="264">
        <v>56105</v>
      </c>
      <c r="K87" s="264" t="str">
        <f>CONCATENATE(D87,".",E87,".",F87,".",G87,".",H87,".",I87,".",J87)</f>
        <v>020.0310.5100.1120.1500.100310.56105</v>
      </c>
      <c r="L87" s="271">
        <v>0</v>
      </c>
    </row>
    <row r="88" spans="1:15">
      <c r="A88" s="266">
        <f t="shared" si="3"/>
        <v>79</v>
      </c>
      <c r="B88" s="275">
        <v>2011</v>
      </c>
      <c r="C88" s="264" t="s">
        <v>384</v>
      </c>
      <c r="D88" s="264" t="s">
        <v>434</v>
      </c>
      <c r="E88" s="264" t="s">
        <v>449</v>
      </c>
      <c r="F88" s="264" t="s">
        <v>387</v>
      </c>
      <c r="G88" s="264" t="s">
        <v>388</v>
      </c>
      <c r="H88" s="264" t="s">
        <v>450</v>
      </c>
      <c r="I88" s="264" t="s">
        <v>511</v>
      </c>
      <c r="J88" s="264">
        <v>56105</v>
      </c>
      <c r="K88" s="264" t="str">
        <f t="shared" ref="K88:K116" si="12">CONCATENATE(D88,".",E88,".",F88,".",G88,".",H88,".",I88,".",J88)</f>
        <v>020.0310.5101.2500.1500.100310.56105</v>
      </c>
      <c r="L88" s="271">
        <v>2615.7199999999998</v>
      </c>
    </row>
    <row r="89" spans="1:15">
      <c r="A89" s="266">
        <f t="shared" si="3"/>
        <v>80</v>
      </c>
      <c r="B89" s="275">
        <v>2011</v>
      </c>
      <c r="C89" s="264" t="s">
        <v>384</v>
      </c>
      <c r="D89" s="264" t="s">
        <v>434</v>
      </c>
      <c r="E89" s="264" t="s">
        <v>449</v>
      </c>
      <c r="F89" s="264" t="s">
        <v>387</v>
      </c>
      <c r="G89" s="264" t="s">
        <v>399</v>
      </c>
      <c r="H89" s="264" t="s">
        <v>450</v>
      </c>
      <c r="I89" s="264" t="s">
        <v>511</v>
      </c>
      <c r="J89" s="264">
        <v>56105</v>
      </c>
      <c r="K89" s="264" t="str">
        <f t="shared" si="12"/>
        <v>020.0310.5101.2600.1500.100310.56105</v>
      </c>
      <c r="L89" s="271">
        <v>725.85</v>
      </c>
    </row>
    <row r="90" spans="1:15">
      <c r="A90" s="266">
        <f t="shared" si="3"/>
        <v>81</v>
      </c>
      <c r="B90" s="275">
        <v>2011</v>
      </c>
      <c r="C90" s="264" t="s">
        <v>384</v>
      </c>
      <c r="D90" s="264" t="s">
        <v>434</v>
      </c>
      <c r="E90" s="264" t="s">
        <v>449</v>
      </c>
      <c r="F90" s="264" t="s">
        <v>387</v>
      </c>
      <c r="G90" s="264" t="s">
        <v>507</v>
      </c>
      <c r="H90" s="264" t="s">
        <v>450</v>
      </c>
      <c r="I90" s="264" t="s">
        <v>511</v>
      </c>
      <c r="J90" s="264">
        <v>56105</v>
      </c>
      <c r="K90" s="264" t="str">
        <f t="shared" si="12"/>
        <v>020.0310.5101.2700.1500.100310.56105</v>
      </c>
      <c r="L90" s="271">
        <v>227.43</v>
      </c>
    </row>
    <row r="91" spans="1:15">
      <c r="A91" s="266">
        <f t="shared" si="3"/>
        <v>82</v>
      </c>
      <c r="B91" s="275">
        <v>2011</v>
      </c>
      <c r="C91" s="264" t="s">
        <v>384</v>
      </c>
      <c r="D91" s="264" t="s">
        <v>434</v>
      </c>
      <c r="E91" s="264" t="s">
        <v>449</v>
      </c>
      <c r="F91" s="264" t="s">
        <v>439</v>
      </c>
      <c r="G91" s="264" t="s">
        <v>402</v>
      </c>
      <c r="H91" s="264" t="s">
        <v>450</v>
      </c>
      <c r="I91" s="264" t="s">
        <v>511</v>
      </c>
      <c r="J91" s="264">
        <v>56105</v>
      </c>
      <c r="K91" s="264" t="str">
        <f t="shared" si="12"/>
        <v>020.0310.5102.0000.1500.100310.56105</v>
      </c>
      <c r="L91" s="271">
        <v>0</v>
      </c>
    </row>
    <row r="92" spans="1:15">
      <c r="A92" s="266">
        <f t="shared" si="3"/>
        <v>83</v>
      </c>
      <c r="B92" s="275">
        <v>2011</v>
      </c>
      <c r="C92" s="264" t="s">
        <v>384</v>
      </c>
      <c r="D92" s="264" t="s">
        <v>434</v>
      </c>
      <c r="E92" s="264" t="s">
        <v>449</v>
      </c>
      <c r="F92" s="264" t="s">
        <v>401</v>
      </c>
      <c r="G92" s="264" t="s">
        <v>402</v>
      </c>
      <c r="H92" s="264" t="s">
        <v>450</v>
      </c>
      <c r="I92" s="264" t="s">
        <v>511</v>
      </c>
      <c r="J92" s="264">
        <v>56105</v>
      </c>
      <c r="K92" s="264" t="str">
        <f t="shared" si="12"/>
        <v>020.0310.5103.0000.1500.100310.56105</v>
      </c>
      <c r="L92" s="271">
        <v>6648.31</v>
      </c>
    </row>
    <row r="93" spans="1:15">
      <c r="A93" s="266">
        <f t="shared" si="3"/>
        <v>84</v>
      </c>
      <c r="B93" s="275">
        <v>2011</v>
      </c>
      <c r="C93" s="264" t="s">
        <v>384</v>
      </c>
      <c r="D93" s="264" t="s">
        <v>434</v>
      </c>
      <c r="E93" s="264" t="s">
        <v>449</v>
      </c>
      <c r="F93" s="264" t="s">
        <v>440</v>
      </c>
      <c r="G93" s="264" t="s">
        <v>402</v>
      </c>
      <c r="H93" s="264" t="s">
        <v>450</v>
      </c>
      <c r="I93" s="264" t="s">
        <v>511</v>
      </c>
      <c r="J93" s="264">
        <v>56105</v>
      </c>
      <c r="K93" s="264" t="str">
        <f t="shared" si="12"/>
        <v>020.0310.5105.0000.1500.100310.56105</v>
      </c>
      <c r="L93" s="271">
        <v>5098.04</v>
      </c>
    </row>
    <row r="94" spans="1:15">
      <c r="A94" s="266">
        <f t="shared" si="3"/>
        <v>85</v>
      </c>
      <c r="B94" s="275">
        <v>2011</v>
      </c>
      <c r="C94" s="264" t="s">
        <v>384</v>
      </c>
      <c r="D94" s="264" t="s">
        <v>434</v>
      </c>
      <c r="E94" s="264" t="s">
        <v>449</v>
      </c>
      <c r="F94" s="264" t="s">
        <v>432</v>
      </c>
      <c r="G94" s="264" t="s">
        <v>402</v>
      </c>
      <c r="H94" s="264" t="s">
        <v>450</v>
      </c>
      <c r="I94" s="264" t="s">
        <v>511</v>
      </c>
      <c r="J94" s="264">
        <v>56105</v>
      </c>
      <c r="K94" s="264" t="str">
        <f t="shared" si="12"/>
        <v>020.0310.5107.0000.1500.100310.56105</v>
      </c>
      <c r="L94" s="271">
        <v>73.430000000000007</v>
      </c>
    </row>
    <row r="95" spans="1:15">
      <c r="A95" s="266">
        <f t="shared" si="3"/>
        <v>86</v>
      </c>
      <c r="B95" s="275">
        <v>2011</v>
      </c>
      <c r="C95" s="264" t="s">
        <v>384</v>
      </c>
      <c r="D95" s="264" t="s">
        <v>434</v>
      </c>
      <c r="E95" s="264" t="s">
        <v>449</v>
      </c>
      <c r="F95" s="264" t="s">
        <v>405</v>
      </c>
      <c r="G95" s="264" t="s">
        <v>406</v>
      </c>
      <c r="H95" s="264" t="s">
        <v>450</v>
      </c>
      <c r="I95" s="264" t="s">
        <v>511</v>
      </c>
      <c r="J95" s="264">
        <v>56105</v>
      </c>
      <c r="K95" s="264" t="str">
        <f t="shared" si="12"/>
        <v>020.0310.5110.1000.1500.100310.56105</v>
      </c>
      <c r="L95" s="271">
        <v>22762.36</v>
      </c>
    </row>
    <row r="96" spans="1:15">
      <c r="A96" s="266">
        <f t="shared" si="3"/>
        <v>87</v>
      </c>
      <c r="B96" s="275">
        <v>2011</v>
      </c>
      <c r="C96" s="264" t="s">
        <v>384</v>
      </c>
      <c r="D96" s="264" t="s">
        <v>434</v>
      </c>
      <c r="E96" s="264" t="s">
        <v>449</v>
      </c>
      <c r="F96" s="264" t="s">
        <v>442</v>
      </c>
      <c r="G96" s="264" t="s">
        <v>402</v>
      </c>
      <c r="H96" s="264" t="s">
        <v>450</v>
      </c>
      <c r="I96" s="264" t="s">
        <v>511</v>
      </c>
      <c r="J96" s="264">
        <v>56105</v>
      </c>
      <c r="K96" s="264" t="str">
        <f t="shared" si="12"/>
        <v>020.0310.5116.0000.1500.100310.56105</v>
      </c>
      <c r="L96" s="271">
        <v>31.58</v>
      </c>
    </row>
    <row r="97" spans="1:12">
      <c r="A97" s="266">
        <f t="shared" si="3"/>
        <v>88</v>
      </c>
      <c r="B97" s="275">
        <v>2011</v>
      </c>
      <c r="C97" s="264" t="s">
        <v>384</v>
      </c>
      <c r="D97" s="264" t="s">
        <v>434</v>
      </c>
      <c r="E97" s="264" t="s">
        <v>451</v>
      </c>
      <c r="F97" s="264" t="s">
        <v>392</v>
      </c>
      <c r="G97" s="264" t="s">
        <v>393</v>
      </c>
      <c r="H97" s="264" t="s">
        <v>437</v>
      </c>
      <c r="I97" s="264" t="s">
        <v>509</v>
      </c>
      <c r="J97" s="264">
        <v>56105</v>
      </c>
      <c r="K97" s="264" t="str">
        <f t="shared" si="12"/>
        <v>020.0320.5100.1100.0540.100320.56105</v>
      </c>
      <c r="L97" s="271">
        <v>58266.28</v>
      </c>
    </row>
    <row r="98" spans="1:12">
      <c r="A98" s="266">
        <f t="shared" si="3"/>
        <v>89</v>
      </c>
      <c r="B98" s="275">
        <v>2011</v>
      </c>
      <c r="C98" s="264" t="s">
        <v>384</v>
      </c>
      <c r="D98" s="264" t="s">
        <v>434</v>
      </c>
      <c r="E98" s="264" t="s">
        <v>451</v>
      </c>
      <c r="F98" s="264" t="s">
        <v>387</v>
      </c>
      <c r="G98" s="264" t="s">
        <v>388</v>
      </c>
      <c r="H98" s="264" t="s">
        <v>437</v>
      </c>
      <c r="I98" s="264" t="s">
        <v>509</v>
      </c>
      <c r="J98" s="264">
        <v>56105</v>
      </c>
      <c r="K98" s="264" t="str">
        <f t="shared" si="12"/>
        <v>020.0320.5101.2500.0540.100320.56105</v>
      </c>
      <c r="L98" s="271">
        <v>0</v>
      </c>
    </row>
    <row r="99" spans="1:12">
      <c r="A99" s="266">
        <f t="shared" si="3"/>
        <v>90</v>
      </c>
      <c r="B99" s="275">
        <v>2011</v>
      </c>
      <c r="C99" s="264" t="s">
        <v>384</v>
      </c>
      <c r="D99" s="264" t="s">
        <v>434</v>
      </c>
      <c r="E99" s="264" t="s">
        <v>451</v>
      </c>
      <c r="F99" s="264" t="s">
        <v>387</v>
      </c>
      <c r="G99" s="264" t="s">
        <v>399</v>
      </c>
      <c r="H99" s="264" t="s">
        <v>437</v>
      </c>
      <c r="I99" s="264" t="s">
        <v>509</v>
      </c>
      <c r="J99" s="264">
        <v>56105</v>
      </c>
      <c r="K99" s="264" t="str">
        <f t="shared" si="12"/>
        <v>020.0320.5101.2600.0540.100320.56105</v>
      </c>
      <c r="L99" s="271">
        <v>0</v>
      </c>
    </row>
    <row r="100" spans="1:12">
      <c r="A100" s="266">
        <f t="shared" si="3"/>
        <v>91</v>
      </c>
      <c r="B100" s="275">
        <v>2011</v>
      </c>
      <c r="C100" s="264" t="s">
        <v>384</v>
      </c>
      <c r="D100" s="264" t="s">
        <v>434</v>
      </c>
      <c r="E100" s="264" t="s">
        <v>451</v>
      </c>
      <c r="F100" s="264" t="s">
        <v>405</v>
      </c>
      <c r="G100" s="264" t="s">
        <v>406</v>
      </c>
      <c r="H100" s="264" t="s">
        <v>437</v>
      </c>
      <c r="I100" s="264" t="s">
        <v>509</v>
      </c>
      <c r="J100" s="264">
        <v>56105</v>
      </c>
      <c r="K100" s="264" t="str">
        <f t="shared" si="12"/>
        <v>020.0320.5110.1000.0540.100320.56105</v>
      </c>
      <c r="L100" s="271">
        <v>0</v>
      </c>
    </row>
    <row r="101" spans="1:12">
      <c r="A101" s="266">
        <f t="shared" si="3"/>
        <v>92</v>
      </c>
      <c r="B101" s="275">
        <v>2011</v>
      </c>
      <c r="C101" s="264" t="s">
        <v>384</v>
      </c>
      <c r="D101" s="264" t="s">
        <v>434</v>
      </c>
      <c r="E101" s="264" t="s">
        <v>443</v>
      </c>
      <c r="F101" s="264" t="s">
        <v>392</v>
      </c>
      <c r="G101" s="264" t="s">
        <v>393</v>
      </c>
      <c r="H101" s="264" t="s">
        <v>433</v>
      </c>
      <c r="I101" s="264" t="s">
        <v>510</v>
      </c>
      <c r="J101" s="264">
        <v>56105</v>
      </c>
      <c r="K101" s="264" t="str">
        <f t="shared" si="12"/>
        <v>020.0460.5100.1100.0530.100460.56105</v>
      </c>
      <c r="L101" s="271">
        <v>13310.62</v>
      </c>
    </row>
    <row r="102" spans="1:12">
      <c r="A102" s="266">
        <f t="shared" si="3"/>
        <v>93</v>
      </c>
      <c r="B102" s="275">
        <v>2011</v>
      </c>
      <c r="C102" s="264" t="s">
        <v>384</v>
      </c>
      <c r="D102" s="264" t="s">
        <v>434</v>
      </c>
      <c r="E102" s="264" t="s">
        <v>443</v>
      </c>
      <c r="F102" s="264" t="s">
        <v>392</v>
      </c>
      <c r="G102" s="264" t="s">
        <v>435</v>
      </c>
      <c r="H102" s="326" t="s">
        <v>433</v>
      </c>
      <c r="I102" s="264">
        <v>100480</v>
      </c>
      <c r="J102" s="264">
        <v>56105</v>
      </c>
      <c r="K102" s="264" t="str">
        <f t="shared" si="12"/>
        <v>020.0460.5100.1110.0530.100480.56105</v>
      </c>
      <c r="L102" s="271">
        <v>2747.4</v>
      </c>
    </row>
    <row r="103" spans="1:12">
      <c r="A103" s="266">
        <f t="shared" si="3"/>
        <v>94</v>
      </c>
      <c r="B103" s="275">
        <v>2011</v>
      </c>
      <c r="C103" s="264" t="s">
        <v>384</v>
      </c>
      <c r="D103" s="264" t="s">
        <v>434</v>
      </c>
      <c r="E103" s="264" t="s">
        <v>443</v>
      </c>
      <c r="F103" s="264" t="s">
        <v>392</v>
      </c>
      <c r="G103" s="264" t="s">
        <v>438</v>
      </c>
      <c r="H103" s="264" t="s">
        <v>433</v>
      </c>
      <c r="I103" s="264" t="s">
        <v>510</v>
      </c>
      <c r="J103" s="264">
        <v>56105</v>
      </c>
      <c r="K103" s="264" t="str">
        <f t="shared" si="12"/>
        <v>020.0460.5100.1120.0530.100460.56105</v>
      </c>
      <c r="L103" s="271">
        <v>17128.150000000001</v>
      </c>
    </row>
    <row r="104" spans="1:12">
      <c r="A104" s="266">
        <f t="shared" si="3"/>
        <v>95</v>
      </c>
      <c r="B104" s="275">
        <v>2011</v>
      </c>
      <c r="C104" s="264" t="s">
        <v>384</v>
      </c>
      <c r="D104" s="264" t="s">
        <v>434</v>
      </c>
      <c r="E104" s="264" t="s">
        <v>443</v>
      </c>
      <c r="F104" s="264" t="s">
        <v>392</v>
      </c>
      <c r="G104" s="264" t="s">
        <v>436</v>
      </c>
      <c r="H104" s="326" t="s">
        <v>433</v>
      </c>
      <c r="I104" s="264">
        <v>100480</v>
      </c>
      <c r="J104" s="264">
        <v>56105</v>
      </c>
      <c r="K104" s="264" t="str">
        <f t="shared" si="12"/>
        <v>020.0460.5100.2100.0530.100480.56105</v>
      </c>
      <c r="L104" s="271">
        <v>-2747.4</v>
      </c>
    </row>
    <row r="105" spans="1:12">
      <c r="A105" s="266">
        <f t="shared" si="3"/>
        <v>96</v>
      </c>
      <c r="B105" s="275">
        <v>2011</v>
      </c>
      <c r="C105" s="264" t="s">
        <v>384</v>
      </c>
      <c r="D105" s="264" t="s">
        <v>434</v>
      </c>
      <c r="E105" s="264" t="s">
        <v>443</v>
      </c>
      <c r="F105" s="264">
        <v>5101</v>
      </c>
      <c r="G105" s="264">
        <v>2500</v>
      </c>
      <c r="H105" s="326" t="s">
        <v>433</v>
      </c>
      <c r="I105" s="264">
        <v>100460</v>
      </c>
      <c r="J105" s="264">
        <v>56105</v>
      </c>
      <c r="K105" s="264" t="str">
        <f t="shared" ref="K105" si="13">CONCATENATE(D105,".",E105,".",F105,".",G105,".",H105,".",I105,".",J105)</f>
        <v>020.0460.5101.2500.0530.100460.56105</v>
      </c>
      <c r="L105" s="271">
        <v>191.65</v>
      </c>
    </row>
    <row r="106" spans="1:12">
      <c r="A106" s="266">
        <f t="shared" si="3"/>
        <v>97</v>
      </c>
      <c r="B106" s="275">
        <v>2011</v>
      </c>
      <c r="C106" s="264" t="s">
        <v>384</v>
      </c>
      <c r="D106" s="264" t="s">
        <v>434</v>
      </c>
      <c r="E106" s="264" t="s">
        <v>443</v>
      </c>
      <c r="F106" s="264">
        <v>5101</v>
      </c>
      <c r="G106" s="264">
        <v>2600</v>
      </c>
      <c r="H106" s="326" t="s">
        <v>433</v>
      </c>
      <c r="I106" s="264">
        <v>100460</v>
      </c>
      <c r="J106" s="264">
        <v>56105</v>
      </c>
      <c r="K106" s="264" t="str">
        <f t="shared" ref="K106" si="14">CONCATENATE(D106,".",E106,".",F106,".",G106,".",H106,".",I106,".",J106)</f>
        <v>020.0460.5101.2600.0530.100460.56105</v>
      </c>
      <c r="L106" s="271">
        <v>50.73</v>
      </c>
    </row>
    <row r="107" spans="1:12">
      <c r="A107" s="266">
        <f t="shared" si="3"/>
        <v>98</v>
      </c>
      <c r="B107" s="275">
        <v>2011</v>
      </c>
      <c r="C107" s="264" t="s">
        <v>384</v>
      </c>
      <c r="D107" s="264" t="s">
        <v>434</v>
      </c>
      <c r="E107" s="264" t="s">
        <v>443</v>
      </c>
      <c r="F107" s="264">
        <v>5102</v>
      </c>
      <c r="G107" s="326" t="s">
        <v>402</v>
      </c>
      <c r="H107" s="326" t="s">
        <v>433</v>
      </c>
      <c r="I107" s="264">
        <v>100460</v>
      </c>
      <c r="J107" s="264">
        <v>56105</v>
      </c>
      <c r="K107" s="264" t="str">
        <f t="shared" ref="K107" si="15">CONCATENATE(D107,".",E107,".",F107,".",G107,".",H107,".",I107,".",J107)</f>
        <v>020.0460.5102.0000.0530.100460.56105</v>
      </c>
      <c r="L107" s="271">
        <v>1995</v>
      </c>
    </row>
    <row r="108" spans="1:12">
      <c r="A108" s="266">
        <f t="shared" si="3"/>
        <v>99</v>
      </c>
      <c r="B108" s="275">
        <v>2011</v>
      </c>
      <c r="C108" s="264" t="s">
        <v>384</v>
      </c>
      <c r="D108" s="264" t="s">
        <v>434</v>
      </c>
      <c r="E108" s="264" t="s">
        <v>443</v>
      </c>
      <c r="F108" s="264">
        <v>5103</v>
      </c>
      <c r="G108" s="326" t="s">
        <v>402</v>
      </c>
      <c r="H108" s="326" t="s">
        <v>433</v>
      </c>
      <c r="I108" s="264">
        <v>100460</v>
      </c>
      <c r="J108" s="264">
        <v>56105</v>
      </c>
      <c r="K108" s="264" t="str">
        <f t="shared" ref="K108" si="16">CONCATENATE(D108,".",E108,".",F108,".",G108,".",H108,".",I108,".",J108)</f>
        <v>020.0460.5103.0000.0530.100460.56105</v>
      </c>
      <c r="L108" s="271">
        <v>11.75</v>
      </c>
    </row>
    <row r="109" spans="1:12">
      <c r="A109" s="266">
        <f t="shared" si="3"/>
        <v>100</v>
      </c>
      <c r="B109" s="275">
        <v>2011</v>
      </c>
      <c r="C109" s="264" t="s">
        <v>384</v>
      </c>
      <c r="D109" s="264" t="s">
        <v>434</v>
      </c>
      <c r="E109" s="264" t="s">
        <v>443</v>
      </c>
      <c r="F109" s="264" t="s">
        <v>432</v>
      </c>
      <c r="G109" s="264" t="s">
        <v>402</v>
      </c>
      <c r="H109" s="264" t="s">
        <v>433</v>
      </c>
      <c r="I109" s="264" t="s">
        <v>510</v>
      </c>
      <c r="J109" s="264">
        <v>56105</v>
      </c>
      <c r="K109" s="264" t="str">
        <f t="shared" si="12"/>
        <v>020.0460.5107.0000.0530.100460.56105</v>
      </c>
      <c r="L109" s="271">
        <v>91.66</v>
      </c>
    </row>
    <row r="110" spans="1:12">
      <c r="A110" s="266">
        <f t="shared" si="3"/>
        <v>101</v>
      </c>
      <c r="B110" s="275">
        <v>2011</v>
      </c>
      <c r="C110" s="264" t="s">
        <v>384</v>
      </c>
      <c r="D110" s="264" t="s">
        <v>434</v>
      </c>
      <c r="E110" s="264" t="s">
        <v>443</v>
      </c>
      <c r="F110" s="264">
        <v>5110</v>
      </c>
      <c r="G110" s="326">
        <v>2000</v>
      </c>
      <c r="H110" s="264" t="s">
        <v>433</v>
      </c>
      <c r="I110" s="264" t="s">
        <v>510</v>
      </c>
      <c r="J110" s="264">
        <v>56105</v>
      </c>
      <c r="K110" s="264" t="str">
        <f t="shared" ref="K110:K111" si="17">CONCATENATE(D110,".",E110,".",F110,".",G110,".",H110,".",I110,".",J110)</f>
        <v>020.0460.5110.2000.0530.100460.56105</v>
      </c>
      <c r="L110" s="271">
        <v>5630</v>
      </c>
    </row>
    <row r="111" spans="1:12">
      <c r="A111" s="266">
        <f t="shared" si="3"/>
        <v>102</v>
      </c>
      <c r="B111" s="275">
        <v>2011</v>
      </c>
      <c r="C111" s="264" t="s">
        <v>384</v>
      </c>
      <c r="D111" s="264" t="s">
        <v>434</v>
      </c>
      <c r="E111" s="326" t="s">
        <v>499</v>
      </c>
      <c r="F111" s="264">
        <v>5100</v>
      </c>
      <c r="G111" s="264">
        <v>1100</v>
      </c>
      <c r="H111" s="264" t="s">
        <v>433</v>
      </c>
      <c r="I111" s="264">
        <v>100480</v>
      </c>
      <c r="J111" s="264">
        <v>56105</v>
      </c>
      <c r="K111" s="264" t="str">
        <f t="shared" si="17"/>
        <v>020.0480.5100.1100.0530.100480.56105</v>
      </c>
      <c r="L111" s="271">
        <v>7352.23</v>
      </c>
    </row>
    <row r="112" spans="1:12">
      <c r="A112" s="266">
        <f t="shared" si="3"/>
        <v>103</v>
      </c>
      <c r="B112" s="275">
        <v>2011</v>
      </c>
      <c r="C112" s="264" t="s">
        <v>384</v>
      </c>
      <c r="D112" s="264" t="s">
        <v>434</v>
      </c>
      <c r="E112" s="264" t="s">
        <v>499</v>
      </c>
      <c r="F112" s="264" t="s">
        <v>392</v>
      </c>
      <c r="G112" s="264" t="s">
        <v>435</v>
      </c>
      <c r="H112" s="264" t="s">
        <v>433</v>
      </c>
      <c r="I112" s="264" t="s">
        <v>510</v>
      </c>
      <c r="J112" s="264">
        <v>56105</v>
      </c>
      <c r="K112" s="264" t="str">
        <f t="shared" si="12"/>
        <v>020.0480.5100.1110.0530.100460.56105</v>
      </c>
      <c r="L112" s="271">
        <v>17128.150000000001</v>
      </c>
    </row>
    <row r="113" spans="1:14">
      <c r="A113" s="266">
        <f t="shared" si="3"/>
        <v>104</v>
      </c>
      <c r="B113" s="275">
        <v>2011</v>
      </c>
      <c r="C113" s="264" t="s">
        <v>384</v>
      </c>
      <c r="D113" s="264" t="s">
        <v>434</v>
      </c>
      <c r="E113" s="264" t="s">
        <v>499</v>
      </c>
      <c r="F113" s="264" t="s">
        <v>392</v>
      </c>
      <c r="G113" s="264" t="s">
        <v>436</v>
      </c>
      <c r="H113" s="264" t="s">
        <v>433</v>
      </c>
      <c r="I113" s="264" t="s">
        <v>510</v>
      </c>
      <c r="J113" s="264">
        <v>56105</v>
      </c>
      <c r="K113" s="264" t="str">
        <f t="shared" si="12"/>
        <v>020.0480.5100.2100.0530.100460.56105</v>
      </c>
      <c r="L113" s="271">
        <v>-17128.150000000001</v>
      </c>
    </row>
    <row r="114" spans="1:14">
      <c r="A114" s="266">
        <f t="shared" si="3"/>
        <v>105</v>
      </c>
      <c r="B114" s="275">
        <v>2011</v>
      </c>
      <c r="C114" s="264" t="s">
        <v>384</v>
      </c>
      <c r="D114" s="264" t="s">
        <v>434</v>
      </c>
      <c r="E114" s="326" t="s">
        <v>499</v>
      </c>
      <c r="F114" s="264" t="s">
        <v>392</v>
      </c>
      <c r="G114" s="264">
        <v>1120</v>
      </c>
      <c r="H114" s="326" t="s">
        <v>433</v>
      </c>
      <c r="I114" s="264">
        <v>100480</v>
      </c>
      <c r="J114" s="264">
        <v>56105</v>
      </c>
      <c r="K114" s="264" t="str">
        <f t="shared" si="12"/>
        <v>020.0480.5100.1120.0530.100480.56105</v>
      </c>
      <c r="L114" s="271">
        <v>2747.4</v>
      </c>
    </row>
    <row r="115" spans="1:14">
      <c r="A115" s="266">
        <f t="shared" si="3"/>
        <v>106</v>
      </c>
      <c r="B115" s="275">
        <v>2011</v>
      </c>
      <c r="C115" s="264" t="s">
        <v>384</v>
      </c>
      <c r="D115" s="264" t="s">
        <v>434</v>
      </c>
      <c r="E115" s="264" t="s">
        <v>386</v>
      </c>
      <c r="F115" s="264" t="s">
        <v>392</v>
      </c>
      <c r="G115" s="264" t="s">
        <v>436</v>
      </c>
      <c r="H115" s="264" t="s">
        <v>450</v>
      </c>
      <c r="I115" s="264" t="s">
        <v>511</v>
      </c>
      <c r="J115" s="264">
        <v>56105</v>
      </c>
      <c r="K115" s="264" t="str">
        <f t="shared" si="12"/>
        <v>020.0570.5100.2100.1500.100310.56105</v>
      </c>
      <c r="L115" s="271">
        <v>0</v>
      </c>
    </row>
    <row r="116" spans="1:14">
      <c r="A116" s="266">
        <f t="shared" si="3"/>
        <v>107</v>
      </c>
      <c r="B116" s="275">
        <v>2011</v>
      </c>
      <c r="C116" s="264" t="s">
        <v>384</v>
      </c>
      <c r="D116" s="264" t="s">
        <v>434</v>
      </c>
      <c r="E116" s="264" t="s">
        <v>504</v>
      </c>
      <c r="F116" s="264" t="s">
        <v>392</v>
      </c>
      <c r="G116" s="264" t="s">
        <v>393</v>
      </c>
      <c r="H116" s="264" t="s">
        <v>508</v>
      </c>
      <c r="I116" s="264" t="s">
        <v>390</v>
      </c>
      <c r="J116" s="264">
        <v>56105</v>
      </c>
      <c r="K116" s="264" t="str">
        <f t="shared" si="12"/>
        <v>020.0960.5100.1100.9999.000000.56105</v>
      </c>
      <c r="L116" s="273">
        <v>-205</v>
      </c>
    </row>
    <row r="117" spans="1:14">
      <c r="A117" s="266">
        <f t="shared" si="3"/>
        <v>108</v>
      </c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71">
        <f>SUM(L86:L116)</f>
        <v>581344.39</v>
      </c>
    </row>
    <row r="118" spans="1:14">
      <c r="A118" s="266">
        <f t="shared" si="3"/>
        <v>109</v>
      </c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71"/>
    </row>
    <row r="119" spans="1:14">
      <c r="A119" s="266">
        <f t="shared" si="3"/>
        <v>110</v>
      </c>
      <c r="B119" s="275">
        <v>2011</v>
      </c>
      <c r="C119" s="239" t="s">
        <v>384</v>
      </c>
      <c r="D119" s="239" t="s">
        <v>434</v>
      </c>
      <c r="E119" s="239" t="s">
        <v>443</v>
      </c>
      <c r="F119" s="239">
        <v>5107</v>
      </c>
      <c r="G119" s="301" t="s">
        <v>402</v>
      </c>
      <c r="H119" s="301" t="s">
        <v>433</v>
      </c>
      <c r="I119" s="239">
        <v>100460</v>
      </c>
      <c r="J119" s="239">
        <v>56107</v>
      </c>
      <c r="K119" s="264" t="str">
        <f>CONCATENATE(D119,".",E119,".",F119,".",G119,".",H119,".",I119,".",J119)</f>
        <v>020.0460.5107.0000.0530.100460.56107</v>
      </c>
      <c r="L119" s="273">
        <v>0</v>
      </c>
    </row>
    <row r="120" spans="1:14">
      <c r="A120" s="266">
        <f t="shared" si="3"/>
        <v>111</v>
      </c>
      <c r="L120" s="232"/>
    </row>
    <row r="121" spans="1:14" ht="15" customHeight="1">
      <c r="A121" s="266">
        <f t="shared" si="3"/>
        <v>112</v>
      </c>
      <c r="B121" s="276"/>
      <c r="H121" s="803" t="s">
        <v>453</v>
      </c>
      <c r="I121" s="803"/>
      <c r="J121" s="803"/>
      <c r="K121" s="321"/>
      <c r="L121" s="272">
        <f>L119+L117+L84+L17</f>
        <v>2965044.99</v>
      </c>
    </row>
    <row r="122" spans="1:14" ht="15" customHeight="1">
      <c r="A122" s="266">
        <f t="shared" si="3"/>
        <v>113</v>
      </c>
      <c r="B122" s="276"/>
      <c r="H122" s="396"/>
      <c r="I122" s="396"/>
      <c r="J122" s="396"/>
      <c r="K122" s="396"/>
      <c r="L122" s="272"/>
    </row>
    <row r="123" spans="1:14" ht="15" customHeight="1">
      <c r="A123" s="266">
        <f t="shared" si="3"/>
        <v>114</v>
      </c>
      <c r="G123" s="802" t="s">
        <v>452</v>
      </c>
      <c r="H123" s="802"/>
      <c r="I123" s="802"/>
      <c r="J123" s="802"/>
      <c r="K123" s="320"/>
      <c r="L123" s="277">
        <f>L117+L119</f>
        <v>581344.39</v>
      </c>
      <c r="M123" s="279" t="s">
        <v>369</v>
      </c>
    </row>
    <row r="124" spans="1:14">
      <c r="A124" s="266">
        <f t="shared" si="3"/>
        <v>115</v>
      </c>
      <c r="L124" s="232"/>
    </row>
    <row r="125" spans="1:14" ht="13.5" thickBot="1">
      <c r="A125" s="266">
        <f t="shared" si="3"/>
        <v>116</v>
      </c>
      <c r="L125" s="298">
        <f>L121-L123</f>
        <v>2383700.6</v>
      </c>
      <c r="N125" s="454"/>
    </row>
    <row r="126" spans="1:14" ht="13.5" thickTop="1">
      <c r="A126" s="244"/>
      <c r="B126" s="278"/>
      <c r="C126" s="248"/>
      <c r="D126" s="248"/>
      <c r="E126" s="248"/>
      <c r="F126" s="248"/>
      <c r="G126" s="248"/>
      <c r="H126" s="248"/>
      <c r="I126" s="248"/>
      <c r="J126" s="248"/>
      <c r="K126" s="248"/>
      <c r="L126" s="237"/>
    </row>
    <row r="128" spans="1:14">
      <c r="B128" s="801" t="s">
        <v>456</v>
      </c>
      <c r="C128" s="801"/>
      <c r="D128" s="801"/>
      <c r="E128" s="801"/>
      <c r="F128" s="801"/>
      <c r="G128" s="801"/>
      <c r="H128" s="801"/>
      <c r="I128" s="801"/>
      <c r="J128" s="801"/>
      <c r="K128" s="801"/>
      <c r="L128" s="801"/>
    </row>
  </sheetData>
  <mergeCells count="6">
    <mergeCell ref="B128:L128"/>
    <mergeCell ref="G123:J123"/>
    <mergeCell ref="H121:J121"/>
    <mergeCell ref="A2:L2"/>
    <mergeCell ref="A3:L3"/>
    <mergeCell ref="A4:L4"/>
  </mergeCells>
  <printOptions horizontalCentered="1"/>
  <pageMargins left="0.75" right="0.75" top="0.75" bottom="0.75" header="0.5" footer="0.5"/>
  <pageSetup scale="42" orientation="portrait" r:id="rId1"/>
  <headerFooter>
    <oddHeader>&amp;R&amp;"Arial,Regular"&amp;10Attachment O Work Paper
Page 16 of 20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Sheet7"/>
  <dimension ref="A1:J36"/>
  <sheetViews>
    <sheetView showGridLines="0" zoomScaleNormal="100" workbookViewId="0">
      <selection activeCell="E28" sqref="E28"/>
    </sheetView>
  </sheetViews>
  <sheetFormatPr defaultColWidth="27" defaultRowHeight="12.75"/>
  <cols>
    <col min="1" max="1" width="3.44140625" style="56" bestFit="1" customWidth="1"/>
    <col min="2" max="2" width="29.77734375" style="520" customWidth="1"/>
    <col min="3" max="3" width="14" style="520" hidden="1" customWidth="1"/>
    <col min="4" max="4" width="8.5546875" style="520" hidden="1" customWidth="1"/>
    <col min="5" max="6" width="13.77734375" style="520" customWidth="1"/>
    <col min="7" max="7" width="3.21875" style="520" customWidth="1"/>
    <col min="8" max="8" width="12.33203125" style="520" customWidth="1"/>
    <col min="9" max="9" width="11.5546875" style="520" customWidth="1"/>
    <col min="10" max="10" width="10" style="520" customWidth="1"/>
    <col min="11" max="254" width="8.5546875" style="520" customWidth="1"/>
    <col min="255" max="255" width="3.44140625" style="520" bestFit="1" customWidth="1"/>
    <col min="256" max="16384" width="27" style="520"/>
  </cols>
  <sheetData>
    <row r="1" spans="1:10">
      <c r="B1" s="519"/>
      <c r="F1" s="653"/>
    </row>
    <row r="2" spans="1:10">
      <c r="B2" s="654"/>
      <c r="F2" s="653"/>
    </row>
    <row r="3" spans="1:10" ht="12.75" customHeight="1">
      <c r="A3" s="804" t="s">
        <v>0</v>
      </c>
      <c r="B3" s="805"/>
      <c r="C3" s="805"/>
      <c r="D3" s="805"/>
      <c r="E3" s="805"/>
      <c r="F3" s="805"/>
    </row>
    <row r="4" spans="1:10" ht="12.75" customHeight="1">
      <c r="A4" s="804" t="s">
        <v>57</v>
      </c>
      <c r="B4" s="805"/>
      <c r="C4" s="805"/>
      <c r="D4" s="805"/>
      <c r="E4" s="805"/>
      <c r="F4" s="805"/>
    </row>
    <row r="5" spans="1:10" ht="12.75" customHeight="1">
      <c r="A5" s="806" t="s">
        <v>554</v>
      </c>
      <c r="B5" s="805"/>
      <c r="C5" s="805"/>
      <c r="D5" s="805"/>
      <c r="E5" s="805"/>
      <c r="F5" s="805"/>
    </row>
    <row r="6" spans="1:10">
      <c r="C6" s="655"/>
      <c r="D6" s="655"/>
      <c r="E6" s="655"/>
      <c r="F6" s="655"/>
    </row>
    <row r="7" spans="1:10">
      <c r="B7" s="656" t="s">
        <v>2</v>
      </c>
      <c r="E7" s="56" t="s">
        <v>3</v>
      </c>
      <c r="F7" s="56" t="s">
        <v>4</v>
      </c>
      <c r="G7" s="657"/>
      <c r="H7" s="56"/>
      <c r="I7" s="56"/>
      <c r="J7" s="56"/>
    </row>
    <row r="9" spans="1:10" ht="12.75" customHeight="1">
      <c r="A9" s="658"/>
      <c r="B9" s="659"/>
      <c r="C9" s="807" t="s">
        <v>64</v>
      </c>
      <c r="D9" s="808"/>
      <c r="E9" s="807" t="s">
        <v>556</v>
      </c>
      <c r="F9" s="808"/>
    </row>
    <row r="10" spans="1:10" ht="25.5">
      <c r="A10" s="660" t="s">
        <v>37</v>
      </c>
      <c r="B10" s="661" t="s">
        <v>58</v>
      </c>
      <c r="C10" s="662" t="s">
        <v>59</v>
      </c>
      <c r="D10" s="662" t="s">
        <v>60</v>
      </c>
      <c r="E10" s="662" t="s">
        <v>59</v>
      </c>
      <c r="F10" s="662" t="s">
        <v>60</v>
      </c>
    </row>
    <row r="11" spans="1:10">
      <c r="A11" s="658"/>
      <c r="B11" s="663"/>
      <c r="C11" s="664"/>
      <c r="D11" s="664"/>
      <c r="E11" s="664"/>
      <c r="F11" s="665"/>
      <c r="G11" s="519" t="s">
        <v>61</v>
      </c>
    </row>
    <row r="12" spans="1:10">
      <c r="A12" s="666">
        <v>1</v>
      </c>
      <c r="B12" s="667" t="s">
        <v>11</v>
      </c>
      <c r="C12" s="668">
        <v>15642742.080000002</v>
      </c>
      <c r="D12" s="669">
        <f>1-SUM(D16:D23)</f>
        <v>0.38540000000000008</v>
      </c>
      <c r="E12" s="670">
        <f>14734419+1444886</f>
        <v>16179305</v>
      </c>
      <c r="F12" s="669">
        <f>1-SUM(F16:F22)</f>
        <v>0.35</v>
      </c>
    </row>
    <row r="13" spans="1:10">
      <c r="A13" s="666">
        <f>A12+1</f>
        <v>2</v>
      </c>
      <c r="B13" s="671" t="s">
        <v>65</v>
      </c>
      <c r="C13" s="672"/>
      <c r="D13" s="673"/>
      <c r="E13" s="674">
        <v>1444886</v>
      </c>
      <c r="F13" s="669"/>
    </row>
    <row r="14" spans="1:10">
      <c r="A14" s="666">
        <f>A13+1</f>
        <v>3</v>
      </c>
      <c r="B14" s="675" t="s">
        <v>66</v>
      </c>
      <c r="C14" s="676">
        <f>+C12-C13</f>
        <v>15642742.080000002</v>
      </c>
      <c r="D14" s="677"/>
      <c r="E14" s="678">
        <f>+E12-E13</f>
        <v>14734419</v>
      </c>
      <c r="F14" s="679"/>
    </row>
    <row r="15" spans="1:10">
      <c r="A15" s="666">
        <f>A14+1</f>
        <v>4</v>
      </c>
      <c r="B15" s="667"/>
      <c r="C15" s="672"/>
      <c r="D15" s="673"/>
      <c r="E15" s="680"/>
      <c r="F15" s="669"/>
    </row>
    <row r="16" spans="1:10">
      <c r="A16" s="666">
        <f>A15+1</f>
        <v>5</v>
      </c>
      <c r="B16" s="667" t="s">
        <v>12</v>
      </c>
      <c r="C16" s="672">
        <v>5597348.9699999997</v>
      </c>
      <c r="D16" s="669">
        <f>ROUND(C16/C$25,4)</f>
        <v>0.13789999999999999</v>
      </c>
      <c r="E16" s="681">
        <v>6139664</v>
      </c>
      <c r="F16" s="669">
        <f>ROUND(E16/E$25,4)</f>
        <v>0.14580000000000001</v>
      </c>
    </row>
    <row r="17" spans="1:7">
      <c r="A17" s="666">
        <f t="shared" ref="A17:A25" si="0">A16+1</f>
        <v>6</v>
      </c>
      <c r="B17" s="667"/>
      <c r="C17" s="672"/>
      <c r="D17" s="673"/>
      <c r="E17" s="672"/>
      <c r="F17" s="669"/>
    </row>
    <row r="18" spans="1:7">
      <c r="A18" s="666">
        <f t="shared" si="0"/>
        <v>7</v>
      </c>
      <c r="B18" s="667" t="s">
        <v>13</v>
      </c>
      <c r="C18" s="668">
        <v>9715532.8300000001</v>
      </c>
      <c r="D18" s="669">
        <f>ROUND(C18/C$25,4)</f>
        <v>0.2394</v>
      </c>
      <c r="E18" s="681">
        <v>11088078</v>
      </c>
      <c r="F18" s="669">
        <f>ROUND(E18/E$25,4)</f>
        <v>0.26340000000000002</v>
      </c>
    </row>
    <row r="19" spans="1:7">
      <c r="A19" s="666">
        <f t="shared" si="0"/>
        <v>8</v>
      </c>
      <c r="B19" s="667"/>
      <c r="C19" s="672"/>
      <c r="D19" s="673"/>
      <c r="E19" s="672"/>
      <c r="F19" s="669"/>
    </row>
    <row r="20" spans="1:7">
      <c r="A20" s="666">
        <f t="shared" si="0"/>
        <v>9</v>
      </c>
      <c r="B20" s="667" t="s">
        <v>350</v>
      </c>
      <c r="C20" s="672"/>
      <c r="D20" s="673"/>
      <c r="E20" s="672"/>
      <c r="F20" s="669"/>
    </row>
    <row r="21" spans="1:7">
      <c r="A21" s="666">
        <f t="shared" si="0"/>
        <v>10</v>
      </c>
      <c r="B21" s="671" t="s">
        <v>62</v>
      </c>
      <c r="C21" s="668">
        <v>7086030.0099999998</v>
      </c>
      <c r="D21" s="669">
        <f>ROUND(C21/C$25,4)</f>
        <v>0.17460000000000001</v>
      </c>
      <c r="E21" s="668">
        <v>8058849</v>
      </c>
      <c r="F21" s="669">
        <f>ROUND(E21/E$25,4)</f>
        <v>0.19139999999999999</v>
      </c>
    </row>
    <row r="22" spans="1:7">
      <c r="A22" s="666">
        <f t="shared" si="0"/>
        <v>11</v>
      </c>
      <c r="B22" s="682" t="s">
        <v>63</v>
      </c>
      <c r="C22" s="683">
        <v>2545336.13</v>
      </c>
      <c r="D22" s="684">
        <f>ROUND(C22/C$25,4)</f>
        <v>6.2700000000000006E-2</v>
      </c>
      <c r="E22" s="683">
        <f>1424238+656182</f>
        <v>2080420</v>
      </c>
      <c r="F22" s="684">
        <f>ROUND(E22/E$25,4)</f>
        <v>4.9399999999999999E-2</v>
      </c>
    </row>
    <row r="23" spans="1:7">
      <c r="A23" s="666">
        <f t="shared" si="0"/>
        <v>12</v>
      </c>
      <c r="B23" s="667" t="s">
        <v>349</v>
      </c>
      <c r="C23" s="672"/>
      <c r="D23" s="673"/>
      <c r="E23" s="685">
        <f>+E21+E22</f>
        <v>10139269</v>
      </c>
      <c r="F23" s="669">
        <f>ROUND(E23/E$25,4)</f>
        <v>0.24079999999999999</v>
      </c>
    </row>
    <row r="24" spans="1:7">
      <c r="A24" s="666">
        <f>A23+1</f>
        <v>13</v>
      </c>
      <c r="B24" s="667"/>
      <c r="C24" s="668"/>
      <c r="D24" s="669"/>
      <c r="E24" s="668"/>
      <c r="F24" s="673"/>
      <c r="G24" s="519" t="s">
        <v>61</v>
      </c>
    </row>
    <row r="25" spans="1:7" ht="13.5" thickBot="1">
      <c r="A25" s="666">
        <f t="shared" si="0"/>
        <v>14</v>
      </c>
      <c r="B25" s="667" t="s">
        <v>15</v>
      </c>
      <c r="C25" s="686">
        <f>SUM(C14:C23)</f>
        <v>40586990.020000003</v>
      </c>
      <c r="D25" s="687">
        <f>SUM(D12:D23)</f>
        <v>1.0000000000000002</v>
      </c>
      <c r="E25" s="688">
        <f>SUM(E14:E19)+E23</f>
        <v>42101430</v>
      </c>
      <c r="F25" s="687">
        <f>SUM(F12:F19)+F23</f>
        <v>1</v>
      </c>
    </row>
    <row r="26" spans="1:7" ht="13.5" thickTop="1">
      <c r="A26" s="689"/>
      <c r="B26" s="690"/>
      <c r="C26" s="691"/>
      <c r="D26" s="692"/>
      <c r="E26" s="691"/>
      <c r="F26" s="692"/>
    </row>
    <row r="27" spans="1:7">
      <c r="B27" s="693"/>
      <c r="C27" s="694"/>
      <c r="D27" s="694"/>
      <c r="E27" s="694"/>
      <c r="F27" s="694"/>
    </row>
    <row r="28" spans="1:7">
      <c r="C28" s="695"/>
      <c r="D28" s="695"/>
      <c r="E28" s="695"/>
      <c r="F28" s="695"/>
    </row>
    <row r="29" spans="1:7">
      <c r="C29" s="695"/>
      <c r="D29" s="695"/>
      <c r="E29" s="695"/>
      <c r="F29" s="695"/>
    </row>
    <row r="30" spans="1:7">
      <c r="C30" s="695"/>
      <c r="D30" s="695"/>
      <c r="E30" s="695"/>
      <c r="F30" s="695"/>
    </row>
    <row r="31" spans="1:7">
      <c r="C31" s="655"/>
      <c r="D31" s="655"/>
      <c r="E31" s="655"/>
      <c r="F31" s="655"/>
    </row>
    <row r="32" spans="1:7">
      <c r="C32" s="655"/>
      <c r="D32" s="655"/>
      <c r="E32" s="655"/>
      <c r="F32" s="655"/>
    </row>
    <row r="33" spans="3:6">
      <c r="C33" s="655"/>
      <c r="D33" s="655"/>
      <c r="E33" s="655"/>
      <c r="F33" s="655"/>
    </row>
    <row r="34" spans="3:6">
      <c r="C34" s="655"/>
      <c r="D34" s="655"/>
      <c r="E34" s="655"/>
      <c r="F34" s="655"/>
    </row>
    <row r="35" spans="3:6">
      <c r="C35" s="655"/>
      <c r="D35" s="655"/>
      <c r="E35" s="655"/>
      <c r="F35" s="655"/>
    </row>
    <row r="36" spans="3:6">
      <c r="C36" s="655"/>
      <c r="D36" s="655"/>
      <c r="E36" s="655"/>
      <c r="F36" s="655"/>
    </row>
  </sheetData>
  <mergeCells count="5">
    <mergeCell ref="A3:F3"/>
    <mergeCell ref="A4:F4"/>
    <mergeCell ref="A5:F5"/>
    <mergeCell ref="C9:D9"/>
    <mergeCell ref="E9:F9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17 of 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codeName="Sheet9">
    <pageSetUpPr fitToPage="1"/>
  </sheetPr>
  <dimension ref="A1:R33"/>
  <sheetViews>
    <sheetView showGridLines="0" defaultGridColor="0" colorId="22" zoomScaleNormal="100" workbookViewId="0">
      <pane xSplit="2" topLeftCell="K1" activePane="topRight" state="frozen"/>
      <selection activeCell="A3" sqref="A3:E3"/>
      <selection pane="topRight" activeCell="C15" sqref="C15"/>
    </sheetView>
  </sheetViews>
  <sheetFormatPr defaultColWidth="9.77734375" defaultRowHeight="12.75"/>
  <cols>
    <col min="1" max="1" width="3.77734375" style="342" bestFit="1" customWidth="1"/>
    <col min="2" max="2" width="44" style="342" bestFit="1" customWidth="1"/>
    <col min="3" max="3" width="15.88671875" style="342" customWidth="1"/>
    <col min="4" max="14" width="11.77734375" style="342" customWidth="1"/>
    <col min="15" max="15" width="12.77734375" style="342" bestFit="1" customWidth="1"/>
    <col min="16" max="16" width="11.77734375" style="342" customWidth="1"/>
    <col min="17" max="17" width="12.5546875" style="342" bestFit="1" customWidth="1"/>
    <col min="18" max="18" width="12.33203125" style="342" bestFit="1" customWidth="1"/>
    <col min="19" max="16384" width="9.77734375" style="342"/>
  </cols>
  <sheetData>
    <row r="1" spans="1:18">
      <c r="B1" s="696"/>
      <c r="O1" s="218"/>
      <c r="Q1" s="403"/>
    </row>
    <row r="2" spans="1:18">
      <c r="B2" s="697"/>
      <c r="O2" s="218"/>
      <c r="Q2" s="403"/>
    </row>
    <row r="3" spans="1:18">
      <c r="B3" s="698"/>
      <c r="O3" s="240"/>
    </row>
    <row r="4" spans="1:18">
      <c r="C4" s="699"/>
      <c r="D4" s="699"/>
      <c r="E4" s="699"/>
      <c r="F4" s="699"/>
      <c r="L4" s="699"/>
      <c r="M4" s="699"/>
      <c r="O4" s="240"/>
      <c r="Q4" s="403"/>
    </row>
    <row r="5" spans="1:18">
      <c r="C5" s="699"/>
      <c r="D5" s="699"/>
      <c r="E5" s="699"/>
      <c r="F5" s="699"/>
      <c r="L5" s="699"/>
      <c r="M5" s="699"/>
      <c r="O5" s="240"/>
      <c r="Q5" s="403"/>
    </row>
    <row r="6" spans="1:18" ht="15">
      <c r="A6" s="810" t="s">
        <v>0</v>
      </c>
      <c r="B6" s="811"/>
      <c r="C6" s="811"/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811"/>
    </row>
    <row r="7" spans="1:18" ht="15">
      <c r="A7" s="810" t="s">
        <v>86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</row>
    <row r="8" spans="1:18" ht="15">
      <c r="A8" s="797" t="s">
        <v>611</v>
      </c>
      <c r="B8" s="809"/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</row>
    <row r="10" spans="1:18">
      <c r="C10" s="700"/>
    </row>
    <row r="11" spans="1:18" s="701" customFormat="1">
      <c r="B11" s="404" t="s">
        <v>2</v>
      </c>
      <c r="C11" s="404" t="s">
        <v>3</v>
      </c>
      <c r="D11" s="404" t="s">
        <v>4</v>
      </c>
      <c r="E11" s="404" t="s">
        <v>5</v>
      </c>
      <c r="F11" s="404" t="s">
        <v>6</v>
      </c>
      <c r="G11" s="404" t="s">
        <v>8</v>
      </c>
      <c r="H11" s="404" t="s">
        <v>7</v>
      </c>
      <c r="I11" s="404" t="s">
        <v>29</v>
      </c>
      <c r="J11" s="404" t="s">
        <v>30</v>
      </c>
      <c r="K11" s="404" t="s">
        <v>31</v>
      </c>
      <c r="L11" s="404" t="s">
        <v>68</v>
      </c>
      <c r="M11" s="404" t="s">
        <v>69</v>
      </c>
      <c r="N11" s="404" t="s">
        <v>70</v>
      </c>
      <c r="O11" s="404" t="s">
        <v>71</v>
      </c>
      <c r="P11" s="404" t="s">
        <v>72</v>
      </c>
      <c r="Q11" s="404"/>
      <c r="R11" s="404"/>
    </row>
    <row r="12" spans="1:18" ht="19.899999999999999" customHeight="1">
      <c r="D12" s="701"/>
      <c r="E12" s="701"/>
      <c r="F12" s="701"/>
      <c r="G12" s="701"/>
      <c r="H12" s="701"/>
      <c r="I12" s="701"/>
      <c r="J12" s="701"/>
      <c r="N12" s="702"/>
    </row>
    <row r="13" spans="1:18">
      <c r="A13" s="201"/>
      <c r="B13" s="703" t="s">
        <v>76</v>
      </c>
      <c r="D13" s="405"/>
      <c r="E13" s="703"/>
      <c r="F13" s="699"/>
      <c r="G13" s="704"/>
      <c r="H13" s="704"/>
      <c r="I13" s="704"/>
      <c r="J13" s="704"/>
      <c r="K13" s="704"/>
      <c r="L13" s="703"/>
      <c r="M13" s="703"/>
      <c r="N13" s="703"/>
      <c r="O13" s="703"/>
      <c r="P13" s="705" t="s">
        <v>561</v>
      </c>
    </row>
    <row r="14" spans="1:18" ht="25.5">
      <c r="A14" s="706" t="s">
        <v>37</v>
      </c>
      <c r="B14" s="707" t="s">
        <v>87</v>
      </c>
      <c r="C14" s="708" t="s">
        <v>26</v>
      </c>
      <c r="D14" s="708" t="s">
        <v>33</v>
      </c>
      <c r="E14" s="708" t="s">
        <v>16</v>
      </c>
      <c r="F14" s="708" t="s">
        <v>17</v>
      </c>
      <c r="G14" s="708" t="s">
        <v>18</v>
      </c>
      <c r="H14" s="708" t="s">
        <v>19</v>
      </c>
      <c r="I14" s="708" t="s">
        <v>20</v>
      </c>
      <c r="J14" s="708" t="s">
        <v>21</v>
      </c>
      <c r="K14" s="708" t="s">
        <v>22</v>
      </c>
      <c r="L14" s="708" t="s">
        <v>23</v>
      </c>
      <c r="M14" s="708" t="s">
        <v>24</v>
      </c>
      <c r="N14" s="708" t="s">
        <v>25</v>
      </c>
      <c r="O14" s="708" t="s">
        <v>26</v>
      </c>
      <c r="P14" s="709" t="s">
        <v>562</v>
      </c>
    </row>
    <row r="15" spans="1:18" ht="19.899999999999999" customHeight="1">
      <c r="A15" s="710">
        <v>1</v>
      </c>
      <c r="B15" s="711" t="s">
        <v>88</v>
      </c>
      <c r="C15" s="406">
        <v>209861892</v>
      </c>
      <c r="D15" s="406">
        <f>C19</f>
        <v>209861892</v>
      </c>
      <c r="E15" s="406">
        <f t="shared" ref="E15:O15" si="0">D19</f>
        <v>209861892</v>
      </c>
      <c r="F15" s="406">
        <f t="shared" si="0"/>
        <v>209861892</v>
      </c>
      <c r="G15" s="406">
        <f t="shared" si="0"/>
        <v>209861892</v>
      </c>
      <c r="H15" s="406">
        <f t="shared" si="0"/>
        <v>209861892</v>
      </c>
      <c r="I15" s="406">
        <f t="shared" si="0"/>
        <v>209861892</v>
      </c>
      <c r="J15" s="406">
        <f t="shared" si="0"/>
        <v>209861892</v>
      </c>
      <c r="K15" s="406">
        <f t="shared" si="0"/>
        <v>209861892</v>
      </c>
      <c r="L15" s="406">
        <f t="shared" si="0"/>
        <v>209861892</v>
      </c>
      <c r="M15" s="406">
        <f t="shared" si="0"/>
        <v>209861892</v>
      </c>
      <c r="N15" s="406">
        <f t="shared" si="0"/>
        <v>209861892</v>
      </c>
      <c r="O15" s="406">
        <f t="shared" si="0"/>
        <v>209861892</v>
      </c>
      <c r="P15" s="712">
        <f>AVERAGE(C15:O15)</f>
        <v>209861892</v>
      </c>
      <c r="Q15" s="700"/>
    </row>
    <row r="16" spans="1:18" ht="19.899999999999999" customHeight="1">
      <c r="A16" s="710">
        <v>2</v>
      </c>
      <c r="B16" s="711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700"/>
    </row>
    <row r="17" spans="1:17" ht="19.899999999999999" customHeight="1">
      <c r="A17" s="710">
        <v>3</v>
      </c>
      <c r="B17" s="711" t="s">
        <v>563</v>
      </c>
      <c r="C17" s="406">
        <v>0</v>
      </c>
      <c r="D17" s="406">
        <v>0</v>
      </c>
      <c r="E17" s="406">
        <v>0</v>
      </c>
      <c r="F17" s="406">
        <v>0</v>
      </c>
      <c r="G17" s="406">
        <v>0</v>
      </c>
      <c r="H17" s="406">
        <v>0</v>
      </c>
      <c r="I17" s="406">
        <v>0</v>
      </c>
      <c r="J17" s="406">
        <v>0</v>
      </c>
      <c r="K17" s="406">
        <v>0</v>
      </c>
      <c r="L17" s="406">
        <v>0</v>
      </c>
      <c r="M17" s="406">
        <v>0</v>
      </c>
      <c r="N17" s="406">
        <v>0</v>
      </c>
      <c r="O17" s="406">
        <v>0</v>
      </c>
      <c r="P17" s="712">
        <f>AVERAGE(C17:O17)</f>
        <v>0</v>
      </c>
    </row>
    <row r="18" spans="1:17" ht="24" customHeight="1">
      <c r="A18" s="710">
        <v>4</v>
      </c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</row>
    <row r="19" spans="1:17" ht="22.9" customHeight="1">
      <c r="A19" s="710">
        <v>5</v>
      </c>
      <c r="B19" s="713" t="s">
        <v>89</v>
      </c>
      <c r="C19" s="714">
        <f>SUM(C15:C18)</f>
        <v>209861892</v>
      </c>
      <c r="D19" s="714">
        <f t="shared" ref="D19:O19" si="1">SUM(D15:D18)</f>
        <v>209861892</v>
      </c>
      <c r="E19" s="714">
        <f t="shared" si="1"/>
        <v>209861892</v>
      </c>
      <c r="F19" s="714">
        <f t="shared" si="1"/>
        <v>209861892</v>
      </c>
      <c r="G19" s="714">
        <f t="shared" si="1"/>
        <v>209861892</v>
      </c>
      <c r="H19" s="714">
        <f t="shared" si="1"/>
        <v>209861892</v>
      </c>
      <c r="I19" s="714">
        <f t="shared" si="1"/>
        <v>209861892</v>
      </c>
      <c r="J19" s="714">
        <f t="shared" si="1"/>
        <v>209861892</v>
      </c>
      <c r="K19" s="714">
        <f t="shared" si="1"/>
        <v>209861892</v>
      </c>
      <c r="L19" s="714">
        <f t="shared" si="1"/>
        <v>209861892</v>
      </c>
      <c r="M19" s="714">
        <f t="shared" si="1"/>
        <v>209861892</v>
      </c>
      <c r="N19" s="714">
        <f t="shared" si="1"/>
        <v>209861892</v>
      </c>
      <c r="O19" s="714">
        <f t="shared" si="1"/>
        <v>209861892</v>
      </c>
      <c r="P19" s="714">
        <f>SUM(P15:P18)</f>
        <v>209861892</v>
      </c>
    </row>
    <row r="20" spans="1:17" ht="19.899999999999999" customHeight="1">
      <c r="A20" s="710">
        <v>6</v>
      </c>
      <c r="B20" s="715" t="s">
        <v>90</v>
      </c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</row>
    <row r="21" spans="1:17" ht="19.899999999999999" customHeight="1">
      <c r="A21" s="710">
        <v>7</v>
      </c>
      <c r="B21" s="711" t="s">
        <v>91</v>
      </c>
      <c r="C21" s="406">
        <v>129889155</v>
      </c>
      <c r="D21" s="406">
        <f>C25</f>
        <v>126384308</v>
      </c>
      <c r="E21" s="406">
        <f t="shared" ref="E21:O21" si="2">D25</f>
        <v>130463382</v>
      </c>
      <c r="F21" s="406">
        <f t="shared" si="2"/>
        <v>133597738</v>
      </c>
      <c r="G21" s="406">
        <f t="shared" si="2"/>
        <v>127396333</v>
      </c>
      <c r="H21" s="406">
        <f t="shared" si="2"/>
        <v>129513001</v>
      </c>
      <c r="I21" s="406">
        <f t="shared" si="2"/>
        <v>131873666</v>
      </c>
      <c r="J21" s="406">
        <f t="shared" si="2"/>
        <v>126507397</v>
      </c>
      <c r="K21" s="406">
        <f t="shared" si="2"/>
        <v>130233635</v>
      </c>
      <c r="L21" s="406">
        <f t="shared" si="2"/>
        <v>134821326</v>
      </c>
      <c r="M21" s="406">
        <f t="shared" si="2"/>
        <v>128856553</v>
      </c>
      <c r="N21" s="406">
        <f t="shared" si="2"/>
        <v>131168371</v>
      </c>
      <c r="O21" s="406">
        <f t="shared" si="2"/>
        <v>132386933</v>
      </c>
      <c r="P21" s="712">
        <f>AVERAGE(C21:O21)</f>
        <v>130237830.61538461</v>
      </c>
      <c r="Q21" s="700"/>
    </row>
    <row r="22" spans="1:17" ht="19.899999999999999" customHeight="1">
      <c r="A22" s="710">
        <v>8</v>
      </c>
      <c r="B22" s="711" t="s">
        <v>95</v>
      </c>
      <c r="C22" s="406">
        <v>4992778</v>
      </c>
      <c r="D22" s="406">
        <v>4079074</v>
      </c>
      <c r="E22" s="406">
        <v>3134356</v>
      </c>
      <c r="F22" s="406">
        <v>3271744</v>
      </c>
      <c r="G22" s="406">
        <v>1736407</v>
      </c>
      <c r="H22" s="406">
        <v>2360665</v>
      </c>
      <c r="I22" s="406">
        <v>3202491</v>
      </c>
      <c r="J22" s="406">
        <v>3726238</v>
      </c>
      <c r="K22" s="406">
        <v>4587691</v>
      </c>
      <c r="L22" s="406">
        <v>2604665</v>
      </c>
      <c r="M22" s="406">
        <v>2311818</v>
      </c>
      <c r="N22" s="406">
        <v>1218562</v>
      </c>
      <c r="O22" s="406">
        <v>6312697</v>
      </c>
      <c r="P22" s="712">
        <f>AVERAGE(C22:O22)</f>
        <v>3349168.153846154</v>
      </c>
      <c r="Q22" s="716"/>
    </row>
    <row r="23" spans="1:17" ht="19.899999999999999" customHeight="1">
      <c r="A23" s="710">
        <v>9</v>
      </c>
      <c r="B23" s="711" t="s">
        <v>564</v>
      </c>
      <c r="C23" s="406">
        <v>-8551904</v>
      </c>
      <c r="D23" s="406">
        <v>0</v>
      </c>
      <c r="E23" s="406">
        <v>0</v>
      </c>
      <c r="F23" s="406">
        <v>-8568660</v>
      </c>
      <c r="G23" s="406">
        <v>0</v>
      </c>
      <c r="H23" s="406">
        <v>0</v>
      </c>
      <c r="I23" s="406">
        <v>-8582055</v>
      </c>
      <c r="J23" s="406">
        <v>0</v>
      </c>
      <c r="K23" s="406">
        <v>0</v>
      </c>
      <c r="L23" s="406">
        <v>-8582733</v>
      </c>
      <c r="M23" s="406">
        <v>0</v>
      </c>
      <c r="N23" s="406">
        <v>0</v>
      </c>
      <c r="O23" s="406">
        <v>-8582769</v>
      </c>
      <c r="P23" s="712">
        <f>AVERAGE(C23:O23)</f>
        <v>-3297547.769230769</v>
      </c>
      <c r="Q23" s="716"/>
    </row>
    <row r="24" spans="1:17" ht="26.25" customHeight="1">
      <c r="A24" s="710">
        <v>10</v>
      </c>
      <c r="B24" s="711" t="s">
        <v>96</v>
      </c>
      <c r="C24" s="407">
        <v>54279</v>
      </c>
      <c r="D24" s="406">
        <v>0</v>
      </c>
      <c r="E24" s="406">
        <v>0</v>
      </c>
      <c r="F24" s="406">
        <v>-904489</v>
      </c>
      <c r="G24" s="406">
        <v>380261</v>
      </c>
      <c r="H24" s="406">
        <v>0</v>
      </c>
      <c r="I24" s="406">
        <v>13295</v>
      </c>
      <c r="J24" s="406">
        <v>0</v>
      </c>
      <c r="K24" s="406">
        <v>0</v>
      </c>
      <c r="L24" s="406">
        <v>13295</v>
      </c>
      <c r="M24" s="406">
        <v>0</v>
      </c>
      <c r="N24" s="406">
        <v>0</v>
      </c>
      <c r="O24" s="406">
        <v>-538158</v>
      </c>
      <c r="P24" s="712">
        <f>AVERAGE(C24:O24)</f>
        <v>-75501.307692307688</v>
      </c>
      <c r="Q24" s="716"/>
    </row>
    <row r="25" spans="1:17" ht="20.25" customHeight="1">
      <c r="A25" s="710">
        <v>11</v>
      </c>
      <c r="B25" s="711" t="s">
        <v>92</v>
      </c>
      <c r="C25" s="407">
        <f>SUM(C21:C24)</f>
        <v>126384308</v>
      </c>
      <c r="D25" s="407">
        <f t="shared" ref="D25:N25" si="3">SUM(D21:D24)</f>
        <v>130463382</v>
      </c>
      <c r="E25" s="407">
        <f t="shared" si="3"/>
        <v>133597738</v>
      </c>
      <c r="F25" s="407">
        <f t="shared" si="3"/>
        <v>127396333</v>
      </c>
      <c r="G25" s="407">
        <f>SUM(G21:G24)</f>
        <v>129513001</v>
      </c>
      <c r="H25" s="407">
        <f t="shared" si="3"/>
        <v>131873666</v>
      </c>
      <c r="I25" s="407">
        <f t="shared" si="3"/>
        <v>126507397</v>
      </c>
      <c r="J25" s="407">
        <f t="shared" si="3"/>
        <v>130233635</v>
      </c>
      <c r="K25" s="407">
        <f t="shared" si="3"/>
        <v>134821326</v>
      </c>
      <c r="L25" s="407">
        <f t="shared" si="3"/>
        <v>128856553</v>
      </c>
      <c r="M25" s="407">
        <f t="shared" si="3"/>
        <v>131168371</v>
      </c>
      <c r="N25" s="407">
        <f t="shared" si="3"/>
        <v>132386933</v>
      </c>
      <c r="O25" s="407">
        <f>SUM(O21:O24)</f>
        <v>129578703</v>
      </c>
      <c r="P25" s="407">
        <f>SUM(P21:P24)</f>
        <v>130213949.6923077</v>
      </c>
      <c r="Q25" s="716"/>
    </row>
    <row r="26" spans="1:17" ht="33" customHeight="1">
      <c r="A26" s="710">
        <v>12</v>
      </c>
      <c r="B26" s="711" t="s">
        <v>93</v>
      </c>
      <c r="C26" s="407">
        <v>0</v>
      </c>
      <c r="D26" s="407">
        <f>C26</f>
        <v>0</v>
      </c>
      <c r="E26" s="407">
        <f t="shared" ref="E26:N26" si="4">D26</f>
        <v>0</v>
      </c>
      <c r="F26" s="407">
        <f t="shared" si="4"/>
        <v>0</v>
      </c>
      <c r="G26" s="407">
        <f t="shared" si="4"/>
        <v>0</v>
      </c>
      <c r="H26" s="407">
        <f t="shared" si="4"/>
        <v>0</v>
      </c>
      <c r="I26" s="407">
        <f t="shared" si="4"/>
        <v>0</v>
      </c>
      <c r="J26" s="407">
        <f t="shared" si="4"/>
        <v>0</v>
      </c>
      <c r="K26" s="407">
        <f t="shared" si="4"/>
        <v>0</v>
      </c>
      <c r="L26" s="407">
        <f t="shared" si="4"/>
        <v>0</v>
      </c>
      <c r="M26" s="407">
        <f t="shared" si="4"/>
        <v>0</v>
      </c>
      <c r="N26" s="407">
        <f t="shared" si="4"/>
        <v>0</v>
      </c>
      <c r="O26" s="407"/>
      <c r="P26" s="406">
        <f>SUM(C26:O26)/13</f>
        <v>0</v>
      </c>
      <c r="Q26" s="700"/>
    </row>
    <row r="27" spans="1:17">
      <c r="A27" s="717">
        <v>13</v>
      </c>
      <c r="B27" s="713" t="s">
        <v>94</v>
      </c>
      <c r="C27" s="714">
        <f>C19+C25+C26</f>
        <v>336246200</v>
      </c>
      <c r="D27" s="714">
        <f>D19+D25+D26</f>
        <v>340325274</v>
      </c>
      <c r="E27" s="714">
        <f t="shared" ref="E27:O27" si="5">E19+E25+E26</f>
        <v>343459630</v>
      </c>
      <c r="F27" s="714">
        <f>F19+F25+F26</f>
        <v>337258225</v>
      </c>
      <c r="G27" s="714">
        <f>G19+G25+G26</f>
        <v>339374893</v>
      </c>
      <c r="H27" s="714">
        <f t="shared" si="5"/>
        <v>341735558</v>
      </c>
      <c r="I27" s="714">
        <f t="shared" si="5"/>
        <v>336369289</v>
      </c>
      <c r="J27" s="714">
        <f t="shared" si="5"/>
        <v>340095527</v>
      </c>
      <c r="K27" s="714">
        <f t="shared" si="5"/>
        <v>344683218</v>
      </c>
      <c r="L27" s="714">
        <f t="shared" si="5"/>
        <v>338718445</v>
      </c>
      <c r="M27" s="714">
        <f t="shared" si="5"/>
        <v>341030263</v>
      </c>
      <c r="N27" s="714">
        <f t="shared" si="5"/>
        <v>342248825</v>
      </c>
      <c r="O27" s="714">
        <f t="shared" si="5"/>
        <v>339440595</v>
      </c>
      <c r="P27" s="714">
        <f>P19+P25+P26</f>
        <v>340075841.69230771</v>
      </c>
      <c r="Q27" s="716"/>
    </row>
    <row r="28" spans="1:17">
      <c r="A28" s="701"/>
      <c r="C28" s="696"/>
      <c r="Q28" s="696" t="s">
        <v>61</v>
      </c>
    </row>
    <row r="29" spans="1:17">
      <c r="A29" s="701"/>
      <c r="C29" s="700"/>
      <c r="D29" s="718"/>
      <c r="E29" s="700"/>
      <c r="I29" s="700"/>
      <c r="O29" s="700"/>
      <c r="P29" s="700"/>
    </row>
    <row r="30" spans="1:17">
      <c r="A30" s="701"/>
      <c r="C30" s="700"/>
      <c r="D30" s="718"/>
      <c r="E30" s="700"/>
      <c r="I30" s="700"/>
      <c r="O30" s="700"/>
      <c r="P30" s="700"/>
    </row>
    <row r="31" spans="1:17" s="718" customFormat="1">
      <c r="M31" s="342"/>
      <c r="O31" s="700"/>
      <c r="P31" s="700"/>
    </row>
    <row r="32" spans="1:17">
      <c r="C32" s="637"/>
    </row>
    <row r="33" spans="16:16">
      <c r="P33" s="700"/>
    </row>
  </sheetData>
  <mergeCells count="3">
    <mergeCell ref="A8:P8"/>
    <mergeCell ref="A6:P6"/>
    <mergeCell ref="A7:P7"/>
  </mergeCells>
  <printOptions horizontalCentered="1"/>
  <pageMargins left="0.5" right="0.5" top="0.75" bottom="0.5" header="0.5" footer="0.5"/>
  <pageSetup scale="49" orientation="landscape" horizontalDpi="300" verticalDpi="300" r:id="rId1"/>
  <headerFooter alignWithMargins="0">
    <oddHeader>&amp;R&amp;"Arial,Regular"&amp;10Attachment O Work Paper
Page 18 of 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Sheet8">
    <pageSetUpPr fitToPage="1"/>
  </sheetPr>
  <dimension ref="A1:V59"/>
  <sheetViews>
    <sheetView showGridLines="0" topLeftCell="A16" zoomScaleNormal="100" workbookViewId="0">
      <pane xSplit="4" topLeftCell="O1" activePane="topRight" state="frozen"/>
      <selection activeCell="A3" sqref="A3:E3"/>
      <selection pane="topRight" activeCell="E50" sqref="E50"/>
    </sheetView>
  </sheetViews>
  <sheetFormatPr defaultColWidth="9.77734375" defaultRowHeight="12.75" customHeight="1"/>
  <cols>
    <col min="1" max="1" width="3.5546875" style="225" bestFit="1" customWidth="1"/>
    <col min="2" max="2" width="6" style="225" bestFit="1" customWidth="1"/>
    <col min="3" max="3" width="34.109375" style="479" customWidth="1"/>
    <col min="4" max="4" width="10.77734375" style="225" customWidth="1"/>
    <col min="5" max="15" width="11.77734375" style="225" customWidth="1"/>
    <col min="16" max="16" width="12.109375" style="225" customWidth="1"/>
    <col min="17" max="17" width="11.77734375" style="225" customWidth="1"/>
    <col min="18" max="18" width="12.77734375" style="225" customWidth="1"/>
    <col min="19" max="19" width="11.77734375" style="225" customWidth="1"/>
    <col min="20" max="20" width="3.109375" style="225" customWidth="1"/>
    <col min="21" max="21" width="14.77734375" style="225" customWidth="1"/>
    <col min="22" max="27" width="15.77734375" style="225" customWidth="1"/>
    <col min="28" max="28" width="7.77734375" style="225" customWidth="1"/>
    <col min="29" max="32" width="15.77734375" style="225" customWidth="1"/>
    <col min="33" max="16384" width="9.77734375" style="225"/>
  </cols>
  <sheetData>
    <row r="1" spans="1:22" ht="12.75" customHeight="1">
      <c r="B1" s="332"/>
      <c r="C1" s="34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U1" s="435"/>
    </row>
    <row r="2" spans="1:22" ht="12.75" customHeight="1">
      <c r="B2" s="332"/>
      <c r="C2" s="34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U2" s="435"/>
    </row>
    <row r="3" spans="1:22" ht="12.75" customHeight="1">
      <c r="B3" s="332"/>
      <c r="C3" s="34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U3" s="435"/>
    </row>
    <row r="4" spans="1:22" ht="12.75" customHeight="1">
      <c r="B4" s="332"/>
      <c r="C4" s="34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U4" s="435"/>
    </row>
    <row r="5" spans="1:22" ht="12.75" customHeight="1">
      <c r="B5" s="332"/>
      <c r="C5" s="34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U5" s="435"/>
    </row>
    <row r="6" spans="1:22" ht="12.75" customHeight="1">
      <c r="A6" s="792"/>
      <c r="B6" s="814"/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V6" s="1"/>
    </row>
    <row r="7" spans="1:22" ht="12.75" customHeight="1">
      <c r="A7" s="815"/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</row>
    <row r="8" spans="1:22" ht="12.75" customHeight="1">
      <c r="A8" s="822" t="s">
        <v>0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814"/>
      <c r="S8" s="814"/>
    </row>
    <row r="9" spans="1:22" ht="12.75" customHeight="1">
      <c r="A9" s="792" t="s">
        <v>67</v>
      </c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</row>
    <row r="10" spans="1:22" ht="12.75" customHeight="1">
      <c r="A10" s="822" t="s">
        <v>554</v>
      </c>
      <c r="B10" s="814"/>
      <c r="C10" s="81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814"/>
      <c r="Q10" s="814"/>
      <c r="R10" s="814"/>
      <c r="S10" s="814"/>
    </row>
    <row r="11" spans="1:22" ht="12.75" customHeight="1">
      <c r="B11" s="333"/>
      <c r="C11" s="436"/>
      <c r="D11" s="54"/>
      <c r="E11" s="54"/>
      <c r="F11" s="54"/>
      <c r="G11" s="54"/>
      <c r="H11" s="334"/>
      <c r="I11" s="334"/>
      <c r="J11" s="334"/>
      <c r="K11" s="334"/>
      <c r="L11" s="334"/>
      <c r="M11" s="334"/>
      <c r="N11" s="54"/>
      <c r="O11" s="54"/>
      <c r="P11" s="54"/>
      <c r="Q11" s="54"/>
      <c r="R11" s="54"/>
      <c r="S11" s="54"/>
    </row>
    <row r="12" spans="1:22" s="473" customFormat="1" ht="12.75" customHeight="1">
      <c r="B12" s="823" t="s">
        <v>2</v>
      </c>
      <c r="C12" s="823"/>
      <c r="D12" s="475" t="s">
        <v>3</v>
      </c>
      <c r="E12" s="475" t="s">
        <v>4</v>
      </c>
      <c r="F12" s="475" t="s">
        <v>5</v>
      </c>
      <c r="G12" s="475" t="s">
        <v>6</v>
      </c>
      <c r="H12" s="475" t="s">
        <v>8</v>
      </c>
      <c r="I12" s="475" t="s">
        <v>7</v>
      </c>
      <c r="J12" s="475" t="s">
        <v>29</v>
      </c>
      <c r="K12" s="475" t="s">
        <v>30</v>
      </c>
      <c r="L12" s="475" t="s">
        <v>31</v>
      </c>
      <c r="M12" s="475" t="s">
        <v>68</v>
      </c>
      <c r="N12" s="475" t="s">
        <v>69</v>
      </c>
      <c r="O12" s="475" t="s">
        <v>70</v>
      </c>
      <c r="P12" s="475" t="s">
        <v>71</v>
      </c>
      <c r="Q12" s="475" t="s">
        <v>72</v>
      </c>
      <c r="R12" s="475" t="s">
        <v>73</v>
      </c>
      <c r="S12" s="475" t="s">
        <v>74</v>
      </c>
    </row>
    <row r="13" spans="1:22" ht="12.75" customHeight="1">
      <c r="B13" s="31"/>
      <c r="C13" s="482"/>
      <c r="D13" s="43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438"/>
      <c r="S13" s="438"/>
    </row>
    <row r="14" spans="1:22" ht="12.75" customHeight="1">
      <c r="A14" s="439" t="s">
        <v>9</v>
      </c>
      <c r="B14" s="824" t="s">
        <v>34</v>
      </c>
      <c r="C14" s="825"/>
      <c r="D14" s="440" t="s">
        <v>570</v>
      </c>
      <c r="E14" s="828" t="s">
        <v>76</v>
      </c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30"/>
      <c r="R14" s="336" t="s">
        <v>571</v>
      </c>
      <c r="S14" s="335" t="s">
        <v>572</v>
      </c>
    </row>
    <row r="15" spans="1:22" ht="12.75" customHeight="1">
      <c r="A15" s="244" t="s">
        <v>10</v>
      </c>
      <c r="B15" s="826"/>
      <c r="C15" s="827"/>
      <c r="D15" s="441" t="s">
        <v>75</v>
      </c>
      <c r="E15" s="442" t="s">
        <v>26</v>
      </c>
      <c r="F15" s="442" t="s">
        <v>33</v>
      </c>
      <c r="G15" s="442" t="s">
        <v>16</v>
      </c>
      <c r="H15" s="442" t="s">
        <v>17</v>
      </c>
      <c r="I15" s="442" t="s">
        <v>18</v>
      </c>
      <c r="J15" s="442" t="s">
        <v>19</v>
      </c>
      <c r="K15" s="442" t="s">
        <v>20</v>
      </c>
      <c r="L15" s="442" t="s">
        <v>21</v>
      </c>
      <c r="M15" s="442" t="s">
        <v>22</v>
      </c>
      <c r="N15" s="442" t="s">
        <v>23</v>
      </c>
      <c r="O15" s="442" t="s">
        <v>24</v>
      </c>
      <c r="P15" s="442" t="s">
        <v>25</v>
      </c>
      <c r="Q15" s="442" t="s">
        <v>26</v>
      </c>
      <c r="R15" s="443" t="s">
        <v>77</v>
      </c>
      <c r="S15" s="337" t="s">
        <v>612</v>
      </c>
    </row>
    <row r="16" spans="1:22" ht="12.75" customHeight="1">
      <c r="A16" s="243"/>
      <c r="B16" s="719"/>
      <c r="C16" s="720"/>
      <c r="D16" s="721" t="s">
        <v>573</v>
      </c>
      <c r="E16" s="722"/>
      <c r="F16" s="722"/>
      <c r="G16" s="722"/>
      <c r="H16" s="722"/>
      <c r="I16" s="722"/>
      <c r="J16" s="722"/>
      <c r="K16" s="722"/>
      <c r="L16" s="722"/>
      <c r="M16" s="722"/>
      <c r="N16" s="722"/>
      <c r="O16" s="722"/>
      <c r="P16" s="722"/>
      <c r="Q16" s="722"/>
      <c r="R16" s="722"/>
      <c r="S16" s="723" t="s">
        <v>574</v>
      </c>
    </row>
    <row r="17" spans="1:20" ht="12.75" customHeight="1">
      <c r="A17" s="243"/>
      <c r="B17" s="478"/>
      <c r="C17" s="724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25"/>
      <c r="Q17" s="725"/>
      <c r="R17" s="726"/>
      <c r="S17" s="727"/>
    </row>
    <row r="18" spans="1:20" ht="12.75" customHeight="1">
      <c r="A18" s="243"/>
      <c r="B18" s="831" t="s">
        <v>78</v>
      </c>
      <c r="C18" s="832"/>
      <c r="D18" s="728"/>
      <c r="E18" s="729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</row>
    <row r="19" spans="1:20" ht="12.75" customHeight="1">
      <c r="A19" s="243">
        <v>1</v>
      </c>
      <c r="B19" s="408">
        <f t="shared" ref="B19:B26" si="0">D19</f>
        <v>6.7000000000000004E-2</v>
      </c>
      <c r="C19" s="409" t="s">
        <v>524</v>
      </c>
      <c r="D19" s="731">
        <v>6.7000000000000004E-2</v>
      </c>
      <c r="E19" s="410">
        <v>0</v>
      </c>
      <c r="F19" s="410">
        <v>0</v>
      </c>
      <c r="G19" s="410">
        <v>0</v>
      </c>
      <c r="H19" s="410">
        <v>0</v>
      </c>
      <c r="I19" s="410">
        <v>0</v>
      </c>
      <c r="J19" s="410">
        <v>0</v>
      </c>
      <c r="K19" s="410">
        <v>0</v>
      </c>
      <c r="L19" s="410">
        <v>0</v>
      </c>
      <c r="M19" s="410">
        <v>0</v>
      </c>
      <c r="N19" s="410">
        <v>0</v>
      </c>
      <c r="O19" s="410">
        <v>0</v>
      </c>
      <c r="P19" s="410">
        <v>0</v>
      </c>
      <c r="Q19" s="410">
        <v>0</v>
      </c>
      <c r="R19" s="410">
        <f>AVERAGE(E19:Q19)</f>
        <v>0</v>
      </c>
      <c r="S19" s="410"/>
      <c r="T19" s="229"/>
    </row>
    <row r="20" spans="1:20" ht="12.75" customHeight="1">
      <c r="A20" s="243">
        <f t="shared" ref="A20" si="1">A19+1</f>
        <v>2</v>
      </c>
      <c r="B20" s="408">
        <f t="shared" si="0"/>
        <v>6.6299999999999998E-2</v>
      </c>
      <c r="C20" s="411" t="s">
        <v>524</v>
      </c>
      <c r="D20" s="731">
        <v>6.6299999999999998E-2</v>
      </c>
      <c r="E20" s="410">
        <v>90000000</v>
      </c>
      <c r="F20" s="410">
        <v>90000000</v>
      </c>
      <c r="G20" s="410">
        <v>90000000</v>
      </c>
      <c r="H20" s="410">
        <v>90000000</v>
      </c>
      <c r="I20" s="410">
        <v>90000000</v>
      </c>
      <c r="J20" s="410">
        <v>90000000</v>
      </c>
      <c r="K20" s="410">
        <v>90000000</v>
      </c>
      <c r="L20" s="410">
        <v>90000000</v>
      </c>
      <c r="M20" s="410">
        <v>90000000</v>
      </c>
      <c r="N20" s="410">
        <v>90000000</v>
      </c>
      <c r="O20" s="410">
        <v>90000000</v>
      </c>
      <c r="P20" s="410">
        <v>90000000</v>
      </c>
      <c r="Q20" s="410">
        <v>0</v>
      </c>
      <c r="R20" s="410">
        <f t="shared" ref="R20:R26" si="2">AVERAGE(E20:Q20)</f>
        <v>83076923.076923072</v>
      </c>
      <c r="S20" s="410">
        <v>5469750</v>
      </c>
      <c r="T20" s="229"/>
    </row>
    <row r="21" spans="1:20" ht="12.75" customHeight="1">
      <c r="A21" s="243">
        <f>A20+1</f>
        <v>3</v>
      </c>
      <c r="B21" s="408" t="s">
        <v>565</v>
      </c>
      <c r="C21" s="411" t="s">
        <v>566</v>
      </c>
      <c r="D21" s="731">
        <v>4.6300000000000001E-2</v>
      </c>
      <c r="E21" s="410">
        <v>0</v>
      </c>
      <c r="F21" s="410">
        <v>0</v>
      </c>
      <c r="G21" s="410">
        <v>0</v>
      </c>
      <c r="H21" s="410">
        <v>0</v>
      </c>
      <c r="I21" s="410">
        <v>0</v>
      </c>
      <c r="J21" s="410">
        <v>0</v>
      </c>
      <c r="K21" s="410">
        <v>0</v>
      </c>
      <c r="L21" s="410">
        <v>0</v>
      </c>
      <c r="M21" s="410">
        <v>0</v>
      </c>
      <c r="N21" s="410">
        <v>0</v>
      </c>
      <c r="O21" s="410">
        <v>0</v>
      </c>
      <c r="P21" s="410">
        <v>0</v>
      </c>
      <c r="Q21" s="410">
        <v>140000000</v>
      </c>
      <c r="R21" s="410">
        <f t="shared" si="2"/>
        <v>10769230.76923077</v>
      </c>
      <c r="S21" s="410">
        <v>540166.67000000004</v>
      </c>
      <c r="T21" s="229"/>
    </row>
    <row r="22" spans="1:20" ht="12.75" customHeight="1">
      <c r="A22" s="243">
        <f t="shared" ref="A22:A50" si="3">A21+1</f>
        <v>4</v>
      </c>
      <c r="B22" s="408">
        <f t="shared" si="0"/>
        <v>5.7779999999999998E-2</v>
      </c>
      <c r="C22" s="340" t="s">
        <v>525</v>
      </c>
      <c r="D22" s="731">
        <v>5.7779999999999998E-2</v>
      </c>
      <c r="E22" s="410">
        <v>0</v>
      </c>
      <c r="F22" s="410">
        <v>0</v>
      </c>
      <c r="G22" s="410">
        <v>0</v>
      </c>
      <c r="H22" s="410">
        <v>0</v>
      </c>
      <c r="I22" s="410">
        <v>0</v>
      </c>
      <c r="J22" s="410">
        <v>0</v>
      </c>
      <c r="K22" s="410">
        <v>0</v>
      </c>
      <c r="L22" s="410">
        <v>0</v>
      </c>
      <c r="M22" s="410">
        <v>0</v>
      </c>
      <c r="N22" s="410">
        <v>0</v>
      </c>
      <c r="O22" s="410">
        <v>0</v>
      </c>
      <c r="P22" s="410">
        <v>0</v>
      </c>
      <c r="Q22" s="410">
        <v>0</v>
      </c>
      <c r="R22" s="410">
        <f t="shared" si="2"/>
        <v>0</v>
      </c>
      <c r="S22" s="410"/>
      <c r="T22" s="229"/>
    </row>
    <row r="23" spans="1:20" ht="12.75" customHeight="1">
      <c r="A23" s="243">
        <f t="shared" si="3"/>
        <v>5</v>
      </c>
      <c r="B23" s="408">
        <f t="shared" si="0"/>
        <v>5.9499999999999997E-2</v>
      </c>
      <c r="C23" s="340" t="s">
        <v>526</v>
      </c>
      <c r="D23" s="731">
        <v>5.9499999999999997E-2</v>
      </c>
      <c r="E23" s="410">
        <v>33000000</v>
      </c>
      <c r="F23" s="410">
        <v>33000000</v>
      </c>
      <c r="G23" s="410">
        <v>33000000</v>
      </c>
      <c r="H23" s="410">
        <v>33000000</v>
      </c>
      <c r="I23" s="410">
        <v>33000000</v>
      </c>
      <c r="J23" s="410">
        <v>33000000</v>
      </c>
      <c r="K23" s="410">
        <v>33000000</v>
      </c>
      <c r="L23" s="410">
        <v>33000000</v>
      </c>
      <c r="M23" s="410">
        <v>33000000</v>
      </c>
      <c r="N23" s="410">
        <v>33000000</v>
      </c>
      <c r="O23" s="410">
        <v>33000000</v>
      </c>
      <c r="P23" s="410">
        <v>33000000</v>
      </c>
      <c r="Q23" s="410">
        <v>33000000</v>
      </c>
      <c r="R23" s="410">
        <f t="shared" si="2"/>
        <v>33000000</v>
      </c>
      <c r="S23" s="410">
        <v>1963500</v>
      </c>
      <c r="T23" s="229"/>
    </row>
    <row r="24" spans="1:20" ht="12.75" customHeight="1">
      <c r="A24" s="243">
        <f t="shared" si="3"/>
        <v>6</v>
      </c>
      <c r="B24" s="408">
        <f t="shared" si="0"/>
        <v>6.1499999999999999E-2</v>
      </c>
      <c r="C24" s="340" t="s">
        <v>527</v>
      </c>
      <c r="D24" s="731">
        <v>6.1499999999999999E-2</v>
      </c>
      <c r="E24" s="410">
        <v>30000000</v>
      </c>
      <c r="F24" s="410">
        <v>30000000</v>
      </c>
      <c r="G24" s="410">
        <v>30000000</v>
      </c>
      <c r="H24" s="410">
        <v>30000000</v>
      </c>
      <c r="I24" s="410">
        <v>30000000</v>
      </c>
      <c r="J24" s="410">
        <v>30000000</v>
      </c>
      <c r="K24" s="410">
        <v>30000000</v>
      </c>
      <c r="L24" s="410">
        <v>30000000</v>
      </c>
      <c r="M24" s="410">
        <v>30000000</v>
      </c>
      <c r="N24" s="410">
        <v>30000000</v>
      </c>
      <c r="O24" s="410">
        <v>30000000</v>
      </c>
      <c r="P24" s="410">
        <v>30000000</v>
      </c>
      <c r="Q24" s="410">
        <v>30000000</v>
      </c>
      <c r="R24" s="410">
        <f t="shared" si="2"/>
        <v>30000000</v>
      </c>
      <c r="S24" s="410">
        <v>1845000</v>
      </c>
      <c r="T24" s="229"/>
    </row>
    <row r="25" spans="1:20" ht="12.75" customHeight="1">
      <c r="A25" s="243">
        <f t="shared" si="3"/>
        <v>7</v>
      </c>
      <c r="B25" s="408">
        <f t="shared" si="0"/>
        <v>6.3700000000000007E-2</v>
      </c>
      <c r="C25" s="340" t="s">
        <v>528</v>
      </c>
      <c r="D25" s="731">
        <v>6.3700000000000007E-2</v>
      </c>
      <c r="E25" s="410">
        <v>42000000</v>
      </c>
      <c r="F25" s="410">
        <v>42000000</v>
      </c>
      <c r="G25" s="410">
        <v>42000000</v>
      </c>
      <c r="H25" s="410">
        <v>42000000</v>
      </c>
      <c r="I25" s="410">
        <v>42000000</v>
      </c>
      <c r="J25" s="410">
        <v>42000000</v>
      </c>
      <c r="K25" s="410">
        <v>42000000</v>
      </c>
      <c r="L25" s="410">
        <v>42000000</v>
      </c>
      <c r="M25" s="410">
        <v>42000000</v>
      </c>
      <c r="N25" s="410">
        <v>42000000</v>
      </c>
      <c r="O25" s="410">
        <v>42000000</v>
      </c>
      <c r="P25" s="410">
        <v>42000000</v>
      </c>
      <c r="Q25" s="410">
        <v>42000000</v>
      </c>
      <c r="R25" s="410">
        <f t="shared" si="2"/>
        <v>42000000</v>
      </c>
      <c r="S25" s="410">
        <v>2675400</v>
      </c>
      <c r="T25" s="229"/>
    </row>
    <row r="26" spans="1:20" ht="12.75" customHeight="1">
      <c r="A26" s="243">
        <f t="shared" si="3"/>
        <v>8</v>
      </c>
      <c r="B26" s="408">
        <f t="shared" si="0"/>
        <v>6.4699999999999994E-2</v>
      </c>
      <c r="C26" s="412" t="s">
        <v>529</v>
      </c>
      <c r="D26" s="419">
        <v>6.4699999999999994E-2</v>
      </c>
      <c r="E26" s="413">
        <v>50000000</v>
      </c>
      <c r="F26" s="413">
        <v>50000000</v>
      </c>
      <c r="G26" s="413">
        <v>50000000</v>
      </c>
      <c r="H26" s="413">
        <v>50000000</v>
      </c>
      <c r="I26" s="413">
        <v>50000000</v>
      </c>
      <c r="J26" s="413">
        <v>50000000</v>
      </c>
      <c r="K26" s="413">
        <v>50000000</v>
      </c>
      <c r="L26" s="413">
        <v>50000000</v>
      </c>
      <c r="M26" s="413">
        <v>50000000</v>
      </c>
      <c r="N26" s="413">
        <v>50000000</v>
      </c>
      <c r="O26" s="413">
        <v>50000000</v>
      </c>
      <c r="P26" s="413">
        <v>50000000</v>
      </c>
      <c r="Q26" s="413">
        <v>50000000</v>
      </c>
      <c r="R26" s="413">
        <f t="shared" si="2"/>
        <v>50000000</v>
      </c>
      <c r="S26" s="413">
        <v>3234999.95</v>
      </c>
      <c r="T26" s="229"/>
    </row>
    <row r="27" spans="1:20" ht="12.75" customHeight="1">
      <c r="A27" s="243">
        <f t="shared" si="3"/>
        <v>9</v>
      </c>
      <c r="B27" s="824" t="s">
        <v>79</v>
      </c>
      <c r="C27" s="825"/>
      <c r="D27" s="732"/>
      <c r="E27" s="414">
        <f t="shared" ref="E27:R27" si="4">SUM(E19:E26)</f>
        <v>245000000</v>
      </c>
      <c r="F27" s="414">
        <f t="shared" si="4"/>
        <v>245000000</v>
      </c>
      <c r="G27" s="414">
        <f t="shared" si="4"/>
        <v>245000000</v>
      </c>
      <c r="H27" s="414">
        <f t="shared" si="4"/>
        <v>245000000</v>
      </c>
      <c r="I27" s="414">
        <f t="shared" si="4"/>
        <v>245000000</v>
      </c>
      <c r="J27" s="414">
        <f t="shared" si="4"/>
        <v>245000000</v>
      </c>
      <c r="K27" s="414">
        <f t="shared" si="4"/>
        <v>245000000</v>
      </c>
      <c r="L27" s="414">
        <f t="shared" si="4"/>
        <v>245000000</v>
      </c>
      <c r="M27" s="414">
        <f t="shared" si="4"/>
        <v>245000000</v>
      </c>
      <c r="N27" s="414">
        <f t="shared" si="4"/>
        <v>245000000</v>
      </c>
      <c r="O27" s="414">
        <f t="shared" si="4"/>
        <v>245000000</v>
      </c>
      <c r="P27" s="414">
        <f t="shared" si="4"/>
        <v>245000000</v>
      </c>
      <c r="Q27" s="414">
        <f t="shared" si="4"/>
        <v>295000000</v>
      </c>
      <c r="R27" s="414">
        <f t="shared" si="4"/>
        <v>248846153.84615386</v>
      </c>
      <c r="S27" s="414">
        <f>SUM(S19:S26)</f>
        <v>15728816.620000001</v>
      </c>
      <c r="T27" s="229"/>
    </row>
    <row r="28" spans="1:20" ht="12.75" customHeight="1">
      <c r="A28" s="243">
        <f t="shared" si="3"/>
        <v>10</v>
      </c>
      <c r="B28" s="481"/>
      <c r="C28" s="415"/>
      <c r="D28" s="733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229"/>
    </row>
    <row r="29" spans="1:20" ht="12.75" customHeight="1">
      <c r="A29" s="243">
        <f t="shared" si="3"/>
        <v>11</v>
      </c>
      <c r="B29" s="812" t="s">
        <v>80</v>
      </c>
      <c r="C29" s="813"/>
      <c r="D29" s="733"/>
      <c r="E29" s="734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229"/>
    </row>
    <row r="30" spans="1:20" ht="12.75" customHeight="1">
      <c r="A30" s="243">
        <f t="shared" si="3"/>
        <v>12</v>
      </c>
      <c r="B30" s="408">
        <f t="shared" ref="B30:B31" si="5">D30</f>
        <v>4.65E-2</v>
      </c>
      <c r="C30" s="418" t="s">
        <v>567</v>
      </c>
      <c r="D30" s="731">
        <v>4.65E-2</v>
      </c>
      <c r="E30" s="410">
        <v>5100000</v>
      </c>
      <c r="F30" s="410">
        <v>5100000</v>
      </c>
      <c r="G30" s="410">
        <v>5100000</v>
      </c>
      <c r="H30" s="410">
        <v>5090000</v>
      </c>
      <c r="I30" s="410">
        <v>5090000</v>
      </c>
      <c r="J30" s="410">
        <v>5090000</v>
      </c>
      <c r="K30" s="410">
        <v>5090000</v>
      </c>
      <c r="L30" s="410">
        <v>5090000</v>
      </c>
      <c r="M30" s="410">
        <v>5090000</v>
      </c>
      <c r="N30" s="410">
        <v>5090000</v>
      </c>
      <c r="O30" s="410">
        <v>5090000</v>
      </c>
      <c r="P30" s="410">
        <v>5090000</v>
      </c>
      <c r="Q30" s="410">
        <v>5090000</v>
      </c>
      <c r="R30" s="410">
        <f t="shared" ref="R30:R32" si="6">AVERAGE(E30:Q30)</f>
        <v>5092307.692307692</v>
      </c>
      <c r="S30" s="410">
        <v>236762.09</v>
      </c>
      <c r="T30" s="229"/>
    </row>
    <row r="31" spans="1:20" ht="12.75" customHeight="1">
      <c r="A31" s="243">
        <f t="shared" si="3"/>
        <v>13</v>
      </c>
      <c r="B31" s="408">
        <f t="shared" si="5"/>
        <v>4.8500000000000001E-2</v>
      </c>
      <c r="C31" s="418" t="s">
        <v>568</v>
      </c>
      <c r="D31" s="731">
        <v>4.8500000000000001E-2</v>
      </c>
      <c r="E31" s="410">
        <v>20215000</v>
      </c>
      <c r="F31" s="410">
        <v>20215000</v>
      </c>
      <c r="G31" s="410">
        <v>20215000</v>
      </c>
      <c r="H31" s="410">
        <v>20215000</v>
      </c>
      <c r="I31" s="410">
        <v>20215000</v>
      </c>
      <c r="J31" s="410">
        <v>20215000</v>
      </c>
      <c r="K31" s="410">
        <v>20215000</v>
      </c>
      <c r="L31" s="410">
        <v>20215000</v>
      </c>
      <c r="M31" s="410">
        <v>20215000</v>
      </c>
      <c r="N31" s="410">
        <v>20105000</v>
      </c>
      <c r="O31" s="410">
        <v>20105000</v>
      </c>
      <c r="P31" s="410">
        <v>20105000</v>
      </c>
      <c r="Q31" s="410">
        <v>20105000</v>
      </c>
      <c r="R31" s="410">
        <f t="shared" si="6"/>
        <v>20181153.846153848</v>
      </c>
      <c r="S31" s="410">
        <v>978647.64</v>
      </c>
      <c r="T31" s="229"/>
    </row>
    <row r="32" spans="1:20" ht="12.75" customHeight="1">
      <c r="A32" s="243">
        <f t="shared" si="3"/>
        <v>14</v>
      </c>
      <c r="B32" s="833" t="s">
        <v>81</v>
      </c>
      <c r="C32" s="834"/>
      <c r="D32" s="419" t="s">
        <v>82</v>
      </c>
      <c r="E32" s="413">
        <v>10400000</v>
      </c>
      <c r="F32" s="413">
        <v>10400000</v>
      </c>
      <c r="G32" s="413">
        <v>10400000</v>
      </c>
      <c r="H32" s="413">
        <v>10400000</v>
      </c>
      <c r="I32" s="413">
        <v>10400000</v>
      </c>
      <c r="J32" s="413">
        <v>10400000</v>
      </c>
      <c r="K32" s="413">
        <v>10400000</v>
      </c>
      <c r="L32" s="413">
        <v>10400000</v>
      </c>
      <c r="M32" s="413">
        <v>10400000</v>
      </c>
      <c r="N32" s="413">
        <v>10400000</v>
      </c>
      <c r="O32" s="413">
        <v>10400000</v>
      </c>
      <c r="P32" s="413">
        <v>10400000</v>
      </c>
      <c r="Q32" s="413">
        <v>0</v>
      </c>
      <c r="R32" s="410">
        <f t="shared" si="6"/>
        <v>9600000</v>
      </c>
      <c r="S32" s="413">
        <v>194893.14</v>
      </c>
      <c r="T32" s="397"/>
    </row>
    <row r="33" spans="1:20" ht="12.75" customHeight="1">
      <c r="A33" s="243">
        <f t="shared" si="3"/>
        <v>15</v>
      </c>
      <c r="B33" s="824" t="s">
        <v>83</v>
      </c>
      <c r="C33" s="825"/>
      <c r="D33" s="735"/>
      <c r="E33" s="420">
        <f t="shared" ref="E33:Q33" si="7">SUM(E30:E32)</f>
        <v>35715000</v>
      </c>
      <c r="F33" s="420">
        <f t="shared" si="7"/>
        <v>35715000</v>
      </c>
      <c r="G33" s="420">
        <f t="shared" si="7"/>
        <v>35715000</v>
      </c>
      <c r="H33" s="420">
        <f t="shared" si="7"/>
        <v>35705000</v>
      </c>
      <c r="I33" s="420">
        <f t="shared" si="7"/>
        <v>35705000</v>
      </c>
      <c r="J33" s="420">
        <f t="shared" si="7"/>
        <v>35705000</v>
      </c>
      <c r="K33" s="420">
        <f t="shared" si="7"/>
        <v>35705000</v>
      </c>
      <c r="L33" s="420">
        <f t="shared" si="7"/>
        <v>35705000</v>
      </c>
      <c r="M33" s="420">
        <f t="shared" si="7"/>
        <v>35705000</v>
      </c>
      <c r="N33" s="420">
        <f t="shared" si="7"/>
        <v>35595000</v>
      </c>
      <c r="O33" s="420">
        <f t="shared" si="7"/>
        <v>35595000</v>
      </c>
      <c r="P33" s="420">
        <f t="shared" si="7"/>
        <v>35595000</v>
      </c>
      <c r="Q33" s="420">
        <f t="shared" si="7"/>
        <v>25195000</v>
      </c>
      <c r="R33" s="420">
        <f>SUM(R30:R32)</f>
        <v>34873461.538461536</v>
      </c>
      <c r="S33" s="420">
        <f>SUM(S30:S32)</f>
        <v>1410302.87</v>
      </c>
    </row>
    <row r="34" spans="1:20" ht="12.75" customHeight="1">
      <c r="A34" s="243">
        <f t="shared" si="3"/>
        <v>16</v>
      </c>
      <c r="B34" s="339"/>
      <c r="C34" s="472"/>
      <c r="D34" s="73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2"/>
    </row>
    <row r="35" spans="1:20" ht="12.75" customHeight="1">
      <c r="A35" s="243">
        <f t="shared" si="3"/>
        <v>17</v>
      </c>
      <c r="B35" s="339" t="s">
        <v>530</v>
      </c>
      <c r="C35" s="472"/>
      <c r="D35" s="731" t="s">
        <v>82</v>
      </c>
      <c r="E35" s="410">
        <v>0</v>
      </c>
      <c r="F35" s="410">
        <v>0</v>
      </c>
      <c r="G35" s="410">
        <v>0</v>
      </c>
      <c r="H35" s="410">
        <v>0</v>
      </c>
      <c r="I35" s="410">
        <v>0</v>
      </c>
      <c r="J35" s="410">
        <v>0</v>
      </c>
      <c r="K35" s="410">
        <v>0</v>
      </c>
      <c r="L35" s="410">
        <v>0</v>
      </c>
      <c r="M35" s="410">
        <v>0</v>
      </c>
      <c r="N35" s="410">
        <v>0</v>
      </c>
      <c r="O35" s="410">
        <v>0</v>
      </c>
      <c r="P35" s="410">
        <v>0</v>
      </c>
      <c r="Q35" s="410">
        <v>0</v>
      </c>
      <c r="R35" s="343">
        <v>0</v>
      </c>
      <c r="S35" s="736"/>
      <c r="T35" s="397"/>
    </row>
    <row r="36" spans="1:20" ht="12.75" customHeight="1">
      <c r="A36" s="243">
        <f>A35+1</f>
        <v>18</v>
      </c>
      <c r="B36" s="339"/>
      <c r="C36" s="472"/>
      <c r="D36" s="73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2"/>
    </row>
    <row r="37" spans="1:20" ht="12.75" customHeight="1">
      <c r="A37" s="243">
        <f t="shared" si="3"/>
        <v>19</v>
      </c>
      <c r="B37" s="339" t="s">
        <v>531</v>
      </c>
      <c r="C37" s="472"/>
      <c r="D37" s="73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</row>
    <row r="38" spans="1:20" ht="12.75" customHeight="1">
      <c r="A38" s="243">
        <f t="shared" si="3"/>
        <v>20</v>
      </c>
      <c r="B38" s="423">
        <f>D38</f>
        <v>5.33E-2</v>
      </c>
      <c r="C38" s="418" t="s">
        <v>532</v>
      </c>
      <c r="D38" s="731">
        <v>5.33E-2</v>
      </c>
      <c r="E38" s="410">
        <v>6000000</v>
      </c>
      <c r="F38" s="410">
        <v>6000000</v>
      </c>
      <c r="G38" s="410">
        <v>6000000</v>
      </c>
      <c r="H38" s="410">
        <v>6000000</v>
      </c>
      <c r="I38" s="410">
        <v>6000000</v>
      </c>
      <c r="J38" s="410">
        <v>6000000</v>
      </c>
      <c r="K38" s="410">
        <v>6000000</v>
      </c>
      <c r="L38" s="410">
        <v>6000000</v>
      </c>
      <c r="M38" s="410">
        <v>6000000</v>
      </c>
      <c r="N38" s="410">
        <v>6000000</v>
      </c>
      <c r="O38" s="410">
        <v>6000000</v>
      </c>
      <c r="P38" s="410">
        <v>6000000</v>
      </c>
      <c r="Q38" s="410">
        <v>6000000</v>
      </c>
      <c r="R38" s="410">
        <f t="shared" ref="R38:R41" si="8">AVERAGE(E38:Q38)</f>
        <v>6000000</v>
      </c>
      <c r="S38" s="410">
        <v>319800</v>
      </c>
    </row>
    <row r="39" spans="1:20" ht="12.75" customHeight="1">
      <c r="A39" s="243">
        <f t="shared" si="3"/>
        <v>21</v>
      </c>
      <c r="B39" s="423">
        <f>D39</f>
        <v>7.2099999999999997E-2</v>
      </c>
      <c r="C39" s="418" t="s">
        <v>533</v>
      </c>
      <c r="D39" s="731">
        <v>7.2099999999999997E-2</v>
      </c>
      <c r="E39" s="410">
        <v>2500000</v>
      </c>
      <c r="F39" s="410">
        <v>2500000</v>
      </c>
      <c r="G39" s="410">
        <v>2500000</v>
      </c>
      <c r="H39" s="410">
        <v>2500000</v>
      </c>
      <c r="I39" s="410">
        <v>2500000</v>
      </c>
      <c r="J39" s="410">
        <v>2500000</v>
      </c>
      <c r="K39" s="410">
        <v>2500000</v>
      </c>
      <c r="L39" s="410">
        <v>2500000</v>
      </c>
      <c r="M39" s="410">
        <v>2500000</v>
      </c>
      <c r="N39" s="410">
        <v>2500000</v>
      </c>
      <c r="O39" s="410">
        <v>2500000</v>
      </c>
      <c r="P39" s="410">
        <v>2500000</v>
      </c>
      <c r="Q39" s="410">
        <v>2500000</v>
      </c>
      <c r="R39" s="410">
        <f t="shared" si="8"/>
        <v>2500000</v>
      </c>
      <c r="S39" s="410">
        <v>180249.96</v>
      </c>
    </row>
    <row r="40" spans="1:20" ht="12.75" customHeight="1">
      <c r="A40" s="243">
        <f t="shared" si="3"/>
        <v>22</v>
      </c>
      <c r="B40" s="423">
        <f>D40</f>
        <v>7.6200000000000004E-2</v>
      </c>
      <c r="C40" s="418" t="s">
        <v>534</v>
      </c>
      <c r="D40" s="731">
        <v>7.6200000000000004E-2</v>
      </c>
      <c r="E40" s="410">
        <v>3000000</v>
      </c>
      <c r="F40" s="410">
        <v>3000000</v>
      </c>
      <c r="G40" s="410">
        <v>3000000</v>
      </c>
      <c r="H40" s="410">
        <v>3000000</v>
      </c>
      <c r="I40" s="410">
        <v>3000000</v>
      </c>
      <c r="J40" s="410">
        <v>3000000</v>
      </c>
      <c r="K40" s="410">
        <v>3000000</v>
      </c>
      <c r="L40" s="410">
        <v>3000000</v>
      </c>
      <c r="M40" s="410">
        <v>3000000</v>
      </c>
      <c r="N40" s="410">
        <v>3000000</v>
      </c>
      <c r="O40" s="410">
        <v>3000000</v>
      </c>
      <c r="P40" s="410">
        <v>3000000</v>
      </c>
      <c r="Q40" s="410">
        <v>3000000</v>
      </c>
      <c r="R40" s="410">
        <f t="shared" si="8"/>
        <v>3000000</v>
      </c>
      <c r="S40" s="410">
        <v>228600</v>
      </c>
    </row>
    <row r="41" spans="1:20" ht="12.75" customHeight="1">
      <c r="A41" s="243">
        <f t="shared" si="3"/>
        <v>23</v>
      </c>
      <c r="B41" s="423">
        <f>D41</f>
        <v>9.35E-2</v>
      </c>
      <c r="C41" s="418" t="s">
        <v>535</v>
      </c>
      <c r="D41" s="731">
        <v>9.35E-2</v>
      </c>
      <c r="E41" s="413">
        <v>4000000</v>
      </c>
      <c r="F41" s="413">
        <v>4000000</v>
      </c>
      <c r="G41" s="413">
        <v>4000000</v>
      </c>
      <c r="H41" s="413">
        <v>4000000</v>
      </c>
      <c r="I41" s="413">
        <v>4000000</v>
      </c>
      <c r="J41" s="413">
        <v>4000000</v>
      </c>
      <c r="K41" s="413">
        <v>4000000</v>
      </c>
      <c r="L41" s="413">
        <v>4000000</v>
      </c>
      <c r="M41" s="413">
        <v>4000000</v>
      </c>
      <c r="N41" s="413">
        <v>4000000</v>
      </c>
      <c r="O41" s="413">
        <v>4000000</v>
      </c>
      <c r="P41" s="413">
        <v>4000000</v>
      </c>
      <c r="Q41" s="413">
        <v>4000000</v>
      </c>
      <c r="R41" s="410">
        <f t="shared" si="8"/>
        <v>4000000</v>
      </c>
      <c r="S41" s="410">
        <v>374000.04</v>
      </c>
    </row>
    <row r="42" spans="1:20" ht="12.75" customHeight="1">
      <c r="A42" s="243">
        <f t="shared" si="3"/>
        <v>24</v>
      </c>
      <c r="B42" s="835" t="s">
        <v>536</v>
      </c>
      <c r="C42" s="836"/>
      <c r="D42" s="737"/>
      <c r="E42" s="343">
        <f>SUM(E38:E41)</f>
        <v>15500000</v>
      </c>
      <c r="F42" s="343">
        <f t="shared" ref="F42:R42" si="9">SUM(F38:F41)</f>
        <v>15500000</v>
      </c>
      <c r="G42" s="343">
        <f t="shared" si="9"/>
        <v>15500000</v>
      </c>
      <c r="H42" s="343">
        <f t="shared" si="9"/>
        <v>15500000</v>
      </c>
      <c r="I42" s="343">
        <f t="shared" si="9"/>
        <v>15500000</v>
      </c>
      <c r="J42" s="343">
        <f t="shared" si="9"/>
        <v>15500000</v>
      </c>
      <c r="K42" s="343">
        <f t="shared" si="9"/>
        <v>15500000</v>
      </c>
      <c r="L42" s="343">
        <f t="shared" si="9"/>
        <v>15500000</v>
      </c>
      <c r="M42" s="343">
        <f t="shared" si="9"/>
        <v>15500000</v>
      </c>
      <c r="N42" s="343">
        <f t="shared" si="9"/>
        <v>15500000</v>
      </c>
      <c r="O42" s="343">
        <f t="shared" si="9"/>
        <v>15500000</v>
      </c>
      <c r="P42" s="343">
        <f t="shared" si="9"/>
        <v>15500000</v>
      </c>
      <c r="Q42" s="343">
        <f t="shared" si="9"/>
        <v>15500000</v>
      </c>
      <c r="R42" s="414">
        <f t="shared" si="9"/>
        <v>15500000</v>
      </c>
      <c r="S42" s="414">
        <f>SUM(S38:S41)</f>
        <v>1102650</v>
      </c>
    </row>
    <row r="43" spans="1:20" ht="12.75" customHeight="1">
      <c r="A43" s="243">
        <f t="shared" si="3"/>
        <v>25</v>
      </c>
      <c r="B43" s="424"/>
      <c r="C43" s="338"/>
      <c r="D43" s="717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</row>
    <row r="44" spans="1:20" ht="12.75" customHeight="1">
      <c r="A44" s="243">
        <f t="shared" si="3"/>
        <v>26</v>
      </c>
      <c r="B44" s="816" t="s">
        <v>569</v>
      </c>
      <c r="C44" s="817"/>
      <c r="D44" s="738"/>
      <c r="E44" s="425">
        <f t="shared" ref="E44:R44" si="10">E27+E33+E35+E42</f>
        <v>296215000</v>
      </c>
      <c r="F44" s="425">
        <f t="shared" si="10"/>
        <v>296215000</v>
      </c>
      <c r="G44" s="425">
        <f t="shared" si="10"/>
        <v>296215000</v>
      </c>
      <c r="H44" s="425">
        <f t="shared" si="10"/>
        <v>296205000</v>
      </c>
      <c r="I44" s="425">
        <f t="shared" si="10"/>
        <v>296205000</v>
      </c>
      <c r="J44" s="425">
        <f t="shared" si="10"/>
        <v>296205000</v>
      </c>
      <c r="K44" s="425">
        <f t="shared" si="10"/>
        <v>296205000</v>
      </c>
      <c r="L44" s="425">
        <f t="shared" si="10"/>
        <v>296205000</v>
      </c>
      <c r="M44" s="425">
        <f t="shared" si="10"/>
        <v>296205000</v>
      </c>
      <c r="N44" s="425">
        <f t="shared" si="10"/>
        <v>296095000</v>
      </c>
      <c r="O44" s="425">
        <f t="shared" si="10"/>
        <v>296095000</v>
      </c>
      <c r="P44" s="425">
        <f t="shared" si="10"/>
        <v>296095000</v>
      </c>
      <c r="Q44" s="425">
        <f t="shared" si="10"/>
        <v>335695000</v>
      </c>
      <c r="R44" s="425">
        <f t="shared" si="10"/>
        <v>299219615.38461542</v>
      </c>
      <c r="S44" s="426">
        <f>S42+S33+S27</f>
        <v>18241769.490000002</v>
      </c>
    </row>
    <row r="45" spans="1:20" ht="12.75" customHeight="1">
      <c r="A45" s="243">
        <f t="shared" si="3"/>
        <v>27</v>
      </c>
      <c r="B45" s="476"/>
      <c r="C45" s="477"/>
      <c r="D45" s="427"/>
      <c r="E45" s="739"/>
      <c r="F45" s="739"/>
      <c r="G45" s="739"/>
      <c r="H45" s="739"/>
      <c r="I45" s="739"/>
      <c r="J45" s="739"/>
      <c r="K45" s="739"/>
      <c r="L45" s="739"/>
      <c r="M45" s="739"/>
      <c r="N45" s="739"/>
      <c r="O45" s="739"/>
      <c r="P45" s="739"/>
      <c r="Q45" s="739"/>
      <c r="R45" s="420"/>
      <c r="S45" s="740"/>
    </row>
    <row r="46" spans="1:20" ht="12.75" customHeight="1">
      <c r="A46" s="243">
        <f t="shared" si="3"/>
        <v>28</v>
      </c>
      <c r="B46" s="428"/>
      <c r="C46" s="429"/>
      <c r="D46" s="430"/>
      <c r="E46" s="431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20"/>
      <c r="Q46" s="420"/>
      <c r="R46" s="430"/>
      <c r="S46" s="432"/>
    </row>
    <row r="47" spans="1:20" ht="12.75" customHeight="1">
      <c r="A47" s="243">
        <f t="shared" si="3"/>
        <v>29</v>
      </c>
      <c r="B47" s="818" t="s">
        <v>84</v>
      </c>
      <c r="C47" s="819"/>
      <c r="D47" s="427"/>
      <c r="E47" s="741">
        <v>-5989950</v>
      </c>
      <c r="F47" s="410">
        <v>-5880534</v>
      </c>
      <c r="G47" s="410">
        <v>-5721118</v>
      </c>
      <c r="H47" s="410">
        <v>-6186515</v>
      </c>
      <c r="I47" s="410">
        <v>-6015662</v>
      </c>
      <c r="J47" s="410">
        <v>-5925790</v>
      </c>
      <c r="K47" s="410">
        <v>-5837801</v>
      </c>
      <c r="L47" s="410">
        <v>-6523233.6200000001</v>
      </c>
      <c r="M47" s="410">
        <v>-6552337.1299999999</v>
      </c>
      <c r="N47" s="410">
        <v>-6486412.8700000001</v>
      </c>
      <c r="O47" s="410">
        <v>-6412493.5099999998</v>
      </c>
      <c r="P47" s="410">
        <v>-6333392.5899999999</v>
      </c>
      <c r="Q47" s="410">
        <v>-6345348.7999999998</v>
      </c>
      <c r="R47" s="433">
        <f>SUM(E47:Q47)/13</f>
        <v>-6170045.2707692301</v>
      </c>
      <c r="S47" s="742">
        <v>1295973</v>
      </c>
      <c r="T47" s="444"/>
    </row>
    <row r="48" spans="1:20" ht="12.75" customHeight="1">
      <c r="A48" s="243">
        <f t="shared" si="3"/>
        <v>30</v>
      </c>
      <c r="B48" s="474"/>
      <c r="C48" s="340"/>
      <c r="D48" s="445"/>
      <c r="E48" s="743"/>
      <c r="F48" s="744"/>
      <c r="G48" s="744"/>
      <c r="H48" s="744"/>
      <c r="I48" s="744"/>
      <c r="J48" s="744"/>
      <c r="K48" s="744"/>
      <c r="L48" s="744"/>
      <c r="M48" s="744"/>
      <c r="N48" s="744"/>
      <c r="O48" s="744"/>
      <c r="P48" s="744"/>
      <c r="Q48" s="744"/>
      <c r="R48" s="433"/>
      <c r="S48" s="742"/>
      <c r="T48" s="444"/>
    </row>
    <row r="49" spans="1:21" ht="12.75" customHeight="1">
      <c r="A49" s="243">
        <f t="shared" si="3"/>
        <v>31</v>
      </c>
      <c r="B49" s="481"/>
      <c r="C49" s="415"/>
      <c r="D49" s="416"/>
      <c r="E49" s="745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21"/>
      <c r="R49" s="746"/>
      <c r="S49" s="446"/>
      <c r="T49" s="747" t="s">
        <v>61</v>
      </c>
    </row>
    <row r="50" spans="1:21" ht="12.75" customHeight="1">
      <c r="A50" s="243">
        <f t="shared" si="3"/>
        <v>32</v>
      </c>
      <c r="B50" s="820" t="s">
        <v>85</v>
      </c>
      <c r="C50" s="821"/>
      <c r="D50" s="416"/>
      <c r="E50" s="421">
        <f t="shared" ref="E50:R50" si="11">E44+E47+E48</f>
        <v>290225050</v>
      </c>
      <c r="F50" s="421">
        <f t="shared" si="11"/>
        <v>290334466</v>
      </c>
      <c r="G50" s="421">
        <f t="shared" si="11"/>
        <v>290493882</v>
      </c>
      <c r="H50" s="421">
        <f t="shared" si="11"/>
        <v>290018485</v>
      </c>
      <c r="I50" s="421">
        <f t="shared" si="11"/>
        <v>290189338</v>
      </c>
      <c r="J50" s="421">
        <f t="shared" si="11"/>
        <v>290279210</v>
      </c>
      <c r="K50" s="421">
        <f t="shared" si="11"/>
        <v>290367199</v>
      </c>
      <c r="L50" s="421">
        <f t="shared" si="11"/>
        <v>289681766.38</v>
      </c>
      <c r="M50" s="421">
        <f t="shared" si="11"/>
        <v>289652662.87</v>
      </c>
      <c r="N50" s="421">
        <f t="shared" si="11"/>
        <v>289608587.13</v>
      </c>
      <c r="O50" s="421">
        <f t="shared" si="11"/>
        <v>289682506.49000001</v>
      </c>
      <c r="P50" s="421">
        <f t="shared" si="11"/>
        <v>289761607.41000003</v>
      </c>
      <c r="Q50" s="447">
        <f>Q44+Q47+Q48</f>
        <v>329349651.19999999</v>
      </c>
      <c r="R50" s="448">
        <f t="shared" si="11"/>
        <v>293049570.11384618</v>
      </c>
      <c r="S50" s="449">
        <f>S44+S47</f>
        <v>19537742.490000002</v>
      </c>
      <c r="T50" s="470"/>
    </row>
    <row r="51" spans="1:21" ht="12.75" customHeight="1">
      <c r="A51" s="246"/>
      <c r="B51" s="450"/>
      <c r="C51" s="450"/>
      <c r="D51" s="451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434"/>
    </row>
    <row r="52" spans="1:21" ht="12.75" customHeight="1">
      <c r="R52" s="479"/>
    </row>
    <row r="59" spans="1:21" ht="12.75" customHeight="1">
      <c r="U59" s="332"/>
    </row>
  </sheetData>
  <mergeCells count="17">
    <mergeCell ref="B50:C50"/>
    <mergeCell ref="A8:S8"/>
    <mergeCell ref="A9:S9"/>
    <mergeCell ref="A10:S10"/>
    <mergeCell ref="B12:C12"/>
    <mergeCell ref="B14:C15"/>
    <mergeCell ref="E14:Q14"/>
    <mergeCell ref="B18:C18"/>
    <mergeCell ref="B27:C27"/>
    <mergeCell ref="B32:C32"/>
    <mergeCell ref="B33:C33"/>
    <mergeCell ref="B42:C42"/>
    <mergeCell ref="B29:C29"/>
    <mergeCell ref="A6:S6"/>
    <mergeCell ref="A7:S7"/>
    <mergeCell ref="B44:C44"/>
    <mergeCell ref="B47:C47"/>
  </mergeCells>
  <printOptions horizontalCentered="1"/>
  <pageMargins left="0.25" right="0.25" top="0.5" bottom="0.5" header="0.5" footer="0.36"/>
  <pageSetup scale="48" orientation="landscape" r:id="rId1"/>
  <headerFooter alignWithMargins="0">
    <oddHeader>&amp;R&amp;"Arial,Regular"&amp;10Attachment O Work Paper
Page 19 of 20</oddHeader>
  </headerFooter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3:T33"/>
  <sheetViews>
    <sheetView showGridLines="0" workbookViewId="0">
      <selection activeCell="R36" sqref="R36"/>
    </sheetView>
  </sheetViews>
  <sheetFormatPr defaultRowHeight="12.75"/>
  <cols>
    <col min="1" max="1" width="3.6640625" style="473" customWidth="1"/>
    <col min="2" max="2" width="3.88671875" style="225" bestFit="1" customWidth="1"/>
    <col min="3" max="3" width="4.109375" style="473" customWidth="1"/>
    <col min="4" max="4" width="3.33203125" style="473" customWidth="1"/>
    <col min="5" max="5" width="4.109375" style="473" customWidth="1"/>
    <col min="6" max="6" width="4.21875" style="473" customWidth="1"/>
    <col min="7" max="7" width="3.88671875" style="473" bestFit="1" customWidth="1"/>
    <col min="8" max="8" width="4.44140625" style="473" customWidth="1"/>
    <col min="9" max="9" width="5.44140625" style="473" bestFit="1" customWidth="1"/>
    <col min="10" max="10" width="5" style="473" customWidth="1"/>
    <col min="11" max="11" width="41" style="473" hidden="1" customWidth="1"/>
    <col min="12" max="12" width="10" style="287" bestFit="1" customWidth="1"/>
    <col min="13" max="13" width="2.44140625" style="225" bestFit="1" customWidth="1"/>
    <col min="14" max="16384" width="8.88671875" style="225"/>
  </cols>
  <sheetData>
    <row r="3" spans="1:20">
      <c r="A3" s="795" t="s">
        <v>0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49"/>
      <c r="N3" s="749"/>
      <c r="O3" s="749"/>
      <c r="P3" s="749"/>
      <c r="Q3" s="749"/>
      <c r="R3" s="749"/>
      <c r="S3" s="749"/>
      <c r="T3" s="749"/>
    </row>
    <row r="4" spans="1:20">
      <c r="A4" s="795" t="s">
        <v>458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49"/>
      <c r="N4" s="749"/>
      <c r="O4" s="749"/>
      <c r="P4" s="749"/>
      <c r="Q4" s="749"/>
      <c r="R4" s="749"/>
      <c r="S4" s="749"/>
      <c r="T4" s="749"/>
    </row>
    <row r="5" spans="1:20">
      <c r="A5" s="797" t="s">
        <v>560</v>
      </c>
      <c r="B5" s="797"/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50"/>
      <c r="N5" s="750"/>
      <c r="O5" s="750"/>
      <c r="P5" s="750"/>
      <c r="Q5" s="750"/>
      <c r="R5" s="750"/>
      <c r="S5" s="750"/>
      <c r="T5" s="750"/>
    </row>
    <row r="6" spans="1:20">
      <c r="B6" s="473"/>
      <c r="L6" s="288"/>
      <c r="M6" s="473"/>
      <c r="N6" s="473"/>
      <c r="O6" s="473"/>
      <c r="P6" s="473"/>
      <c r="Q6" s="473"/>
      <c r="R6" s="473"/>
      <c r="S6" s="473"/>
    </row>
    <row r="7" spans="1:20">
      <c r="B7" s="837" t="s">
        <v>2</v>
      </c>
      <c r="C7" s="837"/>
      <c r="D7" s="837"/>
      <c r="E7" s="837"/>
      <c r="F7" s="837"/>
      <c r="G7" s="837"/>
      <c r="H7" s="837"/>
      <c r="I7" s="837"/>
      <c r="J7" s="837"/>
      <c r="K7" s="485"/>
      <c r="L7" s="473" t="s">
        <v>3</v>
      </c>
    </row>
    <row r="9" spans="1:20">
      <c r="A9" s="242" t="s">
        <v>9</v>
      </c>
      <c r="B9" s="226"/>
      <c r="C9" s="290"/>
      <c r="D9" s="290"/>
      <c r="E9" s="290"/>
      <c r="F9" s="290"/>
      <c r="G9" s="290"/>
      <c r="H9" s="290"/>
      <c r="I9" s="290"/>
      <c r="J9" s="290"/>
      <c r="K9" s="290"/>
      <c r="L9" s="289"/>
    </row>
    <row r="10" spans="1:20">
      <c r="A10" s="244" t="s">
        <v>10</v>
      </c>
      <c r="B10" s="235"/>
      <c r="C10" s="248"/>
      <c r="D10" s="248"/>
      <c r="E10" s="248"/>
      <c r="F10" s="248"/>
      <c r="G10" s="248"/>
      <c r="H10" s="248"/>
      <c r="I10" s="248"/>
      <c r="J10" s="248"/>
      <c r="K10" s="248"/>
      <c r="L10" s="751" t="s">
        <v>59</v>
      </c>
    </row>
    <row r="11" spans="1:20">
      <c r="A11" s="242">
        <v>1</v>
      </c>
      <c r="B11" s="841" t="s">
        <v>464</v>
      </c>
      <c r="C11" s="842"/>
      <c r="D11" s="842"/>
      <c r="E11" s="842"/>
      <c r="F11" s="842"/>
      <c r="G11" s="842"/>
      <c r="H11" s="842"/>
      <c r="I11" s="842"/>
      <c r="J11" s="842"/>
      <c r="K11" s="480"/>
      <c r="L11" s="228"/>
    </row>
    <row r="12" spans="1:20">
      <c r="A12" s="243">
        <f>+A11+1</f>
        <v>2</v>
      </c>
      <c r="B12" s="752" t="s">
        <v>444</v>
      </c>
      <c r="C12" s="753" t="s">
        <v>448</v>
      </c>
      <c r="D12" s="753" t="s">
        <v>379</v>
      </c>
      <c r="E12" s="753" t="s">
        <v>380</v>
      </c>
      <c r="F12" s="753" t="s">
        <v>445</v>
      </c>
      <c r="G12" s="753" t="s">
        <v>381</v>
      </c>
      <c r="H12" s="753" t="s">
        <v>446</v>
      </c>
      <c r="I12" s="753" t="s">
        <v>447</v>
      </c>
      <c r="J12" s="753" t="s">
        <v>32</v>
      </c>
      <c r="K12" s="630"/>
      <c r="L12" s="293"/>
    </row>
    <row r="13" spans="1:20">
      <c r="A13" s="243">
        <f t="shared" ref="A13:A27" si="0">+A12+1</f>
        <v>3</v>
      </c>
      <c r="B13" s="266">
        <v>2011</v>
      </c>
      <c r="C13" s="291" t="s">
        <v>384</v>
      </c>
      <c r="D13" s="630" t="s">
        <v>434</v>
      </c>
      <c r="E13" s="630" t="s">
        <v>402</v>
      </c>
      <c r="F13" s="630" t="s">
        <v>462</v>
      </c>
      <c r="G13" s="630" t="s">
        <v>463</v>
      </c>
      <c r="H13" s="754" t="s">
        <v>402</v>
      </c>
      <c r="I13" s="630" t="s">
        <v>390</v>
      </c>
      <c r="J13" s="630" t="s">
        <v>498</v>
      </c>
      <c r="K13" s="630" t="str">
        <f>CONCATENATE(D13,".",E13,".",F13,".",G13,".",H13,".",I13,".",J13)</f>
        <v>020.0000.4110.4540.0000.000000.45400</v>
      </c>
      <c r="L13" s="344">
        <v>138304</v>
      </c>
    </row>
    <row r="14" spans="1:20">
      <c r="A14" s="243">
        <f t="shared" si="0"/>
        <v>4</v>
      </c>
      <c r="B14" s="266"/>
      <c r="C14" s="291"/>
      <c r="D14" s="246"/>
      <c r="E14" s="246"/>
      <c r="F14" s="246"/>
      <c r="G14" s="246"/>
      <c r="H14" s="754"/>
      <c r="I14" s="246"/>
      <c r="J14" s="246"/>
      <c r="K14" s="246"/>
      <c r="L14" s="299">
        <f>SUM(L13:L13)</f>
        <v>138304</v>
      </c>
    </row>
    <row r="15" spans="1:20">
      <c r="A15" s="243">
        <f t="shared" si="0"/>
        <v>5</v>
      </c>
      <c r="B15" s="478"/>
      <c r="C15" s="291"/>
      <c r="D15" s="291"/>
      <c r="E15" s="291"/>
      <c r="F15" s="291"/>
      <c r="G15" s="291"/>
      <c r="H15" s="291"/>
      <c r="I15" s="291"/>
      <c r="J15" s="291"/>
      <c r="K15" s="291"/>
      <c r="L15" s="292"/>
    </row>
    <row r="16" spans="1:20">
      <c r="A16" s="243">
        <f t="shared" si="0"/>
        <v>6</v>
      </c>
      <c r="B16" s="831" t="s">
        <v>467</v>
      </c>
      <c r="C16" s="843"/>
      <c r="D16" s="843"/>
      <c r="E16" s="843"/>
      <c r="F16" s="843"/>
      <c r="G16" s="843"/>
      <c r="H16" s="843"/>
      <c r="I16" s="843"/>
      <c r="J16" s="843"/>
      <c r="K16" s="482"/>
      <c r="L16" s="232"/>
    </row>
    <row r="17" spans="1:13">
      <c r="A17" s="243">
        <f t="shared" si="0"/>
        <v>7</v>
      </c>
      <c r="B17" s="844" t="s">
        <v>459</v>
      </c>
      <c r="C17" s="845"/>
      <c r="D17" s="845"/>
      <c r="E17" s="845"/>
      <c r="F17" s="845"/>
      <c r="G17" s="845"/>
      <c r="H17" s="845"/>
      <c r="I17" s="845"/>
      <c r="J17" s="845"/>
      <c r="K17" s="484"/>
      <c r="L17" s="292">
        <v>3409270</v>
      </c>
    </row>
    <row r="18" spans="1:13">
      <c r="A18" s="243">
        <f t="shared" si="0"/>
        <v>8</v>
      </c>
      <c r="B18" s="844" t="s">
        <v>460</v>
      </c>
      <c r="C18" s="845"/>
      <c r="D18" s="845"/>
      <c r="E18" s="845"/>
      <c r="F18" s="845"/>
      <c r="G18" s="845"/>
      <c r="H18" s="845"/>
      <c r="I18" s="845"/>
      <c r="J18" s="845"/>
      <c r="K18" s="484"/>
      <c r="L18" s="292">
        <v>439031</v>
      </c>
    </row>
    <row r="19" spans="1:13">
      <c r="A19" s="243">
        <f t="shared" si="0"/>
        <v>9</v>
      </c>
      <c r="B19" s="844" t="s">
        <v>461</v>
      </c>
      <c r="C19" s="845"/>
      <c r="D19" s="845"/>
      <c r="E19" s="845"/>
      <c r="F19" s="845"/>
      <c r="G19" s="845"/>
      <c r="H19" s="845"/>
      <c r="I19" s="845"/>
      <c r="J19" s="845"/>
      <c r="K19" s="484"/>
      <c r="L19" s="292">
        <v>7989378</v>
      </c>
    </row>
    <row r="20" spans="1:13">
      <c r="A20" s="243">
        <f t="shared" si="0"/>
        <v>10</v>
      </c>
      <c r="B20" s="844" t="s">
        <v>466</v>
      </c>
      <c r="C20" s="845"/>
      <c r="D20" s="845"/>
      <c r="E20" s="845"/>
      <c r="F20" s="845"/>
      <c r="G20" s="845"/>
      <c r="H20" s="845"/>
      <c r="I20" s="845"/>
      <c r="J20" s="845"/>
      <c r="K20" s="484"/>
      <c r="L20" s="280">
        <f>658609.97+553496.9</f>
        <v>1212106.8700000001</v>
      </c>
      <c r="M20" s="397"/>
    </row>
    <row r="21" spans="1:13">
      <c r="A21" s="243">
        <f t="shared" si="0"/>
        <v>11</v>
      </c>
      <c r="B21" s="838" t="s">
        <v>468</v>
      </c>
      <c r="C21" s="839"/>
      <c r="D21" s="839"/>
      <c r="E21" s="839"/>
      <c r="F21" s="839"/>
      <c r="G21" s="839"/>
      <c r="H21" s="839"/>
      <c r="I21" s="839"/>
      <c r="J21" s="839"/>
      <c r="K21" s="479"/>
      <c r="L21" s="299">
        <f>+SUM(L17:L19)-SUM(L20)</f>
        <v>10625572.129999999</v>
      </c>
    </row>
    <row r="22" spans="1:13">
      <c r="A22" s="243">
        <f t="shared" si="0"/>
        <v>12</v>
      </c>
      <c r="B22" s="478"/>
      <c r="C22" s="479"/>
      <c r="D22" s="479"/>
      <c r="E22" s="479"/>
      <c r="F22" s="479"/>
      <c r="G22" s="479"/>
      <c r="H22" s="479"/>
      <c r="I22" s="479"/>
      <c r="J22" s="479"/>
      <c r="K22" s="479"/>
      <c r="L22" s="361"/>
    </row>
    <row r="23" spans="1:13">
      <c r="A23" s="243">
        <f t="shared" si="0"/>
        <v>13</v>
      </c>
      <c r="B23" s="359" t="s">
        <v>540</v>
      </c>
      <c r="C23" s="360"/>
      <c r="D23" s="360"/>
      <c r="E23" s="360"/>
      <c r="F23" s="360"/>
      <c r="G23" s="360"/>
      <c r="H23" s="360"/>
      <c r="I23" s="360"/>
      <c r="J23" s="360"/>
      <c r="K23" s="484"/>
      <c r="L23" s="300">
        <v>3601761.87</v>
      </c>
      <c r="M23" s="397"/>
    </row>
    <row r="24" spans="1:13">
      <c r="A24" s="243">
        <f t="shared" si="0"/>
        <v>14</v>
      </c>
      <c r="B24" s="478"/>
      <c r="C24" s="246"/>
      <c r="D24" s="246"/>
      <c r="E24" s="246"/>
      <c r="F24" s="246"/>
      <c r="G24" s="246"/>
      <c r="H24" s="246"/>
      <c r="I24" s="246"/>
      <c r="J24" s="246"/>
      <c r="K24" s="246"/>
      <c r="L24" s="292"/>
    </row>
    <row r="25" spans="1:13">
      <c r="A25" s="243">
        <f t="shared" si="0"/>
        <v>15</v>
      </c>
      <c r="B25" s="838" t="s">
        <v>465</v>
      </c>
      <c r="C25" s="839"/>
      <c r="D25" s="839"/>
      <c r="E25" s="839"/>
      <c r="F25" s="839"/>
      <c r="G25" s="839"/>
      <c r="H25" s="839"/>
      <c r="I25" s="839"/>
      <c r="J25" s="839"/>
      <c r="K25" s="479"/>
      <c r="L25" s="300">
        <f>+L18</f>
        <v>439031</v>
      </c>
    </row>
    <row r="26" spans="1:13">
      <c r="A26" s="243">
        <f t="shared" si="0"/>
        <v>16</v>
      </c>
      <c r="B26" s="478"/>
      <c r="C26" s="246"/>
      <c r="D26" s="246"/>
      <c r="E26" s="246"/>
      <c r="F26" s="246"/>
      <c r="G26" s="246"/>
      <c r="H26" s="246"/>
      <c r="I26" s="246"/>
      <c r="J26" s="246"/>
      <c r="K26" s="246"/>
      <c r="L26" s="292"/>
    </row>
    <row r="27" spans="1:13" ht="13.5" thickBot="1">
      <c r="A27" s="243">
        <f t="shared" si="0"/>
        <v>17</v>
      </c>
      <c r="B27" s="838" t="s">
        <v>469</v>
      </c>
      <c r="C27" s="839"/>
      <c r="D27" s="839"/>
      <c r="E27" s="839"/>
      <c r="F27" s="839"/>
      <c r="G27" s="839"/>
      <c r="H27" s="839"/>
      <c r="I27" s="839"/>
      <c r="J27" s="839"/>
      <c r="K27" s="479"/>
      <c r="L27" s="294">
        <f>L21-L23-L25</f>
        <v>6584779.2599999988</v>
      </c>
    </row>
    <row r="28" spans="1:13" ht="13.5" thickTop="1">
      <c r="A28" s="244"/>
      <c r="B28" s="235"/>
      <c r="C28" s="248"/>
      <c r="D28" s="248"/>
      <c r="E28" s="248"/>
      <c r="F28" s="248"/>
      <c r="G28" s="248"/>
      <c r="H28" s="248"/>
      <c r="I28" s="248"/>
      <c r="J28" s="248"/>
      <c r="K28" s="248"/>
      <c r="L28" s="280"/>
    </row>
    <row r="30" spans="1:13" ht="24.75" customHeight="1">
      <c r="B30" s="840"/>
      <c r="C30" s="840"/>
      <c r="D30" s="840"/>
      <c r="E30" s="840"/>
      <c r="F30" s="840"/>
      <c r="G30" s="840"/>
      <c r="H30" s="840"/>
      <c r="I30" s="840"/>
      <c r="J30" s="840"/>
      <c r="K30" s="840"/>
      <c r="L30" s="840"/>
    </row>
    <row r="31" spans="1:13" ht="26.25" customHeight="1">
      <c r="B31" s="840"/>
      <c r="C31" s="840"/>
      <c r="D31" s="840"/>
      <c r="E31" s="840"/>
      <c r="F31" s="840"/>
      <c r="G31" s="840"/>
      <c r="H31" s="840"/>
      <c r="I31" s="840"/>
      <c r="J31" s="840"/>
      <c r="K31" s="840"/>
      <c r="L31" s="840"/>
    </row>
    <row r="33" spans="1:1">
      <c r="A33" s="470"/>
    </row>
  </sheetData>
  <mergeCells count="15">
    <mergeCell ref="B31:L31"/>
    <mergeCell ref="B30:L30"/>
    <mergeCell ref="B21:J21"/>
    <mergeCell ref="B27:J27"/>
    <mergeCell ref="B11:J11"/>
    <mergeCell ref="B16:J16"/>
    <mergeCell ref="B17:J17"/>
    <mergeCell ref="B18:J18"/>
    <mergeCell ref="B19:J19"/>
    <mergeCell ref="B20:J20"/>
    <mergeCell ref="A3:L3"/>
    <mergeCell ref="A4:L4"/>
    <mergeCell ref="A5:L5"/>
    <mergeCell ref="B7:J7"/>
    <mergeCell ref="B25:J25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20 of 20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0"/>
  <sheetViews>
    <sheetView showGridLines="0" workbookViewId="0">
      <selection activeCell="M31" sqref="M31"/>
    </sheetView>
  </sheetViews>
  <sheetFormatPr defaultRowHeight="12.75"/>
  <cols>
    <col min="1" max="16384" width="8.88671875" style="225"/>
  </cols>
  <sheetData>
    <row r="2" spans="1:12">
      <c r="A2" s="798" t="s">
        <v>0</v>
      </c>
      <c r="B2" s="798"/>
      <c r="C2" s="798"/>
      <c r="D2" s="798"/>
      <c r="E2" s="798"/>
      <c r="F2" s="798"/>
      <c r="G2" s="798"/>
      <c r="H2" s="798"/>
      <c r="I2" s="798"/>
      <c r="J2" s="798"/>
      <c r="K2" s="394"/>
      <c r="L2" s="394"/>
    </row>
    <row r="3" spans="1:12">
      <c r="A3" s="798" t="s">
        <v>458</v>
      </c>
      <c r="B3" s="798"/>
      <c r="C3" s="798"/>
      <c r="D3" s="798"/>
      <c r="E3" s="798"/>
      <c r="F3" s="798"/>
      <c r="G3" s="798"/>
      <c r="H3" s="798"/>
      <c r="I3" s="798"/>
      <c r="J3" s="798"/>
      <c r="K3" s="394"/>
      <c r="L3" s="394"/>
    </row>
    <row r="4" spans="1:12">
      <c r="A4" s="800" t="s">
        <v>560</v>
      </c>
      <c r="B4" s="800"/>
      <c r="C4" s="800"/>
      <c r="D4" s="800"/>
      <c r="E4" s="800"/>
      <c r="F4" s="800"/>
      <c r="G4" s="800"/>
      <c r="H4" s="800"/>
      <c r="I4" s="800"/>
      <c r="J4" s="800"/>
      <c r="K4" s="395"/>
      <c r="L4" s="395"/>
    </row>
    <row r="6" spans="1:12">
      <c r="A6" s="755" t="s">
        <v>455</v>
      </c>
      <c r="B6" s="755" t="s">
        <v>379</v>
      </c>
      <c r="C6" s="756" t="s">
        <v>380</v>
      </c>
      <c r="D6" s="756" t="s">
        <v>445</v>
      </c>
      <c r="E6" s="756" t="s">
        <v>381</v>
      </c>
      <c r="F6" s="756" t="s">
        <v>382</v>
      </c>
      <c r="G6" s="757" t="s">
        <v>447</v>
      </c>
      <c r="H6" s="758" t="s">
        <v>496</v>
      </c>
      <c r="I6" s="758" t="s">
        <v>497</v>
      </c>
      <c r="J6" s="759" t="s">
        <v>555</v>
      </c>
    </row>
    <row r="7" spans="1:12">
      <c r="A7" s="760">
        <v>100</v>
      </c>
      <c r="B7" s="760">
        <v>10</v>
      </c>
      <c r="C7" s="761">
        <v>1020</v>
      </c>
      <c r="D7" s="761">
        <v>4110</v>
      </c>
      <c r="E7" s="761">
        <v>4540</v>
      </c>
      <c r="F7" s="761">
        <v>0</v>
      </c>
      <c r="G7" s="762">
        <v>0</v>
      </c>
      <c r="H7" s="763">
        <v>40000</v>
      </c>
      <c r="I7" s="763">
        <v>45400</v>
      </c>
      <c r="J7" s="764">
        <v>-2250</v>
      </c>
    </row>
    <row r="8" spans="1:12">
      <c r="A8" s="760">
        <v>100</v>
      </c>
      <c r="B8" s="760">
        <v>10</v>
      </c>
      <c r="C8" s="761">
        <v>1100</v>
      </c>
      <c r="D8" s="761">
        <v>4110</v>
      </c>
      <c r="E8" s="761">
        <v>4540</v>
      </c>
      <c r="F8" s="761">
        <v>0</v>
      </c>
      <c r="G8" s="762">
        <v>0</v>
      </c>
      <c r="H8" s="763">
        <v>40000</v>
      </c>
      <c r="I8" s="763">
        <v>45400</v>
      </c>
      <c r="J8" s="764">
        <v>-13641.25</v>
      </c>
    </row>
    <row r="9" spans="1:12">
      <c r="A9" s="760">
        <v>100</v>
      </c>
      <c r="B9" s="760">
        <v>10</v>
      </c>
      <c r="C9" s="761">
        <v>1190</v>
      </c>
      <c r="D9" s="761">
        <v>4110</v>
      </c>
      <c r="E9" s="761">
        <v>4540</v>
      </c>
      <c r="F9" s="761">
        <v>0</v>
      </c>
      <c r="G9" s="762">
        <v>0</v>
      </c>
      <c r="H9" s="763">
        <v>40000</v>
      </c>
      <c r="I9" s="763">
        <v>45400</v>
      </c>
      <c r="J9" s="764">
        <v>6288.61</v>
      </c>
    </row>
    <row r="10" spans="1:12">
      <c r="A10" s="760">
        <v>100</v>
      </c>
      <c r="B10" s="760">
        <v>10</v>
      </c>
      <c r="C10" s="761">
        <v>1200</v>
      </c>
      <c r="D10" s="761">
        <v>4110</v>
      </c>
      <c r="E10" s="761">
        <v>4540</v>
      </c>
      <c r="F10" s="761">
        <v>0</v>
      </c>
      <c r="G10" s="762">
        <v>0</v>
      </c>
      <c r="H10" s="763">
        <v>40000</v>
      </c>
      <c r="I10" s="763">
        <v>45400</v>
      </c>
      <c r="J10" s="764">
        <v>-3682.53</v>
      </c>
    </row>
    <row r="11" spans="1:12">
      <c r="A11" s="760">
        <v>100</v>
      </c>
      <c r="B11" s="760">
        <v>10</v>
      </c>
      <c r="C11" s="761">
        <v>1200</v>
      </c>
      <c r="D11" s="761">
        <v>4110</v>
      </c>
      <c r="E11" s="761">
        <v>4540</v>
      </c>
      <c r="F11" s="761">
        <v>0</v>
      </c>
      <c r="G11" s="762">
        <v>101200</v>
      </c>
      <c r="H11" s="763">
        <v>40000</v>
      </c>
      <c r="I11" s="763">
        <v>45400</v>
      </c>
      <c r="J11" s="764">
        <v>-34123.599999999999</v>
      </c>
    </row>
    <row r="12" spans="1:12">
      <c r="A12" s="760">
        <v>100</v>
      </c>
      <c r="B12" s="760">
        <v>10</v>
      </c>
      <c r="C12" s="761">
        <v>1290</v>
      </c>
      <c r="D12" s="761">
        <v>4110</v>
      </c>
      <c r="E12" s="761">
        <v>4540</v>
      </c>
      <c r="F12" s="761">
        <v>0</v>
      </c>
      <c r="G12" s="762">
        <v>0</v>
      </c>
      <c r="H12" s="763">
        <v>40000</v>
      </c>
      <c r="I12" s="763">
        <v>45400</v>
      </c>
      <c r="J12" s="764">
        <v>24573.98</v>
      </c>
    </row>
    <row r="13" spans="1:12">
      <c r="A13" s="760">
        <v>100</v>
      </c>
      <c r="B13" s="765">
        <v>20</v>
      </c>
      <c r="C13" s="761">
        <v>0</v>
      </c>
      <c r="D13" s="761">
        <v>4110</v>
      </c>
      <c r="E13" s="761">
        <v>4540</v>
      </c>
      <c r="F13" s="761">
        <v>0</v>
      </c>
      <c r="G13" s="762">
        <v>0</v>
      </c>
      <c r="H13" s="763">
        <v>40000</v>
      </c>
      <c r="I13" s="763">
        <v>45400</v>
      </c>
      <c r="J13" s="766">
        <v>-138304.07999999999</v>
      </c>
    </row>
    <row r="14" spans="1:12">
      <c r="A14" s="760">
        <v>100</v>
      </c>
      <c r="B14" s="760">
        <v>30</v>
      </c>
      <c r="C14" s="761">
        <v>0</v>
      </c>
      <c r="D14" s="761">
        <v>4110</v>
      </c>
      <c r="E14" s="761">
        <v>4540</v>
      </c>
      <c r="F14" s="761">
        <v>0</v>
      </c>
      <c r="G14" s="762">
        <v>0</v>
      </c>
      <c r="H14" s="763">
        <v>40000</v>
      </c>
      <c r="I14" s="763">
        <v>45400</v>
      </c>
      <c r="J14" s="764">
        <v>-46811.199999999997</v>
      </c>
    </row>
    <row r="15" spans="1:12">
      <c r="A15" s="760">
        <v>100</v>
      </c>
      <c r="B15" s="760">
        <v>30</v>
      </c>
      <c r="C15" s="761">
        <v>10</v>
      </c>
      <c r="D15" s="761">
        <v>4110</v>
      </c>
      <c r="E15" s="761">
        <v>4540</v>
      </c>
      <c r="F15" s="761">
        <v>0</v>
      </c>
      <c r="G15" s="762">
        <v>0</v>
      </c>
      <c r="H15" s="763">
        <v>40000</v>
      </c>
      <c r="I15" s="763">
        <v>45400</v>
      </c>
      <c r="J15" s="764">
        <v>-2400</v>
      </c>
    </row>
    <row r="16" spans="1:12">
      <c r="A16" s="760">
        <v>100</v>
      </c>
      <c r="B16" s="760">
        <v>30</v>
      </c>
      <c r="C16" s="761">
        <v>20</v>
      </c>
      <c r="D16" s="761">
        <v>4110</v>
      </c>
      <c r="E16" s="761">
        <v>4540</v>
      </c>
      <c r="F16" s="761">
        <v>0</v>
      </c>
      <c r="G16" s="762">
        <v>0</v>
      </c>
      <c r="H16" s="763">
        <v>40000</v>
      </c>
      <c r="I16" s="763">
        <v>45400</v>
      </c>
      <c r="J16" s="764">
        <v>-7594.56</v>
      </c>
    </row>
    <row r="17" spans="1:10">
      <c r="A17" s="760">
        <v>100</v>
      </c>
      <c r="B17" s="760">
        <v>30</v>
      </c>
      <c r="C17" s="761">
        <v>60</v>
      </c>
      <c r="D17" s="761">
        <v>4110</v>
      </c>
      <c r="E17" s="761">
        <v>4540</v>
      </c>
      <c r="F17" s="761">
        <v>0</v>
      </c>
      <c r="G17" s="762">
        <v>0</v>
      </c>
      <c r="H17" s="763">
        <v>40000</v>
      </c>
      <c r="I17" s="763">
        <v>45400</v>
      </c>
      <c r="J17" s="764">
        <v>-4808.16</v>
      </c>
    </row>
    <row r="18" spans="1:10">
      <c r="A18" s="760">
        <v>100</v>
      </c>
      <c r="B18" s="760">
        <v>30</v>
      </c>
      <c r="C18" s="761">
        <v>80</v>
      </c>
      <c r="D18" s="761">
        <v>4110</v>
      </c>
      <c r="E18" s="761">
        <v>4540</v>
      </c>
      <c r="F18" s="761">
        <v>0</v>
      </c>
      <c r="G18" s="762">
        <v>0</v>
      </c>
      <c r="H18" s="763">
        <v>40000</v>
      </c>
      <c r="I18" s="763">
        <v>45400</v>
      </c>
      <c r="J18" s="764">
        <v>-270</v>
      </c>
    </row>
    <row r="19" spans="1:10">
      <c r="A19" s="760">
        <v>100</v>
      </c>
      <c r="B19" s="760">
        <v>30</v>
      </c>
      <c r="C19" s="761">
        <v>80</v>
      </c>
      <c r="D19" s="761">
        <v>4110</v>
      </c>
      <c r="E19" s="761">
        <v>4540</v>
      </c>
      <c r="F19" s="761">
        <v>0</v>
      </c>
      <c r="G19" s="762">
        <v>100531</v>
      </c>
      <c r="H19" s="763">
        <v>40000</v>
      </c>
      <c r="I19" s="763">
        <v>45400</v>
      </c>
      <c r="J19" s="764">
        <v>-15900</v>
      </c>
    </row>
    <row r="20" spans="1:10">
      <c r="A20" s="760">
        <v>100</v>
      </c>
      <c r="B20" s="760">
        <v>30</v>
      </c>
      <c r="C20" s="761">
        <v>140</v>
      </c>
      <c r="D20" s="761">
        <v>4110</v>
      </c>
      <c r="E20" s="761">
        <v>4540</v>
      </c>
      <c r="F20" s="761">
        <v>0</v>
      </c>
      <c r="G20" s="762">
        <v>0</v>
      </c>
      <c r="H20" s="763">
        <v>40000</v>
      </c>
      <c r="I20" s="763">
        <v>45400</v>
      </c>
      <c r="J20" s="764">
        <v>-122.4</v>
      </c>
    </row>
    <row r="21" spans="1:10">
      <c r="A21" s="760">
        <v>100</v>
      </c>
      <c r="B21" s="760">
        <v>30</v>
      </c>
      <c r="C21" s="761">
        <v>340</v>
      </c>
      <c r="D21" s="761">
        <v>4110</v>
      </c>
      <c r="E21" s="761">
        <v>4540</v>
      </c>
      <c r="F21" s="761">
        <v>0</v>
      </c>
      <c r="G21" s="762">
        <v>0</v>
      </c>
      <c r="H21" s="763">
        <v>40000</v>
      </c>
      <c r="I21" s="763">
        <v>45400</v>
      </c>
      <c r="J21" s="764">
        <v>-124121.72</v>
      </c>
    </row>
    <row r="22" spans="1:10">
      <c r="A22" s="760">
        <v>100</v>
      </c>
      <c r="B22" s="760">
        <v>30</v>
      </c>
      <c r="C22" s="761">
        <v>870</v>
      </c>
      <c r="D22" s="761">
        <v>4110</v>
      </c>
      <c r="E22" s="761">
        <v>4540</v>
      </c>
      <c r="F22" s="761">
        <v>0</v>
      </c>
      <c r="G22" s="762">
        <v>0</v>
      </c>
      <c r="H22" s="763">
        <v>40000</v>
      </c>
      <c r="I22" s="763">
        <v>45400</v>
      </c>
      <c r="J22" s="767">
        <v>-319244.42</v>
      </c>
    </row>
    <row r="23" spans="1:10">
      <c r="A23" s="768"/>
      <c r="B23" s="768"/>
      <c r="C23" s="768"/>
      <c r="D23" s="768"/>
      <c r="E23" s="768"/>
      <c r="F23" s="768"/>
      <c r="G23" s="768"/>
      <c r="H23" s="768"/>
      <c r="I23" s="768"/>
      <c r="J23" s="769"/>
    </row>
    <row r="24" spans="1:10" ht="13.5" thickBot="1">
      <c r="A24" s="768"/>
      <c r="B24" s="768"/>
      <c r="C24" s="768"/>
      <c r="D24" s="768"/>
      <c r="E24" s="768"/>
      <c r="F24" s="768"/>
      <c r="G24" s="768" t="s">
        <v>547</v>
      </c>
      <c r="H24" s="768"/>
      <c r="I24" s="768"/>
      <c r="J24" s="770">
        <f>SUM(J7:J22)</f>
        <v>-682411.33000000007</v>
      </c>
    </row>
    <row r="25" spans="1:10" ht="13.5" thickTop="1"/>
    <row r="26" spans="1:10">
      <c r="B26" s="225" t="s">
        <v>548</v>
      </c>
    </row>
    <row r="28" spans="1:10">
      <c r="B28" s="225" t="s">
        <v>549</v>
      </c>
    </row>
    <row r="29" spans="1:10">
      <c r="B29" s="225" t="s">
        <v>550</v>
      </c>
    </row>
    <row r="30" spans="1:10">
      <c r="B30" s="225" t="s">
        <v>551</v>
      </c>
    </row>
  </sheetData>
  <mergeCells count="3">
    <mergeCell ref="A2:J2"/>
    <mergeCell ref="A3:J3"/>
    <mergeCell ref="A4:J4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3:O149"/>
  <sheetViews>
    <sheetView showGridLines="0" zoomScaleNormal="100" workbookViewId="0">
      <selection activeCell="E30" sqref="E30"/>
    </sheetView>
  </sheetViews>
  <sheetFormatPr defaultRowHeight="12.75"/>
  <cols>
    <col min="1" max="1" width="3.44140625" style="1" bestFit="1" customWidth="1"/>
    <col min="2" max="2" width="18.6640625" style="1" bestFit="1" customWidth="1"/>
    <col min="3" max="7" width="11.77734375" style="1" customWidth="1"/>
    <col min="8" max="12" width="12" style="1" bestFit="1" customWidth="1"/>
    <col min="13" max="13" width="10.21875" style="1" bestFit="1" customWidth="1"/>
    <col min="14" max="15" width="10" style="1" bestFit="1" customWidth="1"/>
    <col min="16" max="16384" width="8.88671875" style="1"/>
  </cols>
  <sheetData>
    <row r="3" spans="1:7">
      <c r="A3" s="773" t="s">
        <v>0</v>
      </c>
      <c r="B3" s="773"/>
      <c r="C3" s="773"/>
      <c r="D3" s="773"/>
      <c r="E3" s="773"/>
      <c r="F3" s="773"/>
      <c r="G3" s="773"/>
    </row>
    <row r="4" spans="1:7">
      <c r="A4" s="773" t="s">
        <v>1</v>
      </c>
      <c r="B4" s="773"/>
      <c r="C4" s="773"/>
      <c r="D4" s="773"/>
      <c r="E4" s="773"/>
      <c r="F4" s="773"/>
      <c r="G4" s="773"/>
    </row>
    <row r="5" spans="1:7">
      <c r="A5" s="773" t="s">
        <v>597</v>
      </c>
      <c r="B5" s="773"/>
      <c r="C5" s="773"/>
      <c r="D5" s="773"/>
      <c r="E5" s="773"/>
      <c r="F5" s="773"/>
      <c r="G5" s="773"/>
    </row>
    <row r="6" spans="1:7">
      <c r="A6" s="2"/>
    </row>
    <row r="7" spans="1:7" s="3" customFormat="1">
      <c r="A7" s="465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8</v>
      </c>
    </row>
    <row r="9" spans="1:7">
      <c r="A9" s="4" t="s">
        <v>9</v>
      </c>
      <c r="B9" s="5"/>
      <c r="C9" s="6"/>
      <c r="D9" s="7"/>
      <c r="E9" s="8"/>
      <c r="F9" s="6" t="s">
        <v>537</v>
      </c>
      <c r="G9" s="9"/>
    </row>
    <row r="10" spans="1:7">
      <c r="A10" s="10" t="s">
        <v>10</v>
      </c>
      <c r="B10" s="11" t="s">
        <v>41</v>
      </c>
      <c r="C10" s="12" t="s">
        <v>11</v>
      </c>
      <c r="D10" s="12" t="s">
        <v>12</v>
      </c>
      <c r="E10" s="12" t="s">
        <v>13</v>
      </c>
      <c r="F10" s="12" t="s">
        <v>14</v>
      </c>
      <c r="G10" s="13" t="s">
        <v>15</v>
      </c>
    </row>
    <row r="11" spans="1:7">
      <c r="A11" s="4">
        <v>1</v>
      </c>
      <c r="B11" s="14" t="s">
        <v>552</v>
      </c>
      <c r="C11" s="15">
        <v>242850029</v>
      </c>
      <c r="D11" s="486">
        <v>86473564</v>
      </c>
      <c r="E11" s="15">
        <v>158148532</v>
      </c>
      <c r="F11" s="15">
        <v>32454150</v>
      </c>
      <c r="G11" s="16">
        <f t="shared" ref="G11:G23" si="0">+SUM(C11:F11)</f>
        <v>519926275</v>
      </c>
    </row>
    <row r="12" spans="1:7">
      <c r="A12" s="17">
        <f t="shared" ref="A12:A25" si="1">+A11+1</f>
        <v>2</v>
      </c>
      <c r="B12" s="18" t="s">
        <v>553</v>
      </c>
      <c r="C12" s="15">
        <v>244584025</v>
      </c>
      <c r="D12" s="486">
        <v>86822622</v>
      </c>
      <c r="E12" s="15">
        <v>158597647</v>
      </c>
      <c r="F12" s="15">
        <v>32577891</v>
      </c>
      <c r="G12" s="16">
        <f t="shared" si="0"/>
        <v>522582185</v>
      </c>
    </row>
    <row r="13" spans="1:7">
      <c r="A13" s="17">
        <f t="shared" si="1"/>
        <v>3</v>
      </c>
      <c r="B13" s="19" t="s">
        <v>16</v>
      </c>
      <c r="C13" s="15">
        <v>246285150</v>
      </c>
      <c r="D13" s="486">
        <v>87142477</v>
      </c>
      <c r="E13" s="15">
        <v>159127619</v>
      </c>
      <c r="F13" s="15">
        <v>32817601</v>
      </c>
      <c r="G13" s="16">
        <f t="shared" si="0"/>
        <v>525372847</v>
      </c>
    </row>
    <row r="14" spans="1:7">
      <c r="A14" s="17">
        <f t="shared" si="1"/>
        <v>4</v>
      </c>
      <c r="B14" s="19" t="s">
        <v>17</v>
      </c>
      <c r="C14" s="15">
        <v>247989283</v>
      </c>
      <c r="D14" s="486">
        <v>87418850</v>
      </c>
      <c r="E14" s="15">
        <v>159891907</v>
      </c>
      <c r="F14" s="15">
        <v>32932592</v>
      </c>
      <c r="G14" s="16">
        <f t="shared" si="0"/>
        <v>528232632</v>
      </c>
    </row>
    <row r="15" spans="1:7">
      <c r="A15" s="17">
        <f t="shared" si="1"/>
        <v>5</v>
      </c>
      <c r="B15" s="19" t="s">
        <v>18</v>
      </c>
      <c r="C15" s="15">
        <v>249533976</v>
      </c>
      <c r="D15" s="486">
        <v>87949429</v>
      </c>
      <c r="E15" s="15">
        <v>159960523</v>
      </c>
      <c r="F15" s="15">
        <v>32819545</v>
      </c>
      <c r="G15" s="16">
        <f t="shared" si="0"/>
        <v>530263473</v>
      </c>
    </row>
    <row r="16" spans="1:7">
      <c r="A16" s="17">
        <f t="shared" si="1"/>
        <v>6</v>
      </c>
      <c r="B16" s="19" t="s">
        <v>19</v>
      </c>
      <c r="C16" s="15">
        <v>251241973</v>
      </c>
      <c r="D16" s="486">
        <v>88271941</v>
      </c>
      <c r="E16" s="15">
        <v>160700530</v>
      </c>
      <c r="F16" s="15">
        <v>32966052</v>
      </c>
      <c r="G16" s="16">
        <f t="shared" si="0"/>
        <v>533180496</v>
      </c>
    </row>
    <row r="17" spans="1:15">
      <c r="A17" s="17">
        <f t="shared" si="1"/>
        <v>7</v>
      </c>
      <c r="B17" s="19" t="s">
        <v>20</v>
      </c>
      <c r="C17" s="15">
        <v>252903738</v>
      </c>
      <c r="D17" s="486">
        <v>88572556</v>
      </c>
      <c r="E17" s="15">
        <v>161315150</v>
      </c>
      <c r="F17" s="15">
        <v>33207216</v>
      </c>
      <c r="G17" s="16">
        <f t="shared" si="0"/>
        <v>535998660</v>
      </c>
    </row>
    <row r="18" spans="1:15">
      <c r="A18" s="17">
        <f t="shared" si="1"/>
        <v>8</v>
      </c>
      <c r="B18" s="19" t="s">
        <v>21</v>
      </c>
      <c r="C18" s="15">
        <v>254438844</v>
      </c>
      <c r="D18" s="486">
        <v>89120479</v>
      </c>
      <c r="E18" s="15">
        <v>161781301</v>
      </c>
      <c r="F18" s="15">
        <v>33079294</v>
      </c>
      <c r="G18" s="16">
        <f t="shared" si="0"/>
        <v>538419918</v>
      </c>
    </row>
    <row r="19" spans="1:15">
      <c r="A19" s="17">
        <f t="shared" si="1"/>
        <v>9</v>
      </c>
      <c r="B19" s="19" t="s">
        <v>22</v>
      </c>
      <c r="C19" s="15">
        <v>256159297</v>
      </c>
      <c r="D19" s="486">
        <v>89350961</v>
      </c>
      <c r="E19" s="15">
        <v>162489877</v>
      </c>
      <c r="F19" s="15">
        <v>33312296</v>
      </c>
      <c r="G19" s="16">
        <f t="shared" si="0"/>
        <v>541312431</v>
      </c>
    </row>
    <row r="20" spans="1:15">
      <c r="A20" s="17">
        <f t="shared" si="1"/>
        <v>10</v>
      </c>
      <c r="B20" s="19" t="s">
        <v>23</v>
      </c>
      <c r="C20" s="15">
        <v>257783206</v>
      </c>
      <c r="D20" s="486">
        <v>89664491</v>
      </c>
      <c r="E20" s="15">
        <v>163370804</v>
      </c>
      <c r="F20" s="15">
        <v>32728994</v>
      </c>
      <c r="G20" s="16">
        <f t="shared" si="0"/>
        <v>543547495</v>
      </c>
    </row>
    <row r="21" spans="1:15">
      <c r="A21" s="17">
        <f t="shared" si="1"/>
        <v>11</v>
      </c>
      <c r="B21" s="19" t="s">
        <v>24</v>
      </c>
      <c r="C21" s="15">
        <v>259412906</v>
      </c>
      <c r="D21" s="486">
        <v>89991831</v>
      </c>
      <c r="E21" s="15">
        <v>163583792</v>
      </c>
      <c r="F21" s="15">
        <v>33089498</v>
      </c>
      <c r="G21" s="16">
        <f t="shared" si="0"/>
        <v>546078027</v>
      </c>
    </row>
    <row r="22" spans="1:15">
      <c r="A22" s="17">
        <f t="shared" si="1"/>
        <v>12</v>
      </c>
      <c r="B22" s="19" t="s">
        <v>25</v>
      </c>
      <c r="C22" s="15">
        <v>276577336</v>
      </c>
      <c r="D22" s="486">
        <v>90331191</v>
      </c>
      <c r="E22" s="15">
        <v>164277786</v>
      </c>
      <c r="F22" s="15">
        <v>33115220</v>
      </c>
      <c r="G22" s="16">
        <f t="shared" si="0"/>
        <v>564301533</v>
      </c>
    </row>
    <row r="23" spans="1:15">
      <c r="A23" s="17">
        <f t="shared" si="1"/>
        <v>13</v>
      </c>
      <c r="B23" s="19" t="s">
        <v>26</v>
      </c>
      <c r="C23" s="15">
        <v>273672915</v>
      </c>
      <c r="D23" s="486">
        <v>90760514</v>
      </c>
      <c r="E23" s="15">
        <v>164371994</v>
      </c>
      <c r="F23" s="15">
        <v>32228435</v>
      </c>
      <c r="G23" s="16">
        <f t="shared" si="0"/>
        <v>561033858</v>
      </c>
    </row>
    <row r="24" spans="1:15">
      <c r="A24" s="17">
        <f t="shared" si="1"/>
        <v>14</v>
      </c>
      <c r="B24" s="19"/>
      <c r="C24" s="15"/>
      <c r="D24" s="15"/>
      <c r="E24" s="15"/>
      <c r="F24" s="15"/>
      <c r="G24" s="16"/>
    </row>
    <row r="25" spans="1:15">
      <c r="A25" s="17">
        <f t="shared" si="1"/>
        <v>15</v>
      </c>
      <c r="B25" s="106" t="s">
        <v>27</v>
      </c>
      <c r="C25" s="102">
        <f>AVERAGE(C11:C23)</f>
        <v>254879436.76923078</v>
      </c>
      <c r="D25" s="102">
        <f>AVERAGE(D11:D23)</f>
        <v>88605454.307692304</v>
      </c>
      <c r="E25" s="102">
        <f>AVERAGE(E11:E23)</f>
        <v>161355189.38461539</v>
      </c>
      <c r="F25" s="102">
        <f>AVERAGE(F11:F23)</f>
        <v>32871444.923076924</v>
      </c>
      <c r="G25" s="101">
        <f>AVERAGE(G11:G23)</f>
        <v>537711525.38461542</v>
      </c>
    </row>
    <row r="26" spans="1:15">
      <c r="A26" s="17"/>
      <c r="B26" s="22"/>
      <c r="C26" s="23"/>
      <c r="D26" s="23"/>
      <c r="E26" s="23"/>
      <c r="F26" s="23"/>
      <c r="G26" s="24"/>
    </row>
    <row r="27" spans="1:15">
      <c r="A27" s="25"/>
    </row>
    <row r="28" spans="1:15">
      <c r="A28" s="26"/>
    </row>
    <row r="29" spans="1:15">
      <c r="A29" s="26"/>
    </row>
    <row r="30" spans="1:15" s="15" customFormat="1">
      <c r="A30" s="27"/>
    </row>
    <row r="31" spans="1:15" s="15" customFormat="1">
      <c r="A31" s="27"/>
    </row>
    <row r="32" spans="1:15">
      <c r="A32" s="26"/>
      <c r="C32" s="487"/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>
      <c r="A63" s="26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  <row r="103" spans="1:1">
      <c r="A103" s="26"/>
    </row>
    <row r="104" spans="1:1">
      <c r="A104" s="26"/>
    </row>
    <row r="105" spans="1:1">
      <c r="A105" s="26"/>
    </row>
    <row r="106" spans="1:1">
      <c r="A106" s="26"/>
    </row>
    <row r="107" spans="1:1">
      <c r="A107" s="26"/>
    </row>
    <row r="108" spans="1:1">
      <c r="A108" s="26"/>
    </row>
    <row r="109" spans="1:1">
      <c r="A109" s="26"/>
    </row>
    <row r="110" spans="1:1">
      <c r="A110" s="26"/>
    </row>
    <row r="111" spans="1:1">
      <c r="A111" s="26"/>
    </row>
    <row r="112" spans="1:1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6"/>
    </row>
    <row r="127" spans="1:1">
      <c r="A127" s="26"/>
    </row>
    <row r="128" spans="1:1">
      <c r="A128" s="26"/>
    </row>
    <row r="129" spans="1:1">
      <c r="A129" s="26"/>
    </row>
    <row r="130" spans="1:1">
      <c r="A130" s="26"/>
    </row>
    <row r="131" spans="1:1">
      <c r="A131" s="26"/>
    </row>
    <row r="132" spans="1:1">
      <c r="A132" s="26"/>
    </row>
    <row r="133" spans="1:1">
      <c r="A133" s="26"/>
    </row>
    <row r="134" spans="1:1">
      <c r="A134" s="26"/>
    </row>
    <row r="135" spans="1:1">
      <c r="A135" s="26"/>
    </row>
    <row r="136" spans="1:1">
      <c r="A136" s="26"/>
    </row>
    <row r="137" spans="1:1">
      <c r="A137" s="26"/>
    </row>
    <row r="138" spans="1:1">
      <c r="A138" s="26"/>
    </row>
    <row r="139" spans="1:1">
      <c r="A139" s="26"/>
    </row>
    <row r="140" spans="1:1">
      <c r="A140" s="26"/>
    </row>
    <row r="141" spans="1:1">
      <c r="A141" s="26"/>
    </row>
    <row r="142" spans="1:1">
      <c r="A142" s="26"/>
    </row>
    <row r="143" spans="1:1">
      <c r="A143" s="26"/>
    </row>
    <row r="144" spans="1:1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</sheetData>
  <mergeCells count="3">
    <mergeCell ref="A3:G3"/>
    <mergeCell ref="A4:G4"/>
    <mergeCell ref="A5:G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2 of 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workbookViewId="0">
      <selection activeCell="K29" sqref="K29"/>
    </sheetView>
  </sheetViews>
  <sheetFormatPr defaultColWidth="9.77734375" defaultRowHeight="12.75"/>
  <cols>
    <col min="1" max="1" width="3.44140625" style="846" bestFit="1" customWidth="1"/>
    <col min="2" max="2" width="2.44140625" style="846" bestFit="1" customWidth="1"/>
    <col min="3" max="3" width="17" style="861" customWidth="1"/>
    <col min="4" max="5" width="12.77734375" style="846" customWidth="1"/>
    <col min="6" max="6" width="11.6640625" style="846" customWidth="1"/>
    <col min="7" max="10" width="12.77734375" style="846" customWidth="1"/>
    <col min="11" max="11" width="12.88671875" style="846" bestFit="1" customWidth="1"/>
    <col min="12" max="16384" width="9.77734375" style="846"/>
  </cols>
  <sheetData>
    <row r="1" spans="1:11">
      <c r="B1" s="847"/>
      <c r="C1" s="848"/>
      <c r="D1" s="849"/>
      <c r="E1" s="849"/>
      <c r="F1" s="849"/>
      <c r="G1" s="849"/>
      <c r="H1" s="849"/>
      <c r="I1" s="849"/>
      <c r="K1" s="850"/>
    </row>
    <row r="2" spans="1:11">
      <c r="B2" s="851"/>
      <c r="C2" s="852"/>
      <c r="D2" s="849"/>
      <c r="E2" s="849"/>
      <c r="F2" s="849"/>
      <c r="G2" s="849"/>
      <c r="H2" s="849"/>
      <c r="I2" s="849"/>
      <c r="K2" s="850"/>
    </row>
    <row r="3" spans="1:11">
      <c r="B3" s="851"/>
      <c r="C3" s="852"/>
      <c r="D3" s="849"/>
      <c r="E3" s="849"/>
      <c r="F3" s="849"/>
      <c r="G3" s="849"/>
      <c r="H3" s="849"/>
      <c r="I3" s="849"/>
    </row>
    <row r="4" spans="1:11">
      <c r="B4" s="849"/>
      <c r="C4" s="853"/>
      <c r="D4" s="849"/>
      <c r="E4" s="849"/>
      <c r="F4" s="849"/>
      <c r="G4" s="849"/>
      <c r="H4" s="849"/>
      <c r="I4" s="849"/>
      <c r="K4" s="850"/>
    </row>
    <row r="5" spans="1:11">
      <c r="B5" s="849"/>
      <c r="C5" s="853"/>
      <c r="D5" s="849"/>
      <c r="E5" s="849"/>
      <c r="F5" s="849"/>
      <c r="G5" s="849"/>
      <c r="H5" s="849"/>
      <c r="I5" s="849"/>
      <c r="K5" s="850"/>
    </row>
    <row r="6" spans="1:11">
      <c r="A6" s="854" t="s">
        <v>0</v>
      </c>
      <c r="B6" s="855"/>
      <c r="C6" s="855"/>
      <c r="D6" s="855"/>
      <c r="E6" s="855"/>
      <c r="F6" s="855"/>
      <c r="G6" s="855"/>
      <c r="H6" s="855"/>
      <c r="I6" s="855"/>
      <c r="J6" s="855"/>
    </row>
    <row r="7" spans="1:11">
      <c r="A7" s="854" t="s">
        <v>613</v>
      </c>
      <c r="B7" s="855"/>
      <c r="C7" s="855"/>
      <c r="D7" s="855"/>
      <c r="E7" s="855"/>
      <c r="F7" s="855"/>
      <c r="G7" s="855"/>
      <c r="H7" s="855"/>
      <c r="I7" s="855"/>
      <c r="J7" s="855"/>
    </row>
    <row r="8" spans="1:11">
      <c r="A8" s="854" t="s">
        <v>554</v>
      </c>
      <c r="B8" s="855"/>
      <c r="C8" s="855"/>
      <c r="D8" s="855"/>
      <c r="E8" s="855"/>
      <c r="F8" s="855"/>
      <c r="G8" s="855"/>
      <c r="H8" s="855"/>
      <c r="I8" s="855"/>
      <c r="J8" s="855"/>
    </row>
    <row r="9" spans="1:11">
      <c r="B9" s="856"/>
      <c r="C9" s="857"/>
      <c r="D9" s="858"/>
      <c r="E9" s="859"/>
      <c r="F9" s="859"/>
      <c r="G9" s="860"/>
      <c r="H9" s="858"/>
      <c r="I9" s="858"/>
      <c r="J9" s="858"/>
    </row>
    <row r="10" spans="1:11">
      <c r="A10" s="861"/>
      <c r="B10" s="853"/>
      <c r="C10" s="853"/>
      <c r="D10" s="862" t="s">
        <v>2</v>
      </c>
      <c r="E10" s="863"/>
      <c r="F10" s="862" t="s">
        <v>3</v>
      </c>
      <c r="G10" s="862" t="s">
        <v>4</v>
      </c>
      <c r="H10" s="862" t="s">
        <v>5</v>
      </c>
      <c r="I10" s="862" t="s">
        <v>6</v>
      </c>
      <c r="J10" s="862" t="s">
        <v>8</v>
      </c>
      <c r="K10" s="864"/>
    </row>
    <row r="11" spans="1:11">
      <c r="A11" s="865"/>
      <c r="B11" s="853"/>
      <c r="C11" s="853"/>
      <c r="D11" s="862"/>
      <c r="E11" s="863"/>
      <c r="F11" s="862"/>
      <c r="G11" s="862"/>
      <c r="H11" s="862"/>
      <c r="I11" s="862"/>
      <c r="J11" s="862"/>
      <c r="K11" s="864"/>
    </row>
    <row r="12" spans="1:11" ht="25.5">
      <c r="A12" s="866" t="s">
        <v>37</v>
      </c>
      <c r="B12" s="867"/>
      <c r="C12" s="868"/>
      <c r="D12" s="869"/>
      <c r="E12" s="870"/>
      <c r="F12" s="869"/>
      <c r="G12" s="869"/>
      <c r="H12" s="869"/>
      <c r="I12" s="869"/>
      <c r="J12" s="871"/>
      <c r="K12" s="864"/>
    </row>
    <row r="13" spans="1:11">
      <c r="A13" s="872"/>
      <c r="B13" s="873"/>
      <c r="C13" s="853"/>
      <c r="D13" s="853"/>
      <c r="E13" s="853"/>
      <c r="F13" s="853"/>
      <c r="G13" s="853"/>
      <c r="H13" s="853"/>
      <c r="I13" s="853"/>
      <c r="J13" s="874" t="s">
        <v>614</v>
      </c>
    </row>
    <row r="14" spans="1:11" ht="15">
      <c r="A14" s="875">
        <v>1</v>
      </c>
      <c r="B14" s="873"/>
      <c r="C14" s="853"/>
      <c r="D14" s="876" t="s">
        <v>615</v>
      </c>
      <c r="E14" s="877" t="s">
        <v>616</v>
      </c>
      <c r="F14" s="932" t="s">
        <v>654</v>
      </c>
      <c r="G14" s="878" t="s">
        <v>617</v>
      </c>
      <c r="H14" s="879"/>
      <c r="I14" s="880"/>
      <c r="J14" s="930">
        <v>1.5E-3</v>
      </c>
      <c r="K14" s="864"/>
    </row>
    <row r="15" spans="1:11">
      <c r="A15" s="875">
        <f>A14+1</f>
        <v>2</v>
      </c>
      <c r="B15" s="873"/>
      <c r="C15" s="853"/>
      <c r="D15" s="876" t="s">
        <v>626</v>
      </c>
      <c r="E15" s="933">
        <v>0.35</v>
      </c>
      <c r="F15" s="853"/>
      <c r="G15" s="853"/>
      <c r="H15" s="853"/>
      <c r="I15" s="853"/>
      <c r="J15" s="882"/>
    </row>
    <row r="16" spans="1:11">
      <c r="A16" s="875">
        <f t="shared" ref="A16:A78" si="0">A15+1</f>
        <v>3</v>
      </c>
      <c r="B16" s="873"/>
      <c r="C16" s="853"/>
      <c r="D16" s="876" t="s">
        <v>618</v>
      </c>
      <c r="E16" s="881">
        <v>9.8000000000000004E-2</v>
      </c>
      <c r="F16" s="934">
        <f>H75</f>
        <v>4.4999999999999998E-2</v>
      </c>
      <c r="G16" s="853"/>
      <c r="H16" s="853"/>
      <c r="I16" s="853"/>
      <c r="J16" s="882"/>
    </row>
    <row r="17" spans="1:13">
      <c r="A17" s="875">
        <f t="shared" si="0"/>
        <v>4</v>
      </c>
      <c r="B17" s="873"/>
      <c r="C17" s="853"/>
      <c r="D17" s="876" t="s">
        <v>619</v>
      </c>
      <c r="E17" s="881">
        <v>5.1499999999999997E-2</v>
      </c>
      <c r="F17" s="935">
        <f>I75</f>
        <v>2.1000000000000001E-2</v>
      </c>
      <c r="G17" s="853"/>
      <c r="H17" s="853"/>
      <c r="I17" s="853"/>
      <c r="J17" s="882"/>
    </row>
    <row r="18" spans="1:13">
      <c r="A18" s="875">
        <f t="shared" si="0"/>
        <v>5</v>
      </c>
      <c r="B18" s="873"/>
      <c r="C18" s="853"/>
      <c r="D18" s="853"/>
      <c r="E18" s="853"/>
      <c r="F18" s="931">
        <f>SUM(F16:F17)</f>
        <v>6.6000000000000003E-2</v>
      </c>
      <c r="G18" s="853"/>
      <c r="H18" s="853"/>
      <c r="I18" s="853"/>
      <c r="J18" s="882"/>
    </row>
    <row r="19" spans="1:13">
      <c r="A19" s="875">
        <f t="shared" si="0"/>
        <v>6</v>
      </c>
      <c r="B19" s="873"/>
      <c r="C19" s="853"/>
      <c r="D19" s="861"/>
      <c r="E19" s="861"/>
      <c r="F19" s="861"/>
      <c r="G19" s="861"/>
      <c r="H19" s="861"/>
      <c r="I19" s="861"/>
      <c r="J19" s="883"/>
      <c r="K19" s="32"/>
      <c r="M19" s="32"/>
    </row>
    <row r="20" spans="1:13">
      <c r="A20" s="875">
        <f t="shared" si="0"/>
        <v>7</v>
      </c>
      <c r="B20" s="873"/>
      <c r="C20" s="853"/>
      <c r="D20" s="853"/>
      <c r="E20" s="853"/>
      <c r="F20" s="853"/>
      <c r="G20" s="853"/>
      <c r="H20" s="853"/>
      <c r="I20" s="853"/>
      <c r="J20" s="882"/>
    </row>
    <row r="21" spans="1:13">
      <c r="A21" s="875">
        <f t="shared" si="0"/>
        <v>8</v>
      </c>
      <c r="B21" s="873"/>
      <c r="C21" s="853"/>
      <c r="D21" s="853"/>
      <c r="E21" s="853"/>
      <c r="F21" s="884" t="s">
        <v>15</v>
      </c>
      <c r="G21" s="884" t="s">
        <v>620</v>
      </c>
      <c r="H21" s="884" t="s">
        <v>621</v>
      </c>
      <c r="I21" s="884" t="s">
        <v>622</v>
      </c>
      <c r="J21" s="882"/>
    </row>
    <row r="22" spans="1:13">
      <c r="A22" s="875">
        <f t="shared" si="0"/>
        <v>9</v>
      </c>
      <c r="B22" s="873"/>
      <c r="C22" s="853"/>
      <c r="D22" s="853"/>
      <c r="E22" s="853"/>
      <c r="F22" s="876"/>
      <c r="G22" s="885"/>
      <c r="H22" s="885"/>
      <c r="I22" s="885"/>
      <c r="J22" s="886" t="s">
        <v>61</v>
      </c>
    </row>
    <row r="23" spans="1:13">
      <c r="A23" s="875">
        <f t="shared" si="0"/>
        <v>10</v>
      </c>
      <c r="B23" s="887" t="s">
        <v>623</v>
      </c>
      <c r="C23" s="888"/>
      <c r="D23" s="889"/>
      <c r="E23" s="853"/>
      <c r="F23" s="885"/>
      <c r="G23" s="885"/>
      <c r="H23" s="885"/>
      <c r="I23" s="885"/>
      <c r="J23" s="882"/>
    </row>
    <row r="24" spans="1:13">
      <c r="A24" s="875">
        <f t="shared" si="0"/>
        <v>11</v>
      </c>
      <c r="B24" s="873"/>
      <c r="C24" s="853"/>
      <c r="D24" s="890" t="s">
        <v>624</v>
      </c>
      <c r="E24" s="891"/>
      <c r="F24" s="885"/>
      <c r="G24" s="892">
        <v>1000</v>
      </c>
      <c r="H24" s="892">
        <v>1000</v>
      </c>
      <c r="I24" s="885"/>
      <c r="J24" s="882"/>
    </row>
    <row r="25" spans="1:13" ht="13.5" thickBot="1">
      <c r="A25" s="875">
        <f t="shared" si="0"/>
        <v>12</v>
      </c>
      <c r="B25" s="873"/>
      <c r="C25" s="853"/>
      <c r="D25" s="890" t="s">
        <v>625</v>
      </c>
      <c r="E25" s="891"/>
      <c r="F25" s="885"/>
      <c r="G25" s="893">
        <f>H27</f>
        <v>98</v>
      </c>
      <c r="H25" s="894">
        <f>E16</f>
        <v>9.8000000000000004E-2</v>
      </c>
      <c r="I25" s="885"/>
      <c r="J25" s="882"/>
    </row>
    <row r="26" spans="1:13">
      <c r="A26" s="875">
        <f t="shared" si="0"/>
        <v>13</v>
      </c>
      <c r="B26" s="873"/>
      <c r="C26" s="853"/>
      <c r="D26" s="853"/>
      <c r="E26" s="853"/>
      <c r="F26" s="885"/>
      <c r="G26" s="895"/>
      <c r="H26" s="896"/>
      <c r="I26" s="876" t="s">
        <v>61</v>
      </c>
      <c r="J26" s="882"/>
    </row>
    <row r="27" spans="1:13">
      <c r="A27" s="875">
        <f t="shared" si="0"/>
        <v>14</v>
      </c>
      <c r="B27" s="873"/>
      <c r="C27" s="853"/>
      <c r="D27" s="853"/>
      <c r="E27" s="853"/>
      <c r="F27" s="885"/>
      <c r="G27" s="897">
        <f>G24-G25</f>
        <v>902</v>
      </c>
      <c r="H27" s="898">
        <f>H24*H25</f>
        <v>98</v>
      </c>
      <c r="I27" s="885"/>
      <c r="J27" s="882"/>
    </row>
    <row r="28" spans="1:13" ht="13.5" thickBot="1">
      <c r="A28" s="875">
        <f t="shared" si="0"/>
        <v>15</v>
      </c>
      <c r="B28" s="873"/>
      <c r="C28" s="853"/>
      <c r="D28" s="890" t="s">
        <v>626</v>
      </c>
      <c r="E28" s="891"/>
      <c r="F28" s="867"/>
      <c r="G28" s="894">
        <f>E15</f>
        <v>0.35</v>
      </c>
      <c r="H28" s="891"/>
      <c r="I28" s="885"/>
      <c r="J28" s="882"/>
    </row>
    <row r="29" spans="1:13">
      <c r="A29" s="875">
        <f t="shared" si="0"/>
        <v>16</v>
      </c>
      <c r="B29" s="873"/>
      <c r="C29" s="853"/>
      <c r="D29" s="853"/>
      <c r="E29" s="853"/>
      <c r="F29" s="885"/>
      <c r="G29" s="895"/>
      <c r="H29" s="876" t="s">
        <v>61</v>
      </c>
      <c r="I29" s="885"/>
      <c r="J29" s="882"/>
    </row>
    <row r="30" spans="1:13">
      <c r="A30" s="875">
        <f t="shared" si="0"/>
        <v>17</v>
      </c>
      <c r="B30" s="873"/>
      <c r="C30" s="853"/>
      <c r="D30" s="890" t="s">
        <v>627</v>
      </c>
      <c r="E30" s="891"/>
      <c r="F30" s="885"/>
      <c r="G30" s="899">
        <f>G27*G28</f>
        <v>315.7</v>
      </c>
      <c r="H30" s="885"/>
      <c r="I30" s="885"/>
      <c r="J30" s="882"/>
    </row>
    <row r="31" spans="1:13">
      <c r="A31" s="875">
        <f t="shared" si="0"/>
        <v>18</v>
      </c>
      <c r="B31" s="873"/>
      <c r="C31" s="853"/>
      <c r="D31" s="853"/>
      <c r="E31" s="853"/>
      <c r="F31" s="885"/>
      <c r="G31" s="885"/>
      <c r="H31" s="885"/>
      <c r="I31" s="885"/>
      <c r="J31" s="882"/>
    </row>
    <row r="32" spans="1:13" ht="13.5" thickBot="1">
      <c r="A32" s="875">
        <f t="shared" si="0"/>
        <v>19</v>
      </c>
      <c r="B32" s="873"/>
      <c r="C32" s="853"/>
      <c r="D32" s="890" t="s">
        <v>628</v>
      </c>
      <c r="E32" s="891"/>
      <c r="F32" s="900">
        <f>SUM(G32:H32)</f>
        <v>0.41369999999999996</v>
      </c>
      <c r="G32" s="900">
        <f>G30/1000</f>
        <v>0.31569999999999998</v>
      </c>
      <c r="H32" s="894">
        <f>H27/1000</f>
        <v>9.8000000000000004E-2</v>
      </c>
      <c r="I32" s="885"/>
      <c r="J32" s="882"/>
    </row>
    <row r="33" spans="1:11">
      <c r="A33" s="875">
        <f t="shared" si="0"/>
        <v>20</v>
      </c>
      <c r="B33" s="873"/>
      <c r="C33" s="853"/>
      <c r="D33" s="853"/>
      <c r="E33" s="853"/>
      <c r="F33" s="901"/>
      <c r="G33" s="853"/>
      <c r="H33" s="853"/>
      <c r="I33" s="901" t="s">
        <v>61</v>
      </c>
      <c r="J33" s="882"/>
    </row>
    <row r="34" spans="1:11">
      <c r="A34" s="875">
        <f t="shared" si="0"/>
        <v>21</v>
      </c>
      <c r="B34" s="873"/>
      <c r="C34" s="853"/>
      <c r="D34" s="853"/>
      <c r="E34" s="853"/>
      <c r="F34" s="853"/>
      <c r="G34" s="853"/>
      <c r="H34" s="853"/>
      <c r="I34" s="853"/>
      <c r="J34" s="882"/>
    </row>
    <row r="35" spans="1:11" ht="13.5" thickBot="1">
      <c r="A35" s="875">
        <f t="shared" si="0"/>
        <v>22</v>
      </c>
      <c r="B35" s="873"/>
      <c r="C35" s="853"/>
      <c r="D35" s="890" t="s">
        <v>629</v>
      </c>
      <c r="E35" s="868"/>
      <c r="F35" s="891"/>
      <c r="G35" s="876" t="s">
        <v>630</v>
      </c>
      <c r="H35" s="867"/>
      <c r="I35" s="891"/>
      <c r="J35" s="902">
        <f>1/(1-F32)</f>
        <v>1.7056114617090226</v>
      </c>
    </row>
    <row r="36" spans="1:11">
      <c r="A36" s="875">
        <f t="shared" si="0"/>
        <v>23</v>
      </c>
      <c r="B36" s="873"/>
      <c r="C36" s="853"/>
      <c r="D36" s="853"/>
      <c r="E36" s="853"/>
      <c r="F36" s="853"/>
      <c r="G36" s="853"/>
      <c r="H36" s="853"/>
      <c r="I36" s="853"/>
      <c r="J36" s="903"/>
      <c r="K36" s="904" t="s">
        <v>61</v>
      </c>
    </row>
    <row r="37" spans="1:11">
      <c r="A37" s="875">
        <f t="shared" si="0"/>
        <v>24</v>
      </c>
      <c r="B37" s="873"/>
      <c r="C37" s="853"/>
      <c r="D37" s="853"/>
      <c r="E37" s="853"/>
      <c r="F37" s="853"/>
      <c r="G37" s="853"/>
      <c r="H37" s="853"/>
      <c r="I37" s="853"/>
      <c r="J37" s="882"/>
    </row>
    <row r="38" spans="1:11">
      <c r="A38" s="875">
        <f t="shared" si="0"/>
        <v>25</v>
      </c>
      <c r="B38" s="873"/>
      <c r="C38" s="853"/>
      <c r="D38" s="853"/>
      <c r="E38" s="853"/>
      <c r="F38" s="853"/>
      <c r="G38" s="853"/>
      <c r="H38" s="853"/>
      <c r="I38" s="853"/>
      <c r="J38" s="882"/>
      <c r="K38" s="905"/>
    </row>
    <row r="39" spans="1:11">
      <c r="A39" s="875">
        <f t="shared" si="0"/>
        <v>26</v>
      </c>
      <c r="B39" s="887" t="s">
        <v>631</v>
      </c>
      <c r="C39" s="888"/>
      <c r="D39" s="891"/>
      <c r="E39" s="853"/>
      <c r="F39" s="853"/>
      <c r="G39" s="853"/>
      <c r="H39" s="853"/>
      <c r="I39" s="853"/>
      <c r="J39" s="882"/>
      <c r="K39" s="905"/>
    </row>
    <row r="40" spans="1:11">
      <c r="A40" s="875">
        <f t="shared" si="0"/>
        <v>27</v>
      </c>
      <c r="B40" s="873"/>
      <c r="C40" s="853"/>
      <c r="D40" s="890" t="s">
        <v>624</v>
      </c>
      <c r="E40" s="891"/>
      <c r="F40" s="885"/>
      <c r="G40" s="906">
        <v>1000</v>
      </c>
      <c r="H40" s="907"/>
      <c r="I40" s="906">
        <v>1000</v>
      </c>
      <c r="J40" s="882"/>
    </row>
    <row r="41" spans="1:11" ht="13.5" thickBot="1">
      <c r="A41" s="875">
        <f t="shared" si="0"/>
        <v>28</v>
      </c>
      <c r="B41" s="873"/>
      <c r="C41" s="853"/>
      <c r="D41" s="890" t="s">
        <v>632</v>
      </c>
      <c r="E41" s="891"/>
      <c r="F41" s="885"/>
      <c r="G41" s="908">
        <f>I46</f>
        <v>51.5</v>
      </c>
      <c r="H41" s="885"/>
      <c r="I41" s="898"/>
      <c r="J41" s="882"/>
    </row>
    <row r="42" spans="1:11">
      <c r="A42" s="875">
        <f t="shared" si="0"/>
        <v>29</v>
      </c>
      <c r="B42" s="873"/>
      <c r="C42" s="853"/>
      <c r="D42" s="853"/>
      <c r="E42" s="853"/>
      <c r="F42" s="885"/>
      <c r="G42" s="895"/>
      <c r="H42" s="885"/>
      <c r="I42" s="885"/>
      <c r="J42" s="882"/>
    </row>
    <row r="43" spans="1:11">
      <c r="A43" s="875">
        <f t="shared" si="0"/>
        <v>30</v>
      </c>
      <c r="B43" s="873"/>
      <c r="C43" s="853"/>
      <c r="D43" s="853"/>
      <c r="E43" s="853"/>
      <c r="F43" s="885"/>
      <c r="G43" s="898">
        <f>G40-G41</f>
        <v>948.5</v>
      </c>
      <c r="H43" s="885"/>
      <c r="I43" s="909">
        <f>I40-I41</f>
        <v>1000</v>
      </c>
      <c r="J43" s="882"/>
    </row>
    <row r="44" spans="1:11" ht="13.5" thickBot="1">
      <c r="A44" s="875">
        <f t="shared" si="0"/>
        <v>31</v>
      </c>
      <c r="B44" s="873"/>
      <c r="C44" s="853"/>
      <c r="D44" s="890" t="s">
        <v>626</v>
      </c>
      <c r="E44" s="891"/>
      <c r="F44" s="885"/>
      <c r="G44" s="894">
        <f>E15</f>
        <v>0.35</v>
      </c>
      <c r="H44" s="885"/>
      <c r="I44" s="894">
        <f>E17</f>
        <v>5.1499999999999997E-2</v>
      </c>
      <c r="J44" s="882"/>
    </row>
    <row r="45" spans="1:11">
      <c r="A45" s="875">
        <f t="shared" si="0"/>
        <v>32</v>
      </c>
      <c r="B45" s="873"/>
      <c r="C45" s="853"/>
      <c r="D45" s="853"/>
      <c r="E45" s="853"/>
      <c r="F45" s="885"/>
      <c r="G45" s="895"/>
      <c r="H45" s="885"/>
      <c r="I45" s="896"/>
      <c r="J45" s="882"/>
    </row>
    <row r="46" spans="1:11">
      <c r="A46" s="875">
        <f t="shared" si="0"/>
        <v>33</v>
      </c>
      <c r="B46" s="873"/>
      <c r="C46" s="853"/>
      <c r="D46" s="890" t="s">
        <v>627</v>
      </c>
      <c r="E46" s="891"/>
      <c r="F46" s="885"/>
      <c r="G46" s="898">
        <f>G43*G44</f>
        <v>331.97499999999997</v>
      </c>
      <c r="H46" s="885"/>
      <c r="I46" s="898">
        <f>I43*I44</f>
        <v>51.5</v>
      </c>
      <c r="J46" s="882"/>
    </row>
    <row r="47" spans="1:11">
      <c r="A47" s="875">
        <f t="shared" si="0"/>
        <v>34</v>
      </c>
      <c r="B47" s="873"/>
      <c r="C47" s="853"/>
      <c r="D47" s="853"/>
      <c r="E47" s="853"/>
      <c r="F47" s="885"/>
      <c r="G47" s="885"/>
      <c r="H47" s="885"/>
      <c r="I47" s="885"/>
      <c r="J47" s="882"/>
    </row>
    <row r="48" spans="1:11" ht="13.5" thickBot="1">
      <c r="A48" s="875">
        <f t="shared" si="0"/>
        <v>35</v>
      </c>
      <c r="B48" s="873"/>
      <c r="C48" s="853"/>
      <c r="D48" s="890" t="s">
        <v>633</v>
      </c>
      <c r="E48" s="891"/>
      <c r="F48" s="900">
        <f>SUM(G48:I48)</f>
        <v>0.38347499999999995</v>
      </c>
      <c r="G48" s="900">
        <f>G46/1000</f>
        <v>0.33197499999999996</v>
      </c>
      <c r="H48" s="885"/>
      <c r="I48" s="910">
        <f>I46/1000</f>
        <v>5.1499999999999997E-2</v>
      </c>
      <c r="J48" s="882"/>
    </row>
    <row r="49" spans="1:11">
      <c r="A49" s="875">
        <f t="shared" si="0"/>
        <v>36</v>
      </c>
      <c r="B49" s="873"/>
      <c r="C49" s="853"/>
      <c r="D49" s="853"/>
      <c r="E49" s="853"/>
      <c r="F49" s="901"/>
      <c r="G49" s="853"/>
      <c r="H49" s="885"/>
      <c r="I49" s="901" t="s">
        <v>61</v>
      </c>
      <c r="J49" s="882"/>
    </row>
    <row r="50" spans="1:11">
      <c r="A50" s="875">
        <f t="shared" si="0"/>
        <v>37</v>
      </c>
      <c r="B50" s="873"/>
      <c r="C50" s="853"/>
      <c r="D50" s="853"/>
      <c r="E50" s="853"/>
      <c r="F50" s="853"/>
      <c r="G50" s="853"/>
      <c r="H50" s="853"/>
      <c r="I50" s="853"/>
      <c r="J50" s="882"/>
    </row>
    <row r="51" spans="1:11" ht="13.5" thickBot="1">
      <c r="A51" s="875">
        <f t="shared" si="0"/>
        <v>38</v>
      </c>
      <c r="B51" s="873"/>
      <c r="C51" s="853"/>
      <c r="D51" s="890" t="s">
        <v>629</v>
      </c>
      <c r="E51" s="868"/>
      <c r="F51" s="891"/>
      <c r="G51" s="876" t="s">
        <v>630</v>
      </c>
      <c r="H51" s="867"/>
      <c r="I51" s="891"/>
      <c r="J51" s="902">
        <f>1/(1-F48)</f>
        <v>1.6219942419204412</v>
      </c>
    </row>
    <row r="52" spans="1:11">
      <c r="A52" s="875">
        <f t="shared" si="0"/>
        <v>39</v>
      </c>
      <c r="B52" s="873"/>
      <c r="C52" s="853"/>
      <c r="D52" s="853"/>
      <c r="E52" s="853"/>
      <c r="F52" s="853"/>
      <c r="G52" s="853"/>
      <c r="H52" s="853"/>
      <c r="I52" s="853"/>
      <c r="J52" s="886"/>
      <c r="K52" s="904" t="s">
        <v>61</v>
      </c>
    </row>
    <row r="53" spans="1:11">
      <c r="A53" s="875">
        <f t="shared" si="0"/>
        <v>40</v>
      </c>
      <c r="B53" s="873"/>
      <c r="C53" s="853"/>
      <c r="D53" s="853"/>
      <c r="E53" s="853"/>
      <c r="F53" s="853"/>
      <c r="G53" s="853"/>
      <c r="H53" s="853"/>
      <c r="I53" s="853"/>
      <c r="J53" s="882"/>
    </row>
    <row r="54" spans="1:11">
      <c r="A54" s="875">
        <f t="shared" si="0"/>
        <v>41</v>
      </c>
      <c r="B54" s="873"/>
      <c r="C54" s="853"/>
      <c r="D54" s="853"/>
      <c r="E54" s="853"/>
      <c r="F54" s="853"/>
      <c r="G54" s="853"/>
      <c r="H54" s="853"/>
      <c r="I54" s="853"/>
      <c r="J54" s="882"/>
    </row>
    <row r="55" spans="1:11">
      <c r="A55" s="875">
        <f t="shared" si="0"/>
        <v>42</v>
      </c>
      <c r="B55" s="887" t="s">
        <v>634</v>
      </c>
      <c r="C55" s="888"/>
      <c r="D55" s="891"/>
      <c r="E55" s="853"/>
      <c r="F55" s="853"/>
      <c r="G55" s="853"/>
      <c r="H55" s="853"/>
      <c r="I55" s="853"/>
      <c r="J55" s="882"/>
    </row>
    <row r="56" spans="1:11" ht="15.75" thickBot="1">
      <c r="A56" s="875">
        <f t="shared" si="0"/>
        <v>43</v>
      </c>
      <c r="B56" s="873"/>
      <c r="C56" s="853"/>
      <c r="D56" s="890" t="s">
        <v>635</v>
      </c>
      <c r="E56" s="891"/>
      <c r="F56" s="894">
        <f>E15</f>
        <v>0.35</v>
      </c>
      <c r="G56" s="894">
        <f>E15</f>
        <v>0.35</v>
      </c>
      <c r="H56" s="878" t="s">
        <v>636</v>
      </c>
      <c r="I56" s="879"/>
      <c r="J56" s="880"/>
    </row>
    <row r="57" spans="1:11">
      <c r="A57" s="875">
        <f t="shared" si="0"/>
        <v>44</v>
      </c>
      <c r="B57" s="873"/>
      <c r="C57" s="853"/>
      <c r="D57" s="853"/>
      <c r="E57" s="853"/>
      <c r="F57" s="901"/>
      <c r="G57" s="853"/>
      <c r="H57" s="901" t="s">
        <v>61</v>
      </c>
      <c r="I57" s="853"/>
      <c r="J57" s="882"/>
    </row>
    <row r="58" spans="1:11">
      <c r="A58" s="875">
        <f t="shared" si="0"/>
        <v>45</v>
      </c>
      <c r="B58" s="873"/>
      <c r="C58" s="853"/>
      <c r="D58" s="853"/>
      <c r="E58" s="853"/>
      <c r="F58" s="853"/>
      <c r="G58" s="853"/>
      <c r="H58" s="853"/>
      <c r="I58" s="853"/>
      <c r="J58" s="882"/>
    </row>
    <row r="59" spans="1:11">
      <c r="A59" s="875">
        <f t="shared" si="0"/>
        <v>46</v>
      </c>
      <c r="B59" s="873"/>
      <c r="C59" s="853"/>
      <c r="D59" s="911" t="s">
        <v>637</v>
      </c>
      <c r="E59" s="912"/>
      <c r="F59" s="912"/>
      <c r="G59" s="913"/>
      <c r="H59" s="853"/>
      <c r="I59" s="853"/>
      <c r="J59" s="882"/>
    </row>
    <row r="60" spans="1:11">
      <c r="A60" s="875">
        <f t="shared" si="0"/>
        <v>47</v>
      </c>
      <c r="B60" s="873"/>
      <c r="C60" s="853"/>
      <c r="D60" s="914" t="s">
        <v>638</v>
      </c>
      <c r="E60" s="853"/>
      <c r="F60" s="853"/>
      <c r="G60" s="882"/>
      <c r="H60" s="853"/>
      <c r="I60" s="853"/>
      <c r="J60" s="882"/>
    </row>
    <row r="61" spans="1:11">
      <c r="A61" s="875">
        <f t="shared" si="0"/>
        <v>48</v>
      </c>
      <c r="B61" s="873"/>
      <c r="C61" s="853"/>
      <c r="D61" s="873"/>
      <c r="E61" s="853"/>
      <c r="F61" s="853"/>
      <c r="G61" s="882"/>
      <c r="H61" s="853"/>
      <c r="I61" s="853"/>
      <c r="J61" s="882"/>
    </row>
    <row r="62" spans="1:11">
      <c r="A62" s="875">
        <f t="shared" si="0"/>
        <v>49</v>
      </c>
      <c r="B62" s="873"/>
      <c r="C62" s="853"/>
      <c r="D62" s="914" t="s">
        <v>639</v>
      </c>
      <c r="E62" s="853"/>
      <c r="F62" s="853"/>
      <c r="G62" s="882"/>
      <c r="H62" s="853"/>
      <c r="I62" s="853"/>
      <c r="J62" s="882"/>
    </row>
    <row r="63" spans="1:11">
      <c r="A63" s="875">
        <f t="shared" si="0"/>
        <v>50</v>
      </c>
      <c r="B63" s="873"/>
      <c r="C63" s="853"/>
      <c r="D63" s="914" t="s">
        <v>640</v>
      </c>
      <c r="E63" s="853"/>
      <c r="F63" s="853"/>
      <c r="G63" s="882"/>
      <c r="H63" s="853"/>
      <c r="I63" s="853"/>
      <c r="J63" s="882"/>
    </row>
    <row r="64" spans="1:11">
      <c r="A64" s="875">
        <f t="shared" si="0"/>
        <v>51</v>
      </c>
      <c r="B64" s="873"/>
      <c r="C64" s="853"/>
      <c r="D64" s="914" t="s">
        <v>641</v>
      </c>
      <c r="E64" s="853"/>
      <c r="F64" s="853"/>
      <c r="G64" s="882"/>
      <c r="H64" s="853"/>
      <c r="I64" s="853"/>
      <c r="J64" s="882"/>
    </row>
    <row r="65" spans="1:11">
      <c r="A65" s="875">
        <f t="shared" si="0"/>
        <v>52</v>
      </c>
      <c r="B65" s="873"/>
      <c r="C65" s="853"/>
      <c r="D65" s="915">
        <f>E15</f>
        <v>0.35</v>
      </c>
      <c r="E65" s="901" t="s">
        <v>642</v>
      </c>
      <c r="F65" s="853"/>
      <c r="G65" s="882"/>
      <c r="H65" s="853"/>
      <c r="I65" s="853"/>
      <c r="J65" s="882"/>
    </row>
    <row r="66" spans="1:11">
      <c r="A66" s="875">
        <f t="shared" si="0"/>
        <v>53</v>
      </c>
      <c r="B66" s="873"/>
      <c r="C66" s="853"/>
      <c r="D66" s="873"/>
      <c r="E66" s="853"/>
      <c r="F66" s="853"/>
      <c r="G66" s="882"/>
      <c r="H66" s="853"/>
      <c r="I66" s="853"/>
      <c r="J66" s="882"/>
    </row>
    <row r="67" spans="1:11">
      <c r="A67" s="875">
        <f t="shared" si="0"/>
        <v>54</v>
      </c>
      <c r="B67" s="873"/>
      <c r="C67" s="853"/>
      <c r="D67" s="873"/>
      <c r="E67" s="901" t="s">
        <v>643</v>
      </c>
      <c r="F67" s="853"/>
      <c r="G67" s="882"/>
      <c r="H67" s="853"/>
      <c r="I67" s="853"/>
      <c r="J67" s="882"/>
    </row>
    <row r="68" spans="1:11">
      <c r="A68" s="875">
        <f t="shared" si="0"/>
        <v>55</v>
      </c>
      <c r="B68" s="873"/>
      <c r="C68" s="853"/>
      <c r="D68" s="873"/>
      <c r="E68" s="901" t="s">
        <v>644</v>
      </c>
      <c r="F68" s="853"/>
      <c r="G68" s="882"/>
      <c r="H68" s="853"/>
      <c r="I68" s="853"/>
      <c r="J68" s="882"/>
    </row>
    <row r="69" spans="1:11">
      <c r="A69" s="875">
        <f t="shared" si="0"/>
        <v>56</v>
      </c>
      <c r="B69" s="873"/>
      <c r="C69" s="853"/>
      <c r="D69" s="873"/>
      <c r="E69" s="901" t="s">
        <v>645</v>
      </c>
      <c r="F69" s="853"/>
      <c r="G69" s="882"/>
      <c r="H69" s="853"/>
      <c r="I69" s="853"/>
      <c r="J69" s="882"/>
    </row>
    <row r="70" spans="1:11">
      <c r="A70" s="875">
        <f t="shared" si="0"/>
        <v>57</v>
      </c>
      <c r="B70" s="873"/>
      <c r="C70" s="853"/>
      <c r="D70" s="873"/>
      <c r="E70" s="901" t="s">
        <v>646</v>
      </c>
      <c r="F70" s="853"/>
      <c r="G70" s="882"/>
      <c r="H70" s="853"/>
      <c r="I70" s="853"/>
      <c r="J70" s="882"/>
    </row>
    <row r="71" spans="1:11">
      <c r="A71" s="875">
        <f t="shared" si="0"/>
        <v>58</v>
      </c>
      <c r="B71" s="873"/>
      <c r="C71" s="853"/>
      <c r="D71" s="873"/>
      <c r="E71" s="901" t="s">
        <v>647</v>
      </c>
      <c r="F71" s="853"/>
      <c r="G71" s="882"/>
      <c r="H71" s="853"/>
      <c r="I71" s="853"/>
      <c r="J71" s="882"/>
    </row>
    <row r="72" spans="1:11" ht="13.5" thickBot="1">
      <c r="A72" s="875">
        <f t="shared" si="0"/>
        <v>59</v>
      </c>
      <c r="B72" s="873"/>
      <c r="C72" s="853"/>
      <c r="D72" s="916"/>
      <c r="E72" s="917" t="s">
        <v>648</v>
      </c>
      <c r="F72" s="918"/>
      <c r="G72" s="919"/>
      <c r="H72" s="853"/>
      <c r="I72" s="853"/>
      <c r="J72" s="902">
        <f>1/(1-J14-((1-J14)*E15))</f>
        <v>1.5407726975078</v>
      </c>
    </row>
    <row r="73" spans="1:11">
      <c r="A73" s="875">
        <f t="shared" si="0"/>
        <v>60</v>
      </c>
      <c r="B73" s="873"/>
      <c r="C73" s="853"/>
      <c r="D73" s="853"/>
      <c r="E73" s="853"/>
      <c r="F73" s="853"/>
      <c r="G73" s="853"/>
      <c r="H73" s="853"/>
      <c r="I73" s="853"/>
      <c r="J73" s="882"/>
    </row>
    <row r="74" spans="1:11">
      <c r="A74" s="875">
        <f t="shared" si="0"/>
        <v>61</v>
      </c>
      <c r="B74" s="887" t="s">
        <v>649</v>
      </c>
      <c r="C74" s="888"/>
      <c r="D74" s="868"/>
      <c r="E74" s="920" t="s">
        <v>374</v>
      </c>
      <c r="F74" s="885"/>
      <c r="G74" s="884" t="s">
        <v>620</v>
      </c>
      <c r="H74" s="921" t="s">
        <v>621</v>
      </c>
      <c r="I74" s="884" t="s">
        <v>622</v>
      </c>
      <c r="J74" s="882"/>
    </row>
    <row r="75" spans="1:11" ht="13.5" thickBot="1">
      <c r="A75" s="875">
        <f t="shared" si="0"/>
        <v>62</v>
      </c>
      <c r="B75" s="873"/>
      <c r="C75" s="853"/>
      <c r="D75" s="890" t="s">
        <v>650</v>
      </c>
      <c r="E75" s="891"/>
      <c r="F75" s="922">
        <f>SUM(G75:I75)</f>
        <v>0.39300000000000002</v>
      </c>
      <c r="G75" s="922">
        <f>'Page 21b - Income Tax Rate Calc'!D32</f>
        <v>0.32700000000000001</v>
      </c>
      <c r="H75" s="922">
        <f>'Page 21b - Income Tax Rate Calc'!E32</f>
        <v>4.4999999999999998E-2</v>
      </c>
      <c r="I75" s="922">
        <f>'Page 21b - Income Tax Rate Calc'!F32</f>
        <v>2.1000000000000001E-2</v>
      </c>
      <c r="J75" s="882"/>
    </row>
    <row r="76" spans="1:11">
      <c r="A76" s="875">
        <f t="shared" si="0"/>
        <v>63</v>
      </c>
      <c r="B76" s="873"/>
      <c r="C76" s="853"/>
      <c r="D76" s="853"/>
      <c r="E76" s="853"/>
      <c r="F76" s="901"/>
      <c r="G76" s="853"/>
      <c r="H76" s="853"/>
      <c r="I76" s="853"/>
      <c r="J76" s="886" t="s">
        <v>61</v>
      </c>
    </row>
    <row r="77" spans="1:11">
      <c r="A77" s="875">
        <f t="shared" si="0"/>
        <v>64</v>
      </c>
      <c r="B77" s="873"/>
      <c r="C77" s="853"/>
      <c r="D77" s="853"/>
      <c r="E77" s="853"/>
      <c r="F77" s="853"/>
      <c r="G77" s="853"/>
      <c r="H77" s="853"/>
      <c r="I77" s="853"/>
      <c r="J77" s="882"/>
    </row>
    <row r="78" spans="1:11" ht="13.5" thickBot="1">
      <c r="A78" s="875">
        <f t="shared" si="0"/>
        <v>65</v>
      </c>
      <c r="B78" s="873"/>
      <c r="C78" s="853"/>
      <c r="D78" s="890" t="s">
        <v>629</v>
      </c>
      <c r="E78" s="868"/>
      <c r="F78" s="868"/>
      <c r="G78" s="876" t="s">
        <v>630</v>
      </c>
      <c r="H78" s="868"/>
      <c r="I78" s="891"/>
      <c r="J78" s="902">
        <f>1/(1-F75)</f>
        <v>1.6474464579901154</v>
      </c>
    </row>
    <row r="79" spans="1:11">
      <c r="A79" s="923"/>
      <c r="B79" s="918"/>
      <c r="C79" s="918"/>
      <c r="D79" s="918"/>
      <c r="E79" s="918"/>
      <c r="F79" s="918"/>
      <c r="G79" s="918"/>
      <c r="H79" s="918"/>
      <c r="I79" s="918"/>
      <c r="J79" s="924"/>
      <c r="K79" s="904" t="s">
        <v>61</v>
      </c>
    </row>
    <row r="80" spans="1:11">
      <c r="A80" s="861"/>
      <c r="I80" s="853"/>
      <c r="J80" s="853"/>
    </row>
    <row r="81" spans="1:10">
      <c r="A81" s="861"/>
      <c r="B81" s="925" t="s">
        <v>369</v>
      </c>
      <c r="C81" s="926" t="s">
        <v>651</v>
      </c>
      <c r="D81" s="927"/>
      <c r="E81" s="927"/>
      <c r="F81" s="853"/>
      <c r="G81" s="853"/>
      <c r="H81" s="853"/>
      <c r="I81" s="853"/>
      <c r="J81" s="853"/>
    </row>
    <row r="82" spans="1:10" ht="15">
      <c r="A82" s="861"/>
      <c r="B82" s="925" t="s">
        <v>371</v>
      </c>
      <c r="C82" s="926" t="s">
        <v>652</v>
      </c>
      <c r="D82" s="928"/>
      <c r="E82" s="853"/>
      <c r="F82" s="853"/>
      <c r="G82" s="853"/>
      <c r="H82" s="853"/>
      <c r="I82" s="853"/>
      <c r="J82" s="853"/>
    </row>
    <row r="83" spans="1:10" ht="15">
      <c r="B83" s="925" t="s">
        <v>374</v>
      </c>
      <c r="C83" s="926" t="s">
        <v>653</v>
      </c>
      <c r="D83" s="928"/>
      <c r="E83" s="928"/>
      <c r="F83" s="928"/>
      <c r="G83" s="928"/>
      <c r="H83" s="927"/>
      <c r="I83" s="849"/>
      <c r="J83" s="849"/>
    </row>
    <row r="84" spans="1:10">
      <c r="B84" s="849"/>
      <c r="C84" s="853"/>
      <c r="D84" s="849"/>
      <c r="E84" s="929"/>
      <c r="F84" s="849"/>
      <c r="G84" s="849"/>
      <c r="H84" s="849"/>
      <c r="I84" s="849"/>
      <c r="J84" s="849"/>
    </row>
    <row r="85" spans="1:10">
      <c r="B85" s="849"/>
      <c r="C85" s="853"/>
      <c r="D85" s="849"/>
      <c r="E85" s="849"/>
      <c r="F85" s="849"/>
      <c r="G85" s="849"/>
      <c r="H85" s="849"/>
      <c r="I85" s="849"/>
      <c r="J85" s="849"/>
    </row>
    <row r="86" spans="1:10">
      <c r="B86" s="849"/>
      <c r="C86" s="853"/>
      <c r="D86" s="849"/>
      <c r="E86" s="849"/>
      <c r="F86" s="849"/>
      <c r="G86" s="849"/>
      <c r="H86" s="849"/>
      <c r="I86" s="849"/>
      <c r="J86" s="849"/>
    </row>
    <row r="87" spans="1:10">
      <c r="B87" s="849"/>
      <c r="C87" s="853"/>
      <c r="D87" s="849"/>
      <c r="E87" s="849"/>
      <c r="F87" s="849"/>
      <c r="G87" s="849"/>
      <c r="H87" s="849"/>
      <c r="I87" s="849"/>
      <c r="J87" s="849"/>
    </row>
    <row r="88" spans="1:10">
      <c r="B88" s="849"/>
      <c r="C88" s="853"/>
      <c r="D88" s="849"/>
      <c r="E88" s="849"/>
      <c r="F88" s="849"/>
      <c r="G88" s="849"/>
      <c r="H88" s="849"/>
      <c r="I88" s="849"/>
      <c r="J88" s="849"/>
    </row>
    <row r="89" spans="1:10">
      <c r="B89" s="849"/>
      <c r="C89" s="853"/>
      <c r="D89" s="849"/>
      <c r="E89" s="849"/>
      <c r="F89" s="849"/>
      <c r="G89" s="849"/>
      <c r="H89" s="849"/>
      <c r="I89" s="849"/>
      <c r="J89" s="849"/>
    </row>
    <row r="90" spans="1:10">
      <c r="B90" s="849"/>
      <c r="C90" s="853"/>
      <c r="D90" s="849"/>
      <c r="E90" s="849"/>
      <c r="F90" s="849"/>
      <c r="G90" s="849"/>
      <c r="H90" s="849"/>
      <c r="I90" s="849"/>
      <c r="J90" s="849"/>
    </row>
    <row r="91" spans="1:10">
      <c r="B91" s="849"/>
      <c r="C91" s="853"/>
      <c r="D91" s="849"/>
      <c r="E91" s="849"/>
      <c r="F91" s="849"/>
      <c r="G91" s="849"/>
      <c r="H91" s="849"/>
      <c r="I91" s="849"/>
      <c r="J91" s="849"/>
    </row>
    <row r="92" spans="1:10">
      <c r="B92" s="849"/>
      <c r="C92" s="853"/>
      <c r="D92" s="849"/>
      <c r="E92" s="849"/>
      <c r="F92" s="849"/>
      <c r="G92" s="849"/>
      <c r="H92" s="849"/>
      <c r="I92" s="849"/>
      <c r="J92" s="849"/>
    </row>
    <row r="93" spans="1:10">
      <c r="B93" s="849"/>
      <c r="C93" s="853"/>
      <c r="D93" s="849"/>
      <c r="E93" s="849"/>
      <c r="F93" s="849"/>
      <c r="G93" s="849"/>
      <c r="H93" s="849"/>
      <c r="I93" s="849"/>
      <c r="J93" s="849"/>
    </row>
    <row r="94" spans="1:10">
      <c r="B94" s="849"/>
      <c r="C94" s="853"/>
      <c r="D94" s="849"/>
      <c r="E94" s="849"/>
      <c r="F94" s="849"/>
      <c r="G94" s="849"/>
      <c r="H94" s="849"/>
      <c r="I94" s="849"/>
      <c r="J94" s="849"/>
    </row>
  </sheetData>
  <mergeCells count="9">
    <mergeCell ref="B55:C55"/>
    <mergeCell ref="H56:J56"/>
    <mergeCell ref="B74:C74"/>
    <mergeCell ref="A6:J6"/>
    <mergeCell ref="A7:J7"/>
    <mergeCell ref="A8:J8"/>
    <mergeCell ref="G14:I14"/>
    <mergeCell ref="B23:C23"/>
    <mergeCell ref="B39:C39"/>
  </mergeCells>
  <pageMargins left="0.7" right="0.7" top="0.75" bottom="0.75" header="0.3" footer="0.3"/>
  <pageSetup scale="61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workbookViewId="0">
      <selection sqref="A1:XFD1048576"/>
    </sheetView>
  </sheetViews>
  <sheetFormatPr defaultRowHeight="12.75"/>
  <cols>
    <col min="1" max="1" width="3.88671875" style="34" bestFit="1" customWidth="1"/>
    <col min="2" max="2" width="6.21875" style="34" bestFit="1" customWidth="1"/>
    <col min="3" max="3" width="28" style="34" customWidth="1"/>
    <col min="4" max="6" width="12.21875" style="34" customWidth="1"/>
    <col min="7" max="7" width="14" style="34" customWidth="1"/>
    <col min="8" max="8" width="13.44140625" style="34" bestFit="1" customWidth="1"/>
    <col min="9" max="16384" width="8.88671875" style="34"/>
  </cols>
  <sheetData>
    <row r="1" spans="1:8">
      <c r="B1" s="33"/>
      <c r="C1" s="33"/>
      <c r="D1" s="936"/>
      <c r="H1" s="850"/>
    </row>
    <row r="2" spans="1:8">
      <c r="B2" s="937"/>
      <c r="C2" s="937"/>
      <c r="D2" s="936"/>
      <c r="H2" s="850"/>
    </row>
    <row r="3" spans="1:8">
      <c r="B3" s="937"/>
      <c r="C3" s="937"/>
      <c r="D3" s="936"/>
      <c r="H3" s="846"/>
    </row>
    <row r="4" spans="1:8">
      <c r="B4" s="937"/>
      <c r="C4" s="937"/>
      <c r="D4" s="936"/>
      <c r="H4" s="850"/>
    </row>
    <row r="5" spans="1:8">
      <c r="B5" s="937"/>
      <c r="C5" s="937"/>
      <c r="D5" s="936"/>
      <c r="H5" s="850"/>
    </row>
    <row r="6" spans="1:8" ht="12.75" customHeight="1">
      <c r="A6" s="938" t="s">
        <v>655</v>
      </c>
      <c r="B6" s="939"/>
      <c r="C6" s="939"/>
      <c r="D6" s="939"/>
      <c r="E6" s="939"/>
      <c r="F6" s="939"/>
      <c r="G6" s="939"/>
    </row>
    <row r="7" spans="1:8" ht="12.75" customHeight="1">
      <c r="A7" s="938" t="s">
        <v>656</v>
      </c>
      <c r="B7" s="939"/>
      <c r="C7" s="939"/>
      <c r="D7" s="939"/>
      <c r="E7" s="939"/>
      <c r="F7" s="939"/>
      <c r="G7" s="939"/>
    </row>
    <row r="8" spans="1:8" ht="12.75" customHeight="1">
      <c r="A8" s="940" t="s">
        <v>654</v>
      </c>
      <c r="B8" s="939"/>
      <c r="C8" s="939"/>
      <c r="D8" s="939"/>
      <c r="E8" s="939"/>
      <c r="F8" s="939"/>
      <c r="G8" s="939"/>
    </row>
    <row r="9" spans="1:8" ht="12.75" customHeight="1">
      <c r="A9" s="940" t="s">
        <v>657</v>
      </c>
      <c r="B9" s="939"/>
      <c r="C9" s="939"/>
      <c r="D9" s="939"/>
      <c r="E9" s="939"/>
      <c r="F9" s="939"/>
      <c r="G9" s="939"/>
    </row>
    <row r="10" spans="1:8">
      <c r="A10" s="38"/>
      <c r="B10" s="941"/>
      <c r="C10" s="941"/>
      <c r="D10" s="942"/>
      <c r="E10" s="38"/>
      <c r="F10" s="942"/>
      <c r="G10" s="942"/>
    </row>
    <row r="11" spans="1:8" s="32" customFormat="1">
      <c r="B11" s="943" t="s">
        <v>2</v>
      </c>
      <c r="C11" s="943"/>
      <c r="D11" s="944" t="s">
        <v>3</v>
      </c>
      <c r="E11" s="944" t="s">
        <v>4</v>
      </c>
      <c r="F11" s="944" t="s">
        <v>5</v>
      </c>
      <c r="G11" s="944" t="s">
        <v>6</v>
      </c>
    </row>
    <row r="12" spans="1:8">
      <c r="A12" s="945"/>
    </row>
    <row r="13" spans="1:8" ht="25.5">
      <c r="A13" s="946" t="s">
        <v>37</v>
      </c>
      <c r="B13" s="870"/>
      <c r="C13" s="870"/>
      <c r="D13" s="947" t="s">
        <v>620</v>
      </c>
      <c r="E13" s="947" t="s">
        <v>621</v>
      </c>
      <c r="F13" s="947" t="s">
        <v>622</v>
      </c>
      <c r="G13" s="948" t="s">
        <v>15</v>
      </c>
    </row>
    <row r="14" spans="1:8">
      <c r="A14" s="949">
        <v>1</v>
      </c>
      <c r="B14" s="950" t="s">
        <v>658</v>
      </c>
      <c r="C14" s="951"/>
      <c r="D14" s="978">
        <v>1000</v>
      </c>
      <c r="E14" s="978">
        <v>1000</v>
      </c>
      <c r="F14" s="978">
        <v>1000</v>
      </c>
      <c r="G14" s="952"/>
      <c r="H14" s="965"/>
    </row>
    <row r="15" spans="1:8">
      <c r="A15" s="949">
        <f>A14+1</f>
        <v>2</v>
      </c>
      <c r="B15" s="953" t="s">
        <v>659</v>
      </c>
      <c r="C15" s="954"/>
      <c r="D15" s="955"/>
      <c r="E15" s="955"/>
      <c r="F15" s="955"/>
      <c r="G15" s="956"/>
    </row>
    <row r="16" spans="1:8">
      <c r="A16" s="949">
        <f t="shared" ref="A16:A32" si="0">A15+1</f>
        <v>3</v>
      </c>
      <c r="B16" s="957" t="s">
        <v>620</v>
      </c>
      <c r="C16" s="958"/>
      <c r="D16" s="955"/>
      <c r="E16" s="955"/>
      <c r="F16" s="959"/>
      <c r="G16" s="956"/>
    </row>
    <row r="17" spans="1:8">
      <c r="A17" s="949">
        <f t="shared" si="0"/>
        <v>4</v>
      </c>
      <c r="B17" s="957" t="s">
        <v>621</v>
      </c>
      <c r="C17" s="958"/>
      <c r="D17" s="959">
        <f>E28</f>
        <v>45.272864000000006</v>
      </c>
      <c r="E17" s="955"/>
      <c r="F17" s="955"/>
      <c r="G17" s="956"/>
    </row>
    <row r="18" spans="1:8">
      <c r="A18" s="949">
        <f t="shared" si="0"/>
        <v>5</v>
      </c>
      <c r="B18" s="957" t="s">
        <v>622</v>
      </c>
      <c r="C18" s="958"/>
      <c r="D18" s="960">
        <f>F28</f>
        <v>20.706089999999996</v>
      </c>
      <c r="E18" s="961"/>
      <c r="F18" s="961"/>
      <c r="G18" s="956"/>
    </row>
    <row r="19" spans="1:8">
      <c r="A19" s="949">
        <f t="shared" si="0"/>
        <v>6</v>
      </c>
      <c r="B19" s="962" t="s">
        <v>325</v>
      </c>
      <c r="C19" s="963"/>
      <c r="D19" s="959">
        <f>D14-SUM(D16:D18)</f>
        <v>934.02104599999996</v>
      </c>
      <c r="E19" s="959">
        <f>E14-SUM(E16:E18)</f>
        <v>1000</v>
      </c>
      <c r="F19" s="959">
        <f>F14-SUM(F16:F18)</f>
        <v>1000</v>
      </c>
      <c r="G19" s="956"/>
    </row>
    <row r="20" spans="1:8">
      <c r="A20" s="949">
        <f t="shared" si="0"/>
        <v>7</v>
      </c>
      <c r="B20" s="964"/>
      <c r="C20" s="863"/>
      <c r="D20" s="863"/>
      <c r="E20" s="863"/>
      <c r="F20" s="863"/>
      <c r="G20" s="956"/>
    </row>
    <row r="21" spans="1:8">
      <c r="A21" s="949">
        <f t="shared" si="0"/>
        <v>8</v>
      </c>
      <c r="B21" s="953" t="s">
        <v>660</v>
      </c>
      <c r="C21" s="954"/>
      <c r="D21" s="979">
        <v>1</v>
      </c>
      <c r="E21" s="980">
        <v>0.46196799999999999</v>
      </c>
      <c r="F21" s="980">
        <v>0.40205999999999997</v>
      </c>
      <c r="G21" s="956"/>
      <c r="H21" s="965"/>
    </row>
    <row r="22" spans="1:8">
      <c r="A22" s="949">
        <f t="shared" si="0"/>
        <v>9</v>
      </c>
      <c r="B22" s="964"/>
      <c r="C22" s="863"/>
      <c r="D22" s="966"/>
      <c r="E22" s="966"/>
      <c r="F22" s="966"/>
      <c r="G22" s="956"/>
    </row>
    <row r="23" spans="1:8">
      <c r="A23" s="949">
        <f t="shared" si="0"/>
        <v>10</v>
      </c>
      <c r="B23" s="953" t="s">
        <v>661</v>
      </c>
      <c r="C23" s="954"/>
      <c r="D23" s="959">
        <f>D19*D21</f>
        <v>934.02104599999996</v>
      </c>
      <c r="E23" s="959">
        <f>E19*E21</f>
        <v>461.96800000000002</v>
      </c>
      <c r="F23" s="959">
        <f>F19*F21</f>
        <v>402.05999999999995</v>
      </c>
      <c r="G23" s="956"/>
    </row>
    <row r="24" spans="1:8">
      <c r="A24" s="949">
        <f t="shared" si="0"/>
        <v>11</v>
      </c>
      <c r="B24" s="964"/>
      <c r="C24" s="863"/>
      <c r="D24" s="863"/>
      <c r="E24" s="863"/>
      <c r="F24" s="863"/>
      <c r="G24" s="956"/>
    </row>
    <row r="25" spans="1:8">
      <c r="A25" s="949">
        <f t="shared" si="0"/>
        <v>12</v>
      </c>
      <c r="B25" s="953" t="s">
        <v>662</v>
      </c>
      <c r="C25" s="954"/>
      <c r="D25" s="981">
        <v>0.35</v>
      </c>
      <c r="E25" s="981">
        <v>9.8000000000000004E-2</v>
      </c>
      <c r="F25" s="981">
        <v>5.1499999999999997E-2</v>
      </c>
      <c r="G25" s="956"/>
    </row>
    <row r="26" spans="1:8">
      <c r="A26" s="949">
        <f t="shared" si="0"/>
        <v>13</v>
      </c>
      <c r="B26" s="964"/>
      <c r="C26" s="863"/>
      <c r="D26" s="966"/>
      <c r="E26" s="966"/>
      <c r="F26" s="966"/>
      <c r="G26" s="956"/>
    </row>
    <row r="27" spans="1:8">
      <c r="A27" s="949">
        <f t="shared" si="0"/>
        <v>14</v>
      </c>
      <c r="B27" s="964"/>
      <c r="C27" s="863"/>
      <c r="D27" s="863"/>
      <c r="E27" s="863"/>
      <c r="F27" s="863"/>
      <c r="G27" s="956"/>
    </row>
    <row r="28" spans="1:8">
      <c r="A28" s="949">
        <f t="shared" si="0"/>
        <v>15</v>
      </c>
      <c r="B28" s="953" t="s">
        <v>663</v>
      </c>
      <c r="C28" s="954"/>
      <c r="D28" s="959">
        <f>D23*D25</f>
        <v>326.90736609999999</v>
      </c>
      <c r="E28" s="959">
        <f>E23*E25</f>
        <v>45.272864000000006</v>
      </c>
      <c r="F28" s="959">
        <f>F23*F25</f>
        <v>20.706089999999996</v>
      </c>
      <c r="G28" s="956"/>
    </row>
    <row r="29" spans="1:8">
      <c r="A29" s="949">
        <f t="shared" si="0"/>
        <v>16</v>
      </c>
      <c r="B29" s="964"/>
      <c r="C29" s="863"/>
      <c r="D29" s="863"/>
      <c r="E29" s="863"/>
      <c r="F29" s="863"/>
      <c r="G29" s="956"/>
    </row>
    <row r="30" spans="1:8" ht="13.5" thickBot="1">
      <c r="A30" s="949">
        <f t="shared" si="0"/>
        <v>17</v>
      </c>
      <c r="B30" s="953" t="s">
        <v>654</v>
      </c>
      <c r="C30" s="954"/>
      <c r="D30" s="967">
        <f>(D23*D25)/1000</f>
        <v>0.32690736609999999</v>
      </c>
      <c r="E30" s="967">
        <f>(E23*E25)/1000</f>
        <v>4.5272864000000003E-2</v>
      </c>
      <c r="F30" s="967">
        <f>(F23*F25)/1000</f>
        <v>2.0706089999999996E-2</v>
      </c>
      <c r="G30" s="968">
        <f>SUM(D30:F30)</f>
        <v>0.39288632010000002</v>
      </c>
    </row>
    <row r="31" spans="1:8" ht="13.5" thickTop="1">
      <c r="A31" s="949">
        <f t="shared" si="0"/>
        <v>18</v>
      </c>
      <c r="B31" s="964"/>
      <c r="C31" s="863"/>
      <c r="D31" s="863"/>
      <c r="E31" s="863"/>
      <c r="F31" s="863"/>
      <c r="G31" s="956"/>
    </row>
    <row r="32" spans="1:8" ht="13.5" thickBot="1">
      <c r="A32" s="949">
        <f t="shared" si="0"/>
        <v>19</v>
      </c>
      <c r="B32" s="953" t="s">
        <v>664</v>
      </c>
      <c r="C32" s="954"/>
      <c r="D32" s="969">
        <f>ROUND(D30,3)</f>
        <v>0.32700000000000001</v>
      </c>
      <c r="E32" s="969">
        <f t="shared" ref="E32:F32" si="1">ROUND(E30,3)</f>
        <v>4.4999999999999998E-2</v>
      </c>
      <c r="F32" s="969">
        <f t="shared" si="1"/>
        <v>2.1000000000000001E-2</v>
      </c>
      <c r="G32" s="970">
        <f>SUM(D32:F32)</f>
        <v>0.39300000000000002</v>
      </c>
    </row>
    <row r="33" spans="1:7" ht="13.5" thickTop="1">
      <c r="A33" s="949"/>
      <c r="B33" s="964"/>
      <c r="C33" s="863"/>
      <c r="D33" s="966"/>
      <c r="E33" s="966"/>
      <c r="F33" s="966"/>
      <c r="G33" s="971"/>
    </row>
    <row r="34" spans="1:7">
      <c r="A34" s="945"/>
      <c r="B34" s="863"/>
      <c r="C34" s="863"/>
      <c r="D34" s="966"/>
      <c r="E34" s="966"/>
      <c r="F34" s="966"/>
      <c r="G34" s="972"/>
    </row>
    <row r="35" spans="1:7">
      <c r="A35" s="973"/>
      <c r="B35" s="982"/>
      <c r="C35" s="974"/>
      <c r="D35" s="974"/>
      <c r="E35" s="974"/>
      <c r="F35" s="974"/>
      <c r="G35" s="974"/>
    </row>
    <row r="36" spans="1:7" ht="25.5" customHeight="1">
      <c r="A36" s="945"/>
      <c r="B36" s="975"/>
      <c r="C36" s="976"/>
      <c r="D36" s="976"/>
      <c r="E36" s="976"/>
      <c r="F36" s="976"/>
      <c r="G36" s="976"/>
    </row>
    <row r="37" spans="1:7">
      <c r="B37" s="965"/>
      <c r="C37" s="977"/>
      <c r="D37" s="977"/>
      <c r="E37" s="977"/>
      <c r="F37" s="977"/>
      <c r="G37" s="977"/>
    </row>
  </sheetData>
  <mergeCells count="19">
    <mergeCell ref="C37:G37"/>
    <mergeCell ref="B23:C23"/>
    <mergeCell ref="B25:C25"/>
    <mergeCell ref="B28:C28"/>
    <mergeCell ref="B30:C30"/>
    <mergeCell ref="B32:C32"/>
    <mergeCell ref="C36:G36"/>
    <mergeCell ref="B15:C15"/>
    <mergeCell ref="B16:C16"/>
    <mergeCell ref="B17:C17"/>
    <mergeCell ref="B18:C18"/>
    <mergeCell ref="B19:C19"/>
    <mergeCell ref="B21:C21"/>
    <mergeCell ref="A6:G6"/>
    <mergeCell ref="A7:G7"/>
    <mergeCell ref="A8:G8"/>
    <mergeCell ref="A9:G9"/>
    <mergeCell ref="B11:C11"/>
    <mergeCell ref="B14:C14"/>
  </mergeCells>
  <pageMargins left="0.7" right="0.7" top="0.75" bottom="0.75" header="0.3" footer="0.3"/>
  <pageSetup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4:J61"/>
  <sheetViews>
    <sheetView showGridLines="0" topLeftCell="A22" workbookViewId="0">
      <selection activeCell="I37" sqref="I37"/>
    </sheetView>
  </sheetViews>
  <sheetFormatPr defaultRowHeight="12.75"/>
  <cols>
    <col min="1" max="1" width="3.6640625" style="80" customWidth="1"/>
    <col min="2" max="2" width="20.33203125" style="81" customWidth="1"/>
    <col min="3" max="5" width="15.77734375" style="81" customWidth="1"/>
    <col min="6" max="6" width="12.77734375" style="81" customWidth="1"/>
    <col min="7" max="16384" width="8.88671875" style="225"/>
  </cols>
  <sheetData>
    <row r="4" spans="1:10">
      <c r="A4" s="775" t="s">
        <v>0</v>
      </c>
      <c r="B4" s="775"/>
      <c r="C4" s="775"/>
      <c r="D4" s="775"/>
      <c r="E4" s="775"/>
      <c r="F4" s="775"/>
    </row>
    <row r="5" spans="1:10">
      <c r="A5" s="775" t="s">
        <v>480</v>
      </c>
      <c r="B5" s="775"/>
      <c r="C5" s="775"/>
      <c r="D5" s="775"/>
      <c r="E5" s="775"/>
      <c r="F5" s="775"/>
    </row>
    <row r="6" spans="1:10">
      <c r="A6" s="775" t="s">
        <v>597</v>
      </c>
      <c r="B6" s="775"/>
      <c r="C6" s="775"/>
      <c r="D6" s="775"/>
      <c r="E6" s="775"/>
      <c r="F6" s="775"/>
    </row>
    <row r="8" spans="1:10">
      <c r="B8" s="80" t="s">
        <v>2</v>
      </c>
      <c r="C8" s="80" t="s">
        <v>3</v>
      </c>
      <c r="D8" s="80" t="s">
        <v>4</v>
      </c>
      <c r="E8" s="80" t="s">
        <v>5</v>
      </c>
      <c r="F8" s="305" t="s">
        <v>8</v>
      </c>
    </row>
    <row r="10" spans="1:10">
      <c r="A10" s="82"/>
      <c r="B10" s="107"/>
      <c r="C10" s="83" t="s">
        <v>354</v>
      </c>
      <c r="D10" s="83" t="s">
        <v>353</v>
      </c>
      <c r="E10" s="83" t="s">
        <v>488</v>
      </c>
      <c r="F10" s="84"/>
    </row>
    <row r="11" spans="1:10">
      <c r="A11" s="92" t="s">
        <v>9</v>
      </c>
      <c r="B11" s="85"/>
      <c r="C11" s="86" t="s">
        <v>474</v>
      </c>
      <c r="D11" s="86" t="s">
        <v>472</v>
      </c>
      <c r="E11" s="303" t="s">
        <v>478</v>
      </c>
      <c r="F11" s="87"/>
    </row>
    <row r="12" spans="1:10">
      <c r="A12" s="88" t="s">
        <v>10</v>
      </c>
      <c r="B12" s="108" t="s">
        <v>41</v>
      </c>
      <c r="C12" s="302" t="s">
        <v>475</v>
      </c>
      <c r="D12" s="302" t="s">
        <v>473</v>
      </c>
      <c r="E12" s="304" t="s">
        <v>479</v>
      </c>
      <c r="F12" s="90" t="s">
        <v>15</v>
      </c>
    </row>
    <row r="13" spans="1:10">
      <c r="A13" s="82">
        <v>1</v>
      </c>
      <c r="B13" s="109" t="s">
        <v>552</v>
      </c>
      <c r="C13" s="306">
        <f>'Page 3 - CWIP'!D13</f>
        <v>4963391.46</v>
      </c>
      <c r="D13" s="306">
        <f>'Page 3 - CWIP'!C13</f>
        <v>2692492.62</v>
      </c>
      <c r="E13" s="345">
        <v>0</v>
      </c>
      <c r="F13" s="346">
        <f>+SUM(C13:E13)</f>
        <v>7655884.0800000001</v>
      </c>
      <c r="H13" s="306"/>
      <c r="I13" s="306"/>
      <c r="J13" s="306"/>
    </row>
    <row r="14" spans="1:10">
      <c r="A14" s="92">
        <f>+A13+1</f>
        <v>2</v>
      </c>
      <c r="B14" s="93" t="s">
        <v>553</v>
      </c>
      <c r="C14" s="306">
        <f>'Page 3 - CWIP'!D14</f>
        <v>6334908.3700000001</v>
      </c>
      <c r="D14" s="306">
        <f>'Page 3 - CWIP'!C14</f>
        <v>2888962.76</v>
      </c>
      <c r="E14" s="347">
        <v>0</v>
      </c>
      <c r="F14" s="346">
        <f t="shared" ref="F14:F25" si="0">+SUM(C14:E14)</f>
        <v>9223871.129999999</v>
      </c>
      <c r="H14" s="306"/>
      <c r="I14" s="306"/>
      <c r="J14" s="306"/>
    </row>
    <row r="15" spans="1:10">
      <c r="A15" s="92">
        <f>+A14+1</f>
        <v>3</v>
      </c>
      <c r="B15" s="96" t="s">
        <v>16</v>
      </c>
      <c r="C15" s="306">
        <f>'Page 3 - CWIP'!D15</f>
        <v>7393257.5899999999</v>
      </c>
      <c r="D15" s="306">
        <f>'Page 3 - CWIP'!C15</f>
        <v>4843204.32</v>
      </c>
      <c r="E15" s="347">
        <v>0</v>
      </c>
      <c r="F15" s="346">
        <f t="shared" si="0"/>
        <v>12236461.91</v>
      </c>
      <c r="H15" s="306"/>
      <c r="I15" s="306"/>
      <c r="J15" s="306"/>
    </row>
    <row r="16" spans="1:10">
      <c r="A16" s="92">
        <f>+A15+1</f>
        <v>4</v>
      </c>
      <c r="B16" s="96" t="s">
        <v>17</v>
      </c>
      <c r="C16" s="306">
        <f>'Page 3 - CWIP'!D16</f>
        <v>10208999.92</v>
      </c>
      <c r="D16" s="306">
        <f>'Page 3 - CWIP'!C16</f>
        <v>5596710.0700000003</v>
      </c>
      <c r="E16" s="347">
        <v>0</v>
      </c>
      <c r="F16" s="346">
        <f t="shared" si="0"/>
        <v>15805709.99</v>
      </c>
      <c r="H16" s="306"/>
      <c r="I16" s="306"/>
      <c r="J16" s="306"/>
    </row>
    <row r="17" spans="1:10">
      <c r="A17" s="92">
        <f>+A16+1</f>
        <v>5</v>
      </c>
      <c r="B17" s="96" t="s">
        <v>18</v>
      </c>
      <c r="C17" s="306">
        <f>'Page 3 - CWIP'!D17</f>
        <v>12619785.59</v>
      </c>
      <c r="D17" s="306">
        <f>'Page 3 - CWIP'!C17</f>
        <v>4800271.8099999996</v>
      </c>
      <c r="E17" s="347">
        <v>0</v>
      </c>
      <c r="F17" s="346">
        <f t="shared" si="0"/>
        <v>17420057.399999999</v>
      </c>
      <c r="H17" s="306"/>
      <c r="I17" s="306"/>
      <c r="J17" s="306"/>
    </row>
    <row r="18" spans="1:10">
      <c r="A18" s="92">
        <f>+A17+1</f>
        <v>6</v>
      </c>
      <c r="B18" s="96" t="s">
        <v>19</v>
      </c>
      <c r="C18" s="306">
        <f>'Page 3 - CWIP'!D18</f>
        <v>11512844.939999999</v>
      </c>
      <c r="D18" s="306">
        <f>'Page 3 - CWIP'!C18</f>
        <v>5923151.2800000003</v>
      </c>
      <c r="E18" s="347">
        <v>0</v>
      </c>
      <c r="F18" s="346">
        <f t="shared" si="0"/>
        <v>17435996.219999999</v>
      </c>
      <c r="H18" s="306"/>
      <c r="I18" s="306"/>
      <c r="J18" s="306"/>
    </row>
    <row r="19" spans="1:10">
      <c r="A19" s="92">
        <f t="shared" ref="A19:A27" si="1">+A18+1</f>
        <v>7</v>
      </c>
      <c r="B19" s="96" t="s">
        <v>20</v>
      </c>
      <c r="C19" s="306">
        <f>'Page 3 - CWIP'!D19</f>
        <v>11429198.939999999</v>
      </c>
      <c r="D19" s="306">
        <f>'Page 3 - CWIP'!C19</f>
        <v>5408372.3499999996</v>
      </c>
      <c r="E19" s="347">
        <v>0</v>
      </c>
      <c r="F19" s="346">
        <f t="shared" si="0"/>
        <v>16837571.289999999</v>
      </c>
      <c r="H19" s="306"/>
      <c r="I19" s="306"/>
      <c r="J19" s="306"/>
    </row>
    <row r="20" spans="1:10">
      <c r="A20" s="92">
        <f t="shared" si="1"/>
        <v>8</v>
      </c>
      <c r="B20" s="96" t="s">
        <v>21</v>
      </c>
      <c r="C20" s="306">
        <f>'Page 3 - CWIP'!D20</f>
        <v>13218917.470000001</v>
      </c>
      <c r="D20" s="306">
        <f>'Page 3 - CWIP'!C20</f>
        <v>5785442.8700000001</v>
      </c>
      <c r="E20" s="347">
        <v>0</v>
      </c>
      <c r="F20" s="346">
        <f t="shared" si="0"/>
        <v>19004360.34</v>
      </c>
      <c r="H20" s="306"/>
      <c r="I20" s="306"/>
      <c r="J20" s="306"/>
    </row>
    <row r="21" spans="1:10">
      <c r="A21" s="92">
        <f t="shared" si="1"/>
        <v>9</v>
      </c>
      <c r="B21" s="96" t="s">
        <v>22</v>
      </c>
      <c r="C21" s="306">
        <f>'Page 3 - CWIP'!D21</f>
        <v>12080977.23</v>
      </c>
      <c r="D21" s="306">
        <f>'Page 3 - CWIP'!C21</f>
        <v>8583636.2100000009</v>
      </c>
      <c r="E21" s="347">
        <v>394398.95</v>
      </c>
      <c r="F21" s="346">
        <f t="shared" si="0"/>
        <v>21059012.390000001</v>
      </c>
      <c r="H21" s="306"/>
      <c r="I21" s="306"/>
      <c r="J21" s="306"/>
    </row>
    <row r="22" spans="1:10">
      <c r="A22" s="92">
        <f t="shared" si="1"/>
        <v>10</v>
      </c>
      <c r="B22" s="96" t="s">
        <v>23</v>
      </c>
      <c r="C22" s="306">
        <f>'Page 3 - CWIP'!D22</f>
        <v>13100825.220000001</v>
      </c>
      <c r="D22" s="306">
        <f>'Page 3 - CWIP'!C22</f>
        <v>9585702.9199999999</v>
      </c>
      <c r="E22" s="347">
        <v>394398.95</v>
      </c>
      <c r="F22" s="346">
        <f t="shared" si="0"/>
        <v>23080927.09</v>
      </c>
      <c r="H22" s="306"/>
      <c r="I22" s="306"/>
      <c r="J22" s="306"/>
    </row>
    <row r="23" spans="1:10">
      <c r="A23" s="92">
        <f t="shared" si="1"/>
        <v>11</v>
      </c>
      <c r="B23" s="96" t="s">
        <v>24</v>
      </c>
      <c r="C23" s="306">
        <f>'Page 3 - CWIP'!D23</f>
        <v>13979374.310000001</v>
      </c>
      <c r="D23" s="306">
        <f>'Page 3 - CWIP'!C23</f>
        <v>11199497.189999999</v>
      </c>
      <c r="E23" s="347">
        <v>394398.95</v>
      </c>
      <c r="F23" s="346">
        <f t="shared" si="0"/>
        <v>25573270.449999999</v>
      </c>
      <c r="H23" s="306"/>
      <c r="I23" s="306"/>
      <c r="J23" s="306"/>
    </row>
    <row r="24" spans="1:10">
      <c r="A24" s="92">
        <f t="shared" si="1"/>
        <v>12</v>
      </c>
      <c r="B24" s="96" t="s">
        <v>25</v>
      </c>
      <c r="C24" s="306">
        <f>'Page 3 - CWIP'!D24</f>
        <v>14680573.57</v>
      </c>
      <c r="D24" s="306">
        <f>'Page 3 - CWIP'!C24</f>
        <v>11570876.439999999</v>
      </c>
      <c r="E24" s="347">
        <v>394398.95</v>
      </c>
      <c r="F24" s="346">
        <f t="shared" si="0"/>
        <v>26645848.959999997</v>
      </c>
      <c r="H24" s="306"/>
      <c r="I24" s="306"/>
      <c r="J24" s="306"/>
    </row>
    <row r="25" spans="1:10">
      <c r="A25" s="92">
        <f t="shared" si="1"/>
        <v>13</v>
      </c>
      <c r="B25" s="96" t="s">
        <v>26</v>
      </c>
      <c r="C25" s="306">
        <f>'Page 3 - CWIP'!D25+8706421.32</f>
        <v>16066732.02</v>
      </c>
      <c r="D25" s="306">
        <f>'Page 3 - CWIP'!C25</f>
        <v>13187586.52</v>
      </c>
      <c r="E25" s="347">
        <v>394398.95</v>
      </c>
      <c r="F25" s="346">
        <f t="shared" si="0"/>
        <v>29648717.489999998</v>
      </c>
      <c r="H25" s="306"/>
      <c r="I25" s="306"/>
      <c r="J25" s="306"/>
    </row>
    <row r="26" spans="1:10">
      <c r="A26" s="92">
        <f t="shared" si="1"/>
        <v>14</v>
      </c>
      <c r="B26" s="96"/>
      <c r="C26" s="348"/>
      <c r="D26" s="348"/>
      <c r="E26" s="348"/>
      <c r="F26" s="349"/>
    </row>
    <row r="27" spans="1:10">
      <c r="A27" s="92">
        <f t="shared" si="1"/>
        <v>15</v>
      </c>
      <c r="B27" s="97" t="s">
        <v>27</v>
      </c>
      <c r="C27" s="350">
        <f>+AVERAGE(C13:C25)</f>
        <v>11353060.510000002</v>
      </c>
      <c r="D27" s="350">
        <f>+AVERAGE(D13:D25)</f>
        <v>7081992.8738461537</v>
      </c>
      <c r="E27" s="350">
        <f>+AVERAGE(E13:E25)</f>
        <v>151691.90384615384</v>
      </c>
      <c r="F27" s="351">
        <f>+SUM(C27:E27)</f>
        <v>18586745.287692308</v>
      </c>
    </row>
    <row r="28" spans="1:10">
      <c r="A28" s="98"/>
      <c r="B28" s="110"/>
      <c r="C28" s="313" t="s">
        <v>609</v>
      </c>
      <c r="D28" s="313" t="s">
        <v>369</v>
      </c>
      <c r="E28" s="313"/>
      <c r="F28" s="100"/>
    </row>
    <row r="30" spans="1:10">
      <c r="B30" s="314" t="s">
        <v>481</v>
      </c>
    </row>
    <row r="31" spans="1:10">
      <c r="B31" s="314" t="s">
        <v>610</v>
      </c>
    </row>
    <row r="32" spans="1:10">
      <c r="B32" s="314"/>
    </row>
    <row r="33" spans="1:6">
      <c r="B33" s="314"/>
    </row>
    <row r="34" spans="1:6">
      <c r="A34" s="775" t="s">
        <v>0</v>
      </c>
      <c r="B34" s="775"/>
      <c r="C34" s="775"/>
      <c r="D34" s="775"/>
      <c r="E34" s="775"/>
      <c r="F34" s="775"/>
    </row>
    <row r="35" spans="1:6">
      <c r="A35" s="775" t="s">
        <v>483</v>
      </c>
      <c r="B35" s="775"/>
      <c r="C35" s="775"/>
      <c r="D35" s="775"/>
      <c r="E35" s="775"/>
      <c r="F35" s="775"/>
    </row>
    <row r="36" spans="1:6">
      <c r="A36" s="775" t="s">
        <v>597</v>
      </c>
      <c r="B36" s="775"/>
      <c r="C36" s="775"/>
      <c r="D36" s="775"/>
      <c r="E36" s="775"/>
      <c r="F36" s="775"/>
    </row>
    <row r="38" spans="1:6">
      <c r="B38" s="80" t="s">
        <v>2</v>
      </c>
      <c r="C38" s="80" t="s">
        <v>3</v>
      </c>
      <c r="D38" s="80" t="s">
        <v>4</v>
      </c>
      <c r="E38" s="80" t="s">
        <v>5</v>
      </c>
      <c r="F38" s="305" t="s">
        <v>8</v>
      </c>
    </row>
    <row r="40" spans="1:6">
      <c r="A40" s="82"/>
      <c r="B40" s="316" t="s">
        <v>486</v>
      </c>
      <c r="C40" s="83" t="s">
        <v>354</v>
      </c>
      <c r="D40" s="83" t="s">
        <v>353</v>
      </c>
      <c r="E40" s="83" t="s">
        <v>488</v>
      </c>
      <c r="F40" s="84"/>
    </row>
    <row r="41" spans="1:6">
      <c r="A41" s="92" t="s">
        <v>9</v>
      </c>
      <c r="B41" s="315" t="s">
        <v>487</v>
      </c>
      <c r="C41" s="86" t="s">
        <v>474</v>
      </c>
      <c r="D41" s="86" t="s">
        <v>472</v>
      </c>
      <c r="E41" s="303" t="s">
        <v>478</v>
      </c>
      <c r="F41" s="87"/>
    </row>
    <row r="42" spans="1:6">
      <c r="A42" s="88" t="s">
        <v>10</v>
      </c>
      <c r="B42" s="108" t="s">
        <v>41</v>
      </c>
      <c r="C42" s="302" t="s">
        <v>475</v>
      </c>
      <c r="D42" s="302" t="s">
        <v>473</v>
      </c>
      <c r="E42" s="304" t="s">
        <v>479</v>
      </c>
      <c r="F42" s="90" t="s">
        <v>15</v>
      </c>
    </row>
    <row r="43" spans="1:6">
      <c r="A43" s="82">
        <v>1</v>
      </c>
      <c r="B43" s="109" t="s">
        <v>552</v>
      </c>
      <c r="C43" s="306">
        <v>0</v>
      </c>
      <c r="D43" s="306">
        <v>0</v>
      </c>
      <c r="E43" s="345">
        <v>0</v>
      </c>
      <c r="F43" s="346">
        <f t="shared" ref="F43:F55" si="2">+SUM(D43:E43)</f>
        <v>0</v>
      </c>
    </row>
    <row r="44" spans="1:6">
      <c r="A44" s="92">
        <f>+A43+1</f>
        <v>2</v>
      </c>
      <c r="B44" s="93" t="s">
        <v>553</v>
      </c>
      <c r="C44" s="306">
        <v>0</v>
      </c>
      <c r="D44" s="306">
        <v>0</v>
      </c>
      <c r="E44" s="347">
        <v>0</v>
      </c>
      <c r="F44" s="346">
        <f t="shared" si="2"/>
        <v>0</v>
      </c>
    </row>
    <row r="45" spans="1:6">
      <c r="A45" s="92">
        <f>+A44+1</f>
        <v>3</v>
      </c>
      <c r="B45" s="96" t="s">
        <v>16</v>
      </c>
      <c r="C45" s="306">
        <v>0</v>
      </c>
      <c r="D45" s="306">
        <v>0</v>
      </c>
      <c r="E45" s="347">
        <v>0</v>
      </c>
      <c r="F45" s="346">
        <f t="shared" si="2"/>
        <v>0</v>
      </c>
    </row>
    <row r="46" spans="1:6">
      <c r="A46" s="92">
        <f>+A45+1</f>
        <v>4</v>
      </c>
      <c r="B46" s="96" t="s">
        <v>17</v>
      </c>
      <c r="C46" s="306">
        <v>0</v>
      </c>
      <c r="D46" s="306">
        <v>0</v>
      </c>
      <c r="E46" s="347">
        <v>0</v>
      </c>
      <c r="F46" s="346">
        <f t="shared" si="2"/>
        <v>0</v>
      </c>
    </row>
    <row r="47" spans="1:6">
      <c r="A47" s="92">
        <f>+A46+1</f>
        <v>5</v>
      </c>
      <c r="B47" s="96" t="s">
        <v>18</v>
      </c>
      <c r="C47" s="306">
        <v>0</v>
      </c>
      <c r="D47" s="306">
        <v>0</v>
      </c>
      <c r="E47" s="347">
        <v>0</v>
      </c>
      <c r="F47" s="346">
        <f t="shared" si="2"/>
        <v>0</v>
      </c>
    </row>
    <row r="48" spans="1:6">
      <c r="A48" s="92">
        <f>+A47+1</f>
        <v>6</v>
      </c>
      <c r="B48" s="96" t="s">
        <v>19</v>
      </c>
      <c r="C48" s="306">
        <v>0</v>
      </c>
      <c r="D48" s="306">
        <v>0</v>
      </c>
      <c r="E48" s="347">
        <v>0</v>
      </c>
      <c r="F48" s="346">
        <f t="shared" si="2"/>
        <v>0</v>
      </c>
    </row>
    <row r="49" spans="1:6">
      <c r="A49" s="92">
        <f t="shared" ref="A49:A57" si="3">+A48+1</f>
        <v>7</v>
      </c>
      <c r="B49" s="96" t="s">
        <v>20</v>
      </c>
      <c r="C49" s="306">
        <v>0</v>
      </c>
      <c r="D49" s="306">
        <v>0</v>
      </c>
      <c r="E49" s="347">
        <v>0</v>
      </c>
      <c r="F49" s="346">
        <f t="shared" si="2"/>
        <v>0</v>
      </c>
    </row>
    <row r="50" spans="1:6">
      <c r="A50" s="92">
        <f t="shared" si="3"/>
        <v>8</v>
      </c>
      <c r="B50" s="96" t="s">
        <v>21</v>
      </c>
      <c r="C50" s="306">
        <v>0</v>
      </c>
      <c r="D50" s="306">
        <v>0</v>
      </c>
      <c r="E50" s="347">
        <v>0</v>
      </c>
      <c r="F50" s="346">
        <f t="shared" si="2"/>
        <v>0</v>
      </c>
    </row>
    <row r="51" spans="1:6">
      <c r="A51" s="92">
        <f t="shared" si="3"/>
        <v>9</v>
      </c>
      <c r="B51" s="96" t="s">
        <v>22</v>
      </c>
      <c r="C51" s="306">
        <v>0</v>
      </c>
      <c r="D51" s="306">
        <v>0</v>
      </c>
      <c r="E51" s="347">
        <v>0</v>
      </c>
      <c r="F51" s="346">
        <f t="shared" si="2"/>
        <v>0</v>
      </c>
    </row>
    <row r="52" spans="1:6">
      <c r="A52" s="92">
        <f t="shared" si="3"/>
        <v>10</v>
      </c>
      <c r="B52" s="96" t="s">
        <v>23</v>
      </c>
      <c r="C52" s="306">
        <v>0</v>
      </c>
      <c r="D52" s="306">
        <v>0</v>
      </c>
      <c r="E52" s="347">
        <v>530.79999999999995</v>
      </c>
      <c r="F52" s="346">
        <f t="shared" si="2"/>
        <v>530.79999999999995</v>
      </c>
    </row>
    <row r="53" spans="1:6">
      <c r="A53" s="92">
        <f t="shared" si="3"/>
        <v>11</v>
      </c>
      <c r="B53" s="96" t="s">
        <v>24</v>
      </c>
      <c r="C53" s="306">
        <v>0</v>
      </c>
      <c r="D53" s="306">
        <v>0</v>
      </c>
      <c r="E53" s="347">
        <v>1061.5999999999999</v>
      </c>
      <c r="F53" s="346">
        <f t="shared" si="2"/>
        <v>1061.5999999999999</v>
      </c>
    </row>
    <row r="54" spans="1:6">
      <c r="A54" s="92">
        <f t="shared" si="3"/>
        <v>12</v>
      </c>
      <c r="B54" s="96" t="s">
        <v>25</v>
      </c>
      <c r="C54" s="306">
        <v>0</v>
      </c>
      <c r="D54" s="306">
        <v>0</v>
      </c>
      <c r="E54" s="347">
        <v>1592.3999999999999</v>
      </c>
      <c r="F54" s="346">
        <f t="shared" si="2"/>
        <v>1592.3999999999999</v>
      </c>
    </row>
    <row r="55" spans="1:6">
      <c r="A55" s="92">
        <f t="shared" si="3"/>
        <v>13</v>
      </c>
      <c r="B55" s="96" t="s">
        <v>26</v>
      </c>
      <c r="C55" s="306">
        <v>0</v>
      </c>
      <c r="D55" s="306">
        <v>0</v>
      </c>
      <c r="E55" s="347">
        <v>2123.1999999999998</v>
      </c>
      <c r="F55" s="346">
        <f t="shared" si="2"/>
        <v>2123.1999999999998</v>
      </c>
    </row>
    <row r="56" spans="1:6">
      <c r="A56" s="92">
        <f t="shared" si="3"/>
        <v>14</v>
      </c>
      <c r="B56" s="96"/>
      <c r="C56" s="348"/>
      <c r="D56" s="348"/>
      <c r="E56" s="348"/>
      <c r="F56" s="349"/>
    </row>
    <row r="57" spans="1:6">
      <c r="A57" s="92">
        <f t="shared" si="3"/>
        <v>15</v>
      </c>
      <c r="B57" s="315" t="s">
        <v>485</v>
      </c>
      <c r="C57" s="352">
        <f>+AVERAGE(C43:C55)</f>
        <v>0</v>
      </c>
      <c r="D57" s="352">
        <f>+AVERAGE(D43:D55)</f>
        <v>0</v>
      </c>
      <c r="E57" s="352">
        <f>+AVERAGE(E43:E55)</f>
        <v>408.30769230769232</v>
      </c>
      <c r="F57" s="353">
        <f>+SUM(D57:E57)</f>
        <v>408.30769230769232</v>
      </c>
    </row>
    <row r="58" spans="1:6">
      <c r="A58" s="92"/>
      <c r="B58" s="97"/>
      <c r="C58" s="347"/>
      <c r="D58" s="347"/>
      <c r="E58" s="347"/>
      <c r="F58" s="354"/>
    </row>
    <row r="59" spans="1:6" ht="13.5" thickBot="1">
      <c r="A59" s="92"/>
      <c r="B59" s="315" t="s">
        <v>484</v>
      </c>
      <c r="C59" s="355">
        <f>C27-C57</f>
        <v>11353060.510000002</v>
      </c>
      <c r="D59" s="355">
        <f>D27-D57</f>
        <v>7081992.8738461537</v>
      </c>
      <c r="E59" s="355">
        <f>E27-E57</f>
        <v>151283.59615384616</v>
      </c>
      <c r="F59" s="356">
        <f>F27-F57</f>
        <v>18586336.98</v>
      </c>
    </row>
    <row r="60" spans="1:6" ht="13.5" thickTop="1">
      <c r="A60" s="92"/>
      <c r="B60" s="97"/>
      <c r="C60" s="318"/>
      <c r="D60" s="318"/>
      <c r="E60" s="318"/>
      <c r="F60" s="319"/>
    </row>
    <row r="61" spans="1:6">
      <c r="A61" s="98"/>
      <c r="B61" s="317" t="s">
        <v>482</v>
      </c>
      <c r="C61" s="357">
        <f>C55-C43</f>
        <v>0</v>
      </c>
      <c r="D61" s="357">
        <f>D55-D43</f>
        <v>0</v>
      </c>
      <c r="E61" s="352">
        <f>E55-E43</f>
        <v>2123.1999999999998</v>
      </c>
      <c r="F61" s="358">
        <f>F55-F43</f>
        <v>2123.1999999999998</v>
      </c>
    </row>
  </sheetData>
  <mergeCells count="6">
    <mergeCell ref="A36:F36"/>
    <mergeCell ref="A4:F4"/>
    <mergeCell ref="A5:F5"/>
    <mergeCell ref="A6:F6"/>
    <mergeCell ref="A34:F34"/>
    <mergeCell ref="A35:F35"/>
  </mergeCells>
  <printOptions horizontalCentered="1"/>
  <pageMargins left="0.75" right="0.75" top="0.75" bottom="0.75" header="0.5" footer="0.5"/>
  <pageSetup scale="88" orientation="portrait" r:id="rId1"/>
  <headerFooter>
    <oddHeader xml:space="preserve">&amp;R&amp;"Arial,Regular"&amp;10Attachment GG Work Paper
Page 1 of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/>
  <dimension ref="A4:P28"/>
  <sheetViews>
    <sheetView showGridLines="0" zoomScaleNormal="100" workbookViewId="0">
      <selection activeCell="F20" sqref="F20"/>
    </sheetView>
  </sheetViews>
  <sheetFormatPr defaultRowHeight="12.75"/>
  <cols>
    <col min="1" max="1" width="3.6640625" style="305" customWidth="1"/>
    <col min="2" max="2" width="18.6640625" style="488" bestFit="1" customWidth="1"/>
    <col min="3" max="5" width="15.77734375" style="488" customWidth="1"/>
    <col min="6" max="6" width="12.77734375" style="488" customWidth="1"/>
    <col min="7" max="16" width="9.109375" style="488" customWidth="1"/>
    <col min="17" max="16384" width="8.88671875" style="488"/>
  </cols>
  <sheetData>
    <row r="4" spans="1:16">
      <c r="A4" s="772" t="s">
        <v>0</v>
      </c>
      <c r="B4" s="772"/>
      <c r="C4" s="772"/>
      <c r="D4" s="772"/>
      <c r="E4" s="772"/>
      <c r="F4" s="772"/>
    </row>
    <row r="5" spans="1:16">
      <c r="A5" s="772" t="s">
        <v>352</v>
      </c>
      <c r="B5" s="772"/>
      <c r="C5" s="772"/>
      <c r="D5" s="772"/>
      <c r="E5" s="772"/>
      <c r="F5" s="772"/>
    </row>
    <row r="6" spans="1:16">
      <c r="A6" s="772" t="s">
        <v>597</v>
      </c>
      <c r="B6" s="772"/>
      <c r="C6" s="772"/>
      <c r="D6" s="772"/>
      <c r="E6" s="772"/>
      <c r="F6" s="772"/>
    </row>
    <row r="8" spans="1:16">
      <c r="B8" s="305" t="s">
        <v>2</v>
      </c>
      <c r="C8" s="305" t="s">
        <v>3</v>
      </c>
      <c r="D8" s="305" t="s">
        <v>4</v>
      </c>
      <c r="E8" s="305" t="s">
        <v>5</v>
      </c>
      <c r="F8" s="305" t="s">
        <v>6</v>
      </c>
    </row>
    <row r="10" spans="1:16">
      <c r="A10" s="489"/>
      <c r="B10" s="490"/>
      <c r="C10" s="491" t="s">
        <v>353</v>
      </c>
      <c r="D10" s="491" t="s">
        <v>354</v>
      </c>
      <c r="E10" s="491" t="s">
        <v>355</v>
      </c>
      <c r="F10" s="492"/>
    </row>
    <row r="11" spans="1:16">
      <c r="A11" s="493" t="s">
        <v>9</v>
      </c>
      <c r="B11" s="494"/>
      <c r="C11" s="495" t="s">
        <v>472</v>
      </c>
      <c r="D11" s="495" t="s">
        <v>474</v>
      </c>
      <c r="E11" s="495" t="s">
        <v>476</v>
      </c>
      <c r="F11" s="496"/>
    </row>
    <row r="12" spans="1:16">
      <c r="A12" s="497" t="s">
        <v>10</v>
      </c>
      <c r="B12" s="498" t="s">
        <v>41</v>
      </c>
      <c r="C12" s="499" t="s">
        <v>473</v>
      </c>
      <c r="D12" s="499" t="s">
        <v>475</v>
      </c>
      <c r="E12" s="499" t="s">
        <v>477</v>
      </c>
      <c r="F12" s="500" t="s">
        <v>15</v>
      </c>
    </row>
    <row r="13" spans="1:16">
      <c r="A13" s="489">
        <v>1</v>
      </c>
      <c r="B13" s="501" t="s">
        <v>552</v>
      </c>
      <c r="C13" s="502">
        <v>2692492.62</v>
      </c>
      <c r="D13" s="502">
        <v>4963391.46</v>
      </c>
      <c r="E13" s="502">
        <v>1060522.97</v>
      </c>
      <c r="F13" s="503">
        <f t="shared" ref="F13:F25" si="0">+SUM(C13:E13)</f>
        <v>8716407.0500000007</v>
      </c>
      <c r="G13" s="504"/>
      <c r="H13" s="504"/>
      <c r="I13" s="504"/>
      <c r="J13" s="504"/>
      <c r="K13" s="504"/>
      <c r="L13" s="504"/>
      <c r="M13" s="504"/>
      <c r="N13" s="504"/>
      <c r="O13" s="504"/>
      <c r="P13" s="504"/>
    </row>
    <row r="14" spans="1:16" s="504" customFormat="1">
      <c r="A14" s="493">
        <f>+A13+1</f>
        <v>2</v>
      </c>
      <c r="B14" s="505" t="s">
        <v>553</v>
      </c>
      <c r="C14" s="506">
        <v>2888962.76</v>
      </c>
      <c r="D14" s="506">
        <v>6334908.3700000001</v>
      </c>
      <c r="E14" s="506">
        <v>1069914.0900000001</v>
      </c>
      <c r="F14" s="503">
        <f t="shared" si="0"/>
        <v>10293785.219999999</v>
      </c>
      <c r="G14" s="507"/>
      <c r="H14" s="507"/>
      <c r="I14" s="507"/>
      <c r="J14" s="507"/>
      <c r="K14" s="507"/>
      <c r="L14" s="507"/>
      <c r="M14" s="507"/>
      <c r="N14" s="507"/>
      <c r="O14" s="507"/>
      <c r="P14" s="507"/>
    </row>
    <row r="15" spans="1:16">
      <c r="A15" s="493">
        <f>+A14+1</f>
        <v>3</v>
      </c>
      <c r="B15" s="508" t="s">
        <v>16</v>
      </c>
      <c r="C15" s="506">
        <v>4843204.32</v>
      </c>
      <c r="D15" s="506">
        <v>7393257.5899999999</v>
      </c>
      <c r="E15" s="506">
        <v>1084746.43</v>
      </c>
      <c r="F15" s="503">
        <f t="shared" si="0"/>
        <v>13321208.34</v>
      </c>
      <c r="G15" s="504"/>
    </row>
    <row r="16" spans="1:16">
      <c r="A16" s="493">
        <f>+A15+1</f>
        <v>4</v>
      </c>
      <c r="B16" s="508" t="s">
        <v>17</v>
      </c>
      <c r="C16" s="506">
        <v>5596710.0700000003</v>
      </c>
      <c r="D16" s="506">
        <v>10208999.92</v>
      </c>
      <c r="E16" s="506">
        <v>1102430.23</v>
      </c>
      <c r="F16" s="503">
        <f t="shared" si="0"/>
        <v>16908140.219999999</v>
      </c>
    </row>
    <row r="17" spans="1:16">
      <c r="A17" s="493">
        <f>+A16+1</f>
        <v>5</v>
      </c>
      <c r="B17" s="508" t="s">
        <v>18</v>
      </c>
      <c r="C17" s="506">
        <v>4800271.8099999996</v>
      </c>
      <c r="D17" s="506">
        <v>12619785.59</v>
      </c>
      <c r="E17" s="506">
        <v>1244537.07</v>
      </c>
      <c r="F17" s="503">
        <f t="shared" si="0"/>
        <v>18664594.469999999</v>
      </c>
    </row>
    <row r="18" spans="1:16">
      <c r="A18" s="493">
        <f>+A17+1</f>
        <v>6</v>
      </c>
      <c r="B18" s="508" t="s">
        <v>19</v>
      </c>
      <c r="C18" s="506">
        <v>5923151.2800000003</v>
      </c>
      <c r="D18" s="506">
        <v>11512844.939999999</v>
      </c>
      <c r="E18" s="506">
        <v>1266821.6499999999</v>
      </c>
      <c r="F18" s="503">
        <f t="shared" si="0"/>
        <v>18702817.869999997</v>
      </c>
      <c r="G18" s="504"/>
      <c r="H18" s="504"/>
      <c r="I18" s="504"/>
      <c r="J18" s="504"/>
      <c r="K18" s="504"/>
      <c r="L18" s="504"/>
      <c r="M18" s="504"/>
    </row>
    <row r="19" spans="1:16">
      <c r="A19" s="493">
        <f t="shared" ref="A19:A27" si="1">+A18+1</f>
        <v>7</v>
      </c>
      <c r="B19" s="508" t="s">
        <v>20</v>
      </c>
      <c r="C19" s="506">
        <v>5408372.3499999996</v>
      </c>
      <c r="D19" s="506">
        <v>11429198.939999999</v>
      </c>
      <c r="E19" s="506">
        <v>1303777.56</v>
      </c>
      <c r="F19" s="503">
        <f t="shared" si="0"/>
        <v>18141348.849999998</v>
      </c>
      <c r="I19" s="504"/>
      <c r="J19" s="504"/>
      <c r="K19" s="504"/>
      <c r="L19" s="504"/>
      <c r="M19" s="504"/>
      <c r="N19" s="504"/>
      <c r="O19" s="504"/>
      <c r="P19" s="504"/>
    </row>
    <row r="20" spans="1:16">
      <c r="A20" s="493">
        <f t="shared" si="1"/>
        <v>8</v>
      </c>
      <c r="B20" s="508" t="s">
        <v>21</v>
      </c>
      <c r="C20" s="506">
        <v>5785442.8700000001</v>
      </c>
      <c r="D20" s="506">
        <v>13218917.470000001</v>
      </c>
      <c r="E20" s="506">
        <v>1324564.25</v>
      </c>
      <c r="F20" s="503">
        <f t="shared" si="0"/>
        <v>20328924.59</v>
      </c>
    </row>
    <row r="21" spans="1:16">
      <c r="A21" s="493">
        <f t="shared" si="1"/>
        <v>9</v>
      </c>
      <c r="B21" s="508" t="s">
        <v>22</v>
      </c>
      <c r="C21" s="506">
        <v>8583636.2100000009</v>
      </c>
      <c r="D21" s="506">
        <v>12080977.23</v>
      </c>
      <c r="E21" s="506">
        <v>1417925.57</v>
      </c>
      <c r="F21" s="503">
        <f t="shared" si="0"/>
        <v>22082539.010000002</v>
      </c>
    </row>
    <row r="22" spans="1:16">
      <c r="A22" s="493">
        <f t="shared" si="1"/>
        <v>10</v>
      </c>
      <c r="B22" s="508" t="s">
        <v>23</v>
      </c>
      <c r="C22" s="506">
        <v>9585702.9199999999</v>
      </c>
      <c r="D22" s="506">
        <v>13100825.220000001</v>
      </c>
      <c r="E22" s="506">
        <v>1481235.35</v>
      </c>
      <c r="F22" s="503">
        <f t="shared" si="0"/>
        <v>24167763.490000002</v>
      </c>
      <c r="G22" s="504"/>
      <c r="H22" s="509"/>
    </row>
    <row r="23" spans="1:16">
      <c r="A23" s="493">
        <f t="shared" si="1"/>
        <v>11</v>
      </c>
      <c r="B23" s="508" t="s">
        <v>24</v>
      </c>
      <c r="C23" s="506">
        <v>11199497.189999999</v>
      </c>
      <c r="D23" s="506">
        <v>13979374.310000001</v>
      </c>
      <c r="E23" s="506">
        <v>1541242.08</v>
      </c>
      <c r="F23" s="503">
        <f t="shared" si="0"/>
        <v>26720113.579999998</v>
      </c>
    </row>
    <row r="24" spans="1:16">
      <c r="A24" s="493">
        <f t="shared" si="1"/>
        <v>12</v>
      </c>
      <c r="B24" s="508" t="s">
        <v>25</v>
      </c>
      <c r="C24" s="506">
        <v>11570876.439999999</v>
      </c>
      <c r="D24" s="506">
        <v>14680573.57</v>
      </c>
      <c r="E24" s="506">
        <v>1618359.1</v>
      </c>
      <c r="F24" s="503">
        <f t="shared" si="0"/>
        <v>27869809.109999999</v>
      </c>
    </row>
    <row r="25" spans="1:16">
      <c r="A25" s="493">
        <f t="shared" si="1"/>
        <v>13</v>
      </c>
      <c r="B25" s="508" t="s">
        <v>26</v>
      </c>
      <c r="C25" s="506">
        <v>13187586.52</v>
      </c>
      <c r="D25" s="506">
        <v>7360310.7000000002</v>
      </c>
      <c r="E25" s="506">
        <v>1661230.95</v>
      </c>
      <c r="F25" s="503">
        <f t="shared" si="0"/>
        <v>22209128.169999998</v>
      </c>
    </row>
    <row r="26" spans="1:16">
      <c r="A26" s="493">
        <f t="shared" si="1"/>
        <v>14</v>
      </c>
      <c r="B26" s="508"/>
      <c r="C26" s="510"/>
      <c r="D26" s="510"/>
      <c r="E26" s="510"/>
      <c r="F26" s="511"/>
    </row>
    <row r="27" spans="1:16">
      <c r="A27" s="493">
        <f t="shared" si="1"/>
        <v>15</v>
      </c>
      <c r="B27" s="512" t="s">
        <v>27</v>
      </c>
      <c r="C27" s="513">
        <f>+AVERAGE(C13:C25)</f>
        <v>7081992.8738461537</v>
      </c>
      <c r="D27" s="513">
        <f>+AVERAGE(D13:D25)</f>
        <v>10683335.793076923</v>
      </c>
      <c r="E27" s="513">
        <f>+AVERAGE(E13:E25)</f>
        <v>1321331.3307692308</v>
      </c>
      <c r="F27" s="514">
        <f>+SUM(C27:E27)</f>
        <v>19086659.997692306</v>
      </c>
    </row>
    <row r="28" spans="1:16">
      <c r="A28" s="515"/>
      <c r="B28" s="516"/>
      <c r="C28" s="517"/>
      <c r="D28" s="517"/>
      <c r="E28" s="517"/>
      <c r="F28" s="518"/>
    </row>
  </sheetData>
  <mergeCells count="3">
    <mergeCell ref="A6:F6"/>
    <mergeCell ref="A4:F4"/>
    <mergeCell ref="A5:F5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3 of 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1:F36"/>
  <sheetViews>
    <sheetView showGridLines="0" zoomScaleNormal="100" workbookViewId="0">
      <selection activeCell="E31" sqref="E31"/>
    </sheetView>
  </sheetViews>
  <sheetFormatPr defaultColWidth="8.5546875" defaultRowHeight="12.75"/>
  <cols>
    <col min="1" max="1" width="3.5546875" style="56" bestFit="1" customWidth="1"/>
    <col min="2" max="2" width="43.77734375" style="520" bestFit="1" customWidth="1"/>
    <col min="3" max="6" width="12.77734375" style="520" customWidth="1"/>
    <col min="7" max="7" width="8.5546875" style="520"/>
    <col min="8" max="8" width="9.109375" style="520" customWidth="1"/>
    <col min="9" max="16384" width="8.5546875" style="520"/>
  </cols>
  <sheetData>
    <row r="1" spans="1:6">
      <c r="B1" s="519"/>
    </row>
    <row r="2" spans="1:6">
      <c r="B2" s="521"/>
    </row>
    <row r="3" spans="1:6" ht="12.75" customHeight="1">
      <c r="A3" s="774" t="s">
        <v>0</v>
      </c>
      <c r="B3" s="774"/>
      <c r="C3" s="774"/>
      <c r="D3" s="774"/>
      <c r="E3" s="774"/>
      <c r="F3" s="774"/>
    </row>
    <row r="4" spans="1:6" ht="12.75" customHeight="1">
      <c r="A4" s="774" t="s">
        <v>36</v>
      </c>
      <c r="B4" s="774"/>
      <c r="C4" s="774"/>
      <c r="D4" s="774"/>
      <c r="E4" s="774"/>
      <c r="F4" s="774"/>
    </row>
    <row r="5" spans="1:6" ht="12.75" customHeight="1">
      <c r="A5" s="774" t="s">
        <v>598</v>
      </c>
      <c r="B5" s="774"/>
      <c r="C5" s="774"/>
      <c r="D5" s="774"/>
      <c r="E5" s="774"/>
      <c r="F5" s="774"/>
    </row>
    <row r="6" spans="1:6" ht="12.75" customHeight="1">
      <c r="C6" s="522"/>
      <c r="D6" s="523"/>
    </row>
    <row r="7" spans="1:6" ht="12.75" customHeight="1">
      <c r="B7" s="56" t="s">
        <v>2</v>
      </c>
      <c r="C7" s="56" t="s">
        <v>3</v>
      </c>
      <c r="D7" s="56" t="s">
        <v>4</v>
      </c>
      <c r="E7" s="56" t="s">
        <v>5</v>
      </c>
      <c r="F7" s="56" t="s">
        <v>6</v>
      </c>
    </row>
    <row r="9" spans="1:6" ht="25.5">
      <c r="A9" s="524" t="s">
        <v>37</v>
      </c>
      <c r="B9" s="525" t="s">
        <v>38</v>
      </c>
      <c r="C9" s="526">
        <v>40543</v>
      </c>
      <c r="D9" s="527" t="s">
        <v>39</v>
      </c>
      <c r="E9" s="526">
        <v>40908</v>
      </c>
      <c r="F9" s="57" t="s">
        <v>337</v>
      </c>
    </row>
    <row r="10" spans="1:6">
      <c r="A10" s="528">
        <v>1</v>
      </c>
      <c r="B10" s="523" t="s">
        <v>489</v>
      </c>
      <c r="C10" s="529">
        <f>117400253-15436812-4289958-2136009</f>
        <v>95537474</v>
      </c>
      <c r="D10" s="529">
        <f>E10-C10</f>
        <v>-9657922</v>
      </c>
      <c r="E10" s="529">
        <f>109433240-17014169-3379678-3159841</f>
        <v>85879552</v>
      </c>
      <c r="F10" s="530">
        <f>(C10+E10)/2</f>
        <v>90708513</v>
      </c>
    </row>
    <row r="11" spans="1:6">
      <c r="A11" s="531">
        <f>A10+1</f>
        <v>2</v>
      </c>
      <c r="B11" s="523"/>
      <c r="C11" s="529"/>
      <c r="D11" s="529"/>
      <c r="E11" s="529"/>
      <c r="F11" s="530"/>
    </row>
    <row r="12" spans="1:6">
      <c r="A12" s="531">
        <f t="shared" ref="A12:A18" si="0">A11+1</f>
        <v>3</v>
      </c>
      <c r="B12" s="523" t="s">
        <v>490</v>
      </c>
      <c r="C12" s="529">
        <v>-241616913</v>
      </c>
      <c r="D12" s="529">
        <f>E12-C12</f>
        <v>-15139418</v>
      </c>
      <c r="E12" s="529">
        <v>-256756331</v>
      </c>
      <c r="F12" s="530">
        <f>(C12+E12)/2</f>
        <v>-249186622</v>
      </c>
    </row>
    <row r="13" spans="1:6">
      <c r="A13" s="531">
        <f t="shared" si="0"/>
        <v>4</v>
      </c>
      <c r="B13" s="523"/>
      <c r="C13" s="529"/>
      <c r="D13" s="529"/>
      <c r="E13" s="529"/>
      <c r="F13" s="530"/>
    </row>
    <row r="14" spans="1:6">
      <c r="A14" s="531">
        <f t="shared" si="0"/>
        <v>5</v>
      </c>
      <c r="B14" s="523" t="s">
        <v>491</v>
      </c>
      <c r="C14" s="529">
        <f>C16-C15</f>
        <v>-22022820.34</v>
      </c>
      <c r="D14" s="529">
        <f>E14-C14</f>
        <v>7001881</v>
      </c>
      <c r="E14" s="529">
        <f>E16-E15</f>
        <v>-15020939.34</v>
      </c>
      <c r="F14" s="530">
        <f>(C14+E14)/2</f>
        <v>-18521879.84</v>
      </c>
    </row>
    <row r="15" spans="1:6">
      <c r="A15" s="531">
        <f t="shared" si="0"/>
        <v>6</v>
      </c>
      <c r="B15" s="523" t="s">
        <v>492</v>
      </c>
      <c r="C15" s="532">
        <v>6678.34</v>
      </c>
      <c r="D15" s="532">
        <v>6678</v>
      </c>
      <c r="E15" s="532">
        <f>C15-D15</f>
        <v>0.34000000000014552</v>
      </c>
      <c r="F15" s="533">
        <f>(C15+E15)/2</f>
        <v>3339.34</v>
      </c>
    </row>
    <row r="16" spans="1:6">
      <c r="A16" s="531">
        <f t="shared" si="0"/>
        <v>7</v>
      </c>
      <c r="B16" s="534" t="s">
        <v>336</v>
      </c>
      <c r="C16" s="529">
        <v>-22016142</v>
      </c>
      <c r="D16" s="529">
        <f>+SUM(D14:D15)</f>
        <v>7008559</v>
      </c>
      <c r="E16" s="529">
        <v>-15020939</v>
      </c>
      <c r="F16" s="535">
        <f>+SUM(F14:F15)</f>
        <v>-18518540.5</v>
      </c>
    </row>
    <row r="17" spans="1:6">
      <c r="A17" s="531">
        <f t="shared" si="0"/>
        <v>8</v>
      </c>
      <c r="B17" s="534"/>
      <c r="C17" s="529"/>
      <c r="D17" s="529"/>
      <c r="E17" s="536"/>
      <c r="F17" s="537"/>
    </row>
    <row r="18" spans="1:6">
      <c r="A18" s="531">
        <f t="shared" si="0"/>
        <v>9</v>
      </c>
      <c r="B18" s="538" t="s">
        <v>338</v>
      </c>
      <c r="C18" s="539">
        <f>SUM(C10:C12)+C16</f>
        <v>-168095581</v>
      </c>
      <c r="D18" s="539">
        <f>SUM(D10:D12)+D16</f>
        <v>-17788781</v>
      </c>
      <c r="E18" s="540">
        <f>SUM(E10:E12)+E16</f>
        <v>-185897718</v>
      </c>
      <c r="F18" s="541">
        <f>SUM(F10:F12)+F16</f>
        <v>-176996649.5</v>
      </c>
    </row>
    <row r="19" spans="1:6">
      <c r="A19" s="542"/>
      <c r="B19" s="543"/>
      <c r="C19" s="544"/>
      <c r="D19" s="544"/>
      <c r="E19" s="544"/>
      <c r="F19" s="545"/>
    </row>
    <row r="20" spans="1:6">
      <c r="C20" s="546"/>
      <c r="D20" s="546"/>
      <c r="E20" s="546"/>
    </row>
    <row r="21" spans="1:6">
      <c r="B21" s="547"/>
      <c r="C21" s="548"/>
      <c r="E21" s="549"/>
    </row>
    <row r="22" spans="1:6">
      <c r="B22" s="523"/>
      <c r="C22" s="548"/>
    </row>
    <row r="23" spans="1:6">
      <c r="B23" s="523"/>
      <c r="C23" s="548"/>
    </row>
    <row r="24" spans="1:6">
      <c r="B24" s="523"/>
      <c r="C24" s="548"/>
    </row>
    <row r="25" spans="1:6">
      <c r="B25" s="523"/>
      <c r="C25" s="548"/>
    </row>
    <row r="26" spans="1:6">
      <c r="B26" s="523"/>
      <c r="C26" s="523"/>
    </row>
    <row r="27" spans="1:6">
      <c r="B27" s="523"/>
      <c r="C27" s="523"/>
    </row>
    <row r="28" spans="1:6">
      <c r="B28" s="523"/>
      <c r="C28" s="548"/>
    </row>
    <row r="29" spans="1:6">
      <c r="B29" s="523"/>
      <c r="C29" s="548"/>
    </row>
    <row r="30" spans="1:6">
      <c r="B30" s="523"/>
      <c r="C30" s="548"/>
    </row>
    <row r="31" spans="1:6">
      <c r="B31" s="523"/>
      <c r="C31" s="548"/>
    </row>
    <row r="32" spans="1:6">
      <c r="B32" s="523"/>
      <c r="C32" s="548"/>
    </row>
    <row r="33" spans="2:3">
      <c r="B33" s="523"/>
      <c r="C33" s="548"/>
    </row>
    <row r="34" spans="2:3">
      <c r="B34" s="523"/>
      <c r="C34" s="523"/>
    </row>
    <row r="35" spans="2:3">
      <c r="B35" s="523"/>
      <c r="C35" s="550"/>
    </row>
    <row r="36" spans="2:3">
      <c r="B36" s="523"/>
      <c r="C36" s="550"/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76" orientation="portrait" r:id="rId1"/>
  <headerFooter alignWithMargins="0">
    <oddHeader>&amp;R&amp;"Arial,Regular"&amp;10Attachment O Work Paper
Page 4 of 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P30"/>
  <sheetViews>
    <sheetView showGridLines="0" zoomScaleNormal="100" workbookViewId="0">
      <selection activeCell="B15" sqref="B15"/>
    </sheetView>
  </sheetViews>
  <sheetFormatPr defaultRowHeight="12.75"/>
  <cols>
    <col min="1" max="1" width="3.6640625" style="80" customWidth="1"/>
    <col min="2" max="2" width="18.6640625" style="81" bestFit="1" customWidth="1"/>
    <col min="3" max="5" width="15.77734375" style="81" customWidth="1"/>
    <col min="6" max="6" width="12.77734375" style="81" customWidth="1"/>
    <col min="7" max="16" width="9.109375" style="81" customWidth="1"/>
    <col min="17" max="16384" width="8.88671875" style="81"/>
  </cols>
  <sheetData>
    <row r="4" spans="1:16">
      <c r="A4" s="775" t="s">
        <v>0</v>
      </c>
      <c r="B4" s="775"/>
      <c r="C4" s="775"/>
      <c r="D4" s="775"/>
      <c r="E4" s="775"/>
      <c r="F4" s="775"/>
    </row>
    <row r="5" spans="1:16">
      <c r="A5" s="775" t="s">
        <v>360</v>
      </c>
      <c r="B5" s="775"/>
      <c r="C5" s="775"/>
      <c r="D5" s="775"/>
      <c r="E5" s="775"/>
      <c r="F5" s="775"/>
    </row>
    <row r="6" spans="1:16">
      <c r="A6" s="775" t="s">
        <v>597</v>
      </c>
      <c r="B6" s="775"/>
      <c r="C6" s="775"/>
      <c r="D6" s="775"/>
      <c r="E6" s="775"/>
      <c r="F6" s="775"/>
    </row>
    <row r="8" spans="1:16">
      <c r="B8" s="80" t="s">
        <v>2</v>
      </c>
      <c r="C8" s="80" t="s">
        <v>3</v>
      </c>
      <c r="D8" s="80" t="s">
        <v>4</v>
      </c>
      <c r="E8" s="80" t="s">
        <v>5</v>
      </c>
      <c r="F8" s="80" t="s">
        <v>6</v>
      </c>
    </row>
    <row r="10" spans="1:16">
      <c r="A10" s="82"/>
      <c r="B10" s="107"/>
      <c r="C10" s="83" t="s">
        <v>353</v>
      </c>
      <c r="D10" s="83" t="s">
        <v>354</v>
      </c>
      <c r="E10" s="83" t="s">
        <v>355</v>
      </c>
      <c r="F10" s="84"/>
    </row>
    <row r="11" spans="1:16">
      <c r="A11" s="92" t="s">
        <v>9</v>
      </c>
      <c r="B11" s="85"/>
      <c r="C11" s="86" t="s">
        <v>361</v>
      </c>
      <c r="D11" s="86" t="s">
        <v>361</v>
      </c>
      <c r="E11" s="86" t="s">
        <v>361</v>
      </c>
      <c r="F11" s="87"/>
    </row>
    <row r="12" spans="1:16">
      <c r="A12" s="88" t="s">
        <v>10</v>
      </c>
      <c r="B12" s="108" t="s">
        <v>41</v>
      </c>
      <c r="C12" s="89" t="s">
        <v>356</v>
      </c>
      <c r="D12" s="89" t="s">
        <v>357</v>
      </c>
      <c r="E12" s="89" t="s">
        <v>358</v>
      </c>
      <c r="F12" s="90" t="s">
        <v>15</v>
      </c>
    </row>
    <row r="13" spans="1:16">
      <c r="A13" s="82">
        <v>1</v>
      </c>
      <c r="B13" s="109" t="s">
        <v>552</v>
      </c>
      <c r="C13" s="307">
        <v>0</v>
      </c>
      <c r="D13" s="307">
        <v>0</v>
      </c>
      <c r="E13" s="307">
        <v>0</v>
      </c>
      <c r="F13" s="308">
        <f t="shared" ref="F13:F25" si="0">+SUM(C13:E13)</f>
        <v>0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6" s="91" customFormat="1">
      <c r="A14" s="92">
        <f>+A13+1</f>
        <v>2</v>
      </c>
      <c r="B14" s="93" t="s">
        <v>553</v>
      </c>
      <c r="C14" s="307">
        <v>0</v>
      </c>
      <c r="D14" s="307">
        <v>0</v>
      </c>
      <c r="E14" s="307">
        <v>0</v>
      </c>
      <c r="F14" s="308">
        <f t="shared" si="0"/>
        <v>0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>
      <c r="A15" s="92">
        <f>+A14+1</f>
        <v>3</v>
      </c>
      <c r="B15" s="96" t="s">
        <v>16</v>
      </c>
      <c r="C15" s="307">
        <v>0</v>
      </c>
      <c r="D15" s="307">
        <v>0</v>
      </c>
      <c r="E15" s="307">
        <v>0</v>
      </c>
      <c r="F15" s="308">
        <f t="shared" si="0"/>
        <v>0</v>
      </c>
      <c r="G15" s="91"/>
    </row>
    <row r="16" spans="1:16">
      <c r="A16" s="92">
        <f>+A15+1</f>
        <v>4</v>
      </c>
      <c r="B16" s="96" t="s">
        <v>17</v>
      </c>
      <c r="C16" s="307">
        <v>0</v>
      </c>
      <c r="D16" s="307">
        <v>0</v>
      </c>
      <c r="E16" s="307">
        <v>0</v>
      </c>
      <c r="F16" s="308">
        <f t="shared" si="0"/>
        <v>0</v>
      </c>
    </row>
    <row r="17" spans="1:16">
      <c r="A17" s="92">
        <f>+A16+1</f>
        <v>5</v>
      </c>
      <c r="B17" s="96" t="s">
        <v>18</v>
      </c>
      <c r="C17" s="307">
        <v>0</v>
      </c>
      <c r="D17" s="307">
        <v>0</v>
      </c>
      <c r="E17" s="307">
        <v>0</v>
      </c>
      <c r="F17" s="308">
        <f t="shared" si="0"/>
        <v>0</v>
      </c>
    </row>
    <row r="18" spans="1:16">
      <c r="A18" s="92">
        <f>+A17+1</f>
        <v>6</v>
      </c>
      <c r="B18" s="96" t="s">
        <v>19</v>
      </c>
      <c r="C18" s="307">
        <v>0</v>
      </c>
      <c r="D18" s="307">
        <v>0</v>
      </c>
      <c r="E18" s="307">
        <v>0</v>
      </c>
      <c r="F18" s="308">
        <f t="shared" si="0"/>
        <v>0</v>
      </c>
      <c r="G18" s="91"/>
      <c r="H18" s="91"/>
      <c r="I18" s="91"/>
      <c r="J18" s="91"/>
      <c r="K18" s="91"/>
      <c r="L18" s="91"/>
      <c r="M18" s="91"/>
    </row>
    <row r="19" spans="1:16">
      <c r="A19" s="92">
        <f t="shared" ref="A19:A27" si="1">+A18+1</f>
        <v>7</v>
      </c>
      <c r="B19" s="96" t="s">
        <v>20</v>
      </c>
      <c r="C19" s="307">
        <v>0</v>
      </c>
      <c r="D19" s="307">
        <v>0</v>
      </c>
      <c r="E19" s="307">
        <v>0</v>
      </c>
      <c r="F19" s="308">
        <f t="shared" si="0"/>
        <v>0</v>
      </c>
      <c r="I19" s="91"/>
      <c r="J19" s="91"/>
      <c r="K19" s="91"/>
      <c r="L19" s="91"/>
      <c r="M19" s="91"/>
      <c r="N19" s="91"/>
      <c r="O19" s="91"/>
      <c r="P19" s="91"/>
    </row>
    <row r="20" spans="1:16">
      <c r="A20" s="92">
        <f t="shared" si="1"/>
        <v>8</v>
      </c>
      <c r="B20" s="96" t="s">
        <v>21</v>
      </c>
      <c r="C20" s="307">
        <v>0</v>
      </c>
      <c r="D20" s="307">
        <v>0</v>
      </c>
      <c r="E20" s="307">
        <v>0</v>
      </c>
      <c r="F20" s="308">
        <f t="shared" si="0"/>
        <v>0</v>
      </c>
    </row>
    <row r="21" spans="1:16">
      <c r="A21" s="92">
        <f t="shared" si="1"/>
        <v>9</v>
      </c>
      <c r="B21" s="96" t="s">
        <v>22</v>
      </c>
      <c r="C21" s="307">
        <v>0</v>
      </c>
      <c r="D21" s="307">
        <v>0</v>
      </c>
      <c r="E21" s="307">
        <v>0</v>
      </c>
      <c r="F21" s="308">
        <f t="shared" si="0"/>
        <v>0</v>
      </c>
    </row>
    <row r="22" spans="1:16">
      <c r="A22" s="92">
        <f t="shared" si="1"/>
        <v>10</v>
      </c>
      <c r="B22" s="96" t="s">
        <v>23</v>
      </c>
      <c r="C22" s="307">
        <v>0</v>
      </c>
      <c r="D22" s="307">
        <v>0</v>
      </c>
      <c r="E22" s="307">
        <v>0</v>
      </c>
      <c r="F22" s="308">
        <f t="shared" si="0"/>
        <v>0</v>
      </c>
      <c r="G22" s="91"/>
      <c r="H22" s="94"/>
    </row>
    <row r="23" spans="1:16">
      <c r="A23" s="92">
        <f t="shared" si="1"/>
        <v>11</v>
      </c>
      <c r="B23" s="96" t="s">
        <v>24</v>
      </c>
      <c r="C23" s="307">
        <v>0</v>
      </c>
      <c r="D23" s="307">
        <v>0</v>
      </c>
      <c r="E23" s="307">
        <v>0</v>
      </c>
      <c r="F23" s="308">
        <f t="shared" si="0"/>
        <v>0</v>
      </c>
    </row>
    <row r="24" spans="1:16">
      <c r="A24" s="92">
        <f t="shared" si="1"/>
        <v>12</v>
      </c>
      <c r="B24" s="96" t="s">
        <v>25</v>
      </c>
      <c r="C24" s="307">
        <v>0</v>
      </c>
      <c r="D24" s="307">
        <v>0</v>
      </c>
      <c r="E24" s="307">
        <v>0</v>
      </c>
      <c r="F24" s="308">
        <f t="shared" si="0"/>
        <v>0</v>
      </c>
    </row>
    <row r="25" spans="1:16">
      <c r="A25" s="92">
        <f t="shared" si="1"/>
        <v>13</v>
      </c>
      <c r="B25" s="96" t="s">
        <v>26</v>
      </c>
      <c r="C25" s="307">
        <v>0</v>
      </c>
      <c r="D25" s="307">
        <v>0</v>
      </c>
      <c r="E25" s="307">
        <v>0</v>
      </c>
      <c r="F25" s="308">
        <f t="shared" si="0"/>
        <v>0</v>
      </c>
    </row>
    <row r="26" spans="1:16">
      <c r="A26" s="92">
        <f t="shared" si="1"/>
        <v>14</v>
      </c>
      <c r="B26" s="96"/>
      <c r="C26" s="309"/>
      <c r="D26" s="309"/>
      <c r="E26" s="309"/>
      <c r="F26" s="310"/>
    </row>
    <row r="27" spans="1:16">
      <c r="A27" s="92">
        <f t="shared" si="1"/>
        <v>15</v>
      </c>
      <c r="B27" s="97" t="s">
        <v>27</v>
      </c>
      <c r="C27" s="311">
        <f>+AVERAGE(C13:C25)</f>
        <v>0</v>
      </c>
      <c r="D27" s="311">
        <f>+AVERAGE(D13:D25)</f>
        <v>0</v>
      </c>
      <c r="E27" s="311">
        <f>+AVERAGE(E13:E25)</f>
        <v>0</v>
      </c>
      <c r="F27" s="312">
        <f>+SUM(C27:E27)</f>
        <v>0</v>
      </c>
    </row>
    <row r="28" spans="1:16">
      <c r="A28" s="98"/>
      <c r="B28" s="110"/>
      <c r="C28" s="99"/>
      <c r="D28" s="99"/>
      <c r="E28" s="99"/>
      <c r="F28" s="100"/>
    </row>
    <row r="30" spans="1:16">
      <c r="B30" s="81" t="s">
        <v>538</v>
      </c>
    </row>
  </sheetData>
  <mergeCells count="3">
    <mergeCell ref="A4:F4"/>
    <mergeCell ref="A5:F5"/>
    <mergeCell ref="A6:F6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5 of 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3:E149"/>
  <sheetViews>
    <sheetView showGridLines="0" zoomScaleNormal="100" workbookViewId="0">
      <selection activeCell="C31" sqref="C31"/>
    </sheetView>
  </sheetViews>
  <sheetFormatPr defaultRowHeight="12.75"/>
  <cols>
    <col min="1" max="1" width="3.44140625" style="1" bestFit="1" customWidth="1"/>
    <col min="2" max="2" width="18.6640625" style="1" bestFit="1" customWidth="1"/>
    <col min="3" max="5" width="10.77734375" style="1" customWidth="1"/>
    <col min="6" max="10" width="11.5546875" style="1" bestFit="1" customWidth="1"/>
    <col min="11" max="16384" width="8.88671875" style="1"/>
  </cols>
  <sheetData>
    <row r="3" spans="1:5">
      <c r="A3" s="773" t="s">
        <v>0</v>
      </c>
      <c r="B3" s="773"/>
      <c r="C3" s="773"/>
      <c r="D3" s="773"/>
      <c r="E3" s="773"/>
    </row>
    <row r="4" spans="1:5">
      <c r="A4" s="773" t="s">
        <v>35</v>
      </c>
      <c r="B4" s="773"/>
      <c r="C4" s="773"/>
      <c r="D4" s="773"/>
      <c r="E4" s="773"/>
    </row>
    <row r="5" spans="1:5">
      <c r="A5" s="773" t="s">
        <v>597</v>
      </c>
      <c r="B5" s="773"/>
      <c r="C5" s="773"/>
      <c r="D5" s="773"/>
      <c r="E5" s="773"/>
    </row>
    <row r="6" spans="1:5">
      <c r="A6" s="2"/>
    </row>
    <row r="7" spans="1:5" s="3" customFormat="1">
      <c r="A7" s="465"/>
      <c r="B7" s="3" t="s">
        <v>2</v>
      </c>
      <c r="C7" s="3" t="s">
        <v>3</v>
      </c>
      <c r="D7" s="3" t="s">
        <v>4</v>
      </c>
      <c r="E7" s="3" t="s">
        <v>5</v>
      </c>
    </row>
    <row r="9" spans="1:5">
      <c r="A9" s="4" t="s">
        <v>9</v>
      </c>
      <c r="B9" s="5"/>
      <c r="C9" s="7"/>
      <c r="D9" s="8"/>
      <c r="E9" s="9"/>
    </row>
    <row r="10" spans="1:5">
      <c r="A10" s="10" t="s">
        <v>10</v>
      </c>
      <c r="B10" s="11" t="s">
        <v>41</v>
      </c>
      <c r="C10" s="12" t="s">
        <v>12</v>
      </c>
      <c r="D10" s="12" t="s">
        <v>13</v>
      </c>
      <c r="E10" s="13" t="s">
        <v>15</v>
      </c>
    </row>
    <row r="11" spans="1:5">
      <c r="A11" s="4">
        <v>1</v>
      </c>
      <c r="B11" s="14" t="s">
        <v>552</v>
      </c>
      <c r="C11" s="486">
        <v>9037</v>
      </c>
      <c r="D11" s="15">
        <v>20618.75</v>
      </c>
      <c r="E11" s="16">
        <f t="shared" ref="E11:E23" si="0">+SUM(C11:D11)</f>
        <v>29655.75</v>
      </c>
    </row>
    <row r="12" spans="1:5">
      <c r="A12" s="17">
        <f t="shared" ref="A12:A25" si="1">+A11+1</f>
        <v>2</v>
      </c>
      <c r="B12" s="18" t="s">
        <v>553</v>
      </c>
      <c r="C12" s="486">
        <v>9037</v>
      </c>
      <c r="D12" s="15">
        <v>20618.75</v>
      </c>
      <c r="E12" s="16">
        <f t="shared" si="0"/>
        <v>29655.75</v>
      </c>
    </row>
    <row r="13" spans="1:5">
      <c r="A13" s="17">
        <f t="shared" si="1"/>
        <v>3</v>
      </c>
      <c r="B13" s="19" t="s">
        <v>16</v>
      </c>
      <c r="C13" s="486">
        <v>9037</v>
      </c>
      <c r="D13" s="15">
        <v>20618.75</v>
      </c>
      <c r="E13" s="16">
        <f t="shared" si="0"/>
        <v>29655.75</v>
      </c>
    </row>
    <row r="14" spans="1:5">
      <c r="A14" s="17">
        <f t="shared" si="1"/>
        <v>4</v>
      </c>
      <c r="B14" s="19" t="s">
        <v>17</v>
      </c>
      <c r="C14" s="486">
        <v>9037</v>
      </c>
      <c r="D14" s="15">
        <v>20618.75</v>
      </c>
      <c r="E14" s="16">
        <f t="shared" si="0"/>
        <v>29655.75</v>
      </c>
    </row>
    <row r="15" spans="1:5">
      <c r="A15" s="17">
        <f t="shared" si="1"/>
        <v>5</v>
      </c>
      <c r="B15" s="19" t="s">
        <v>18</v>
      </c>
      <c r="C15" s="486">
        <v>9037</v>
      </c>
      <c r="D15" s="15">
        <v>20618.75</v>
      </c>
      <c r="E15" s="16">
        <f t="shared" si="0"/>
        <v>29655.75</v>
      </c>
    </row>
    <row r="16" spans="1:5">
      <c r="A16" s="17">
        <f t="shared" si="1"/>
        <v>6</v>
      </c>
      <c r="B16" s="19" t="s">
        <v>19</v>
      </c>
      <c r="C16" s="486">
        <v>9037</v>
      </c>
      <c r="D16" s="15">
        <v>20618.75</v>
      </c>
      <c r="E16" s="16">
        <f t="shared" si="0"/>
        <v>29655.75</v>
      </c>
    </row>
    <row r="17" spans="1:5">
      <c r="A17" s="17">
        <f t="shared" si="1"/>
        <v>7</v>
      </c>
      <c r="B17" s="19" t="s">
        <v>20</v>
      </c>
      <c r="C17" s="486">
        <v>9037</v>
      </c>
      <c r="D17" s="15">
        <v>20618.75</v>
      </c>
      <c r="E17" s="16">
        <f t="shared" si="0"/>
        <v>29655.75</v>
      </c>
    </row>
    <row r="18" spans="1:5">
      <c r="A18" s="17">
        <f t="shared" si="1"/>
        <v>8</v>
      </c>
      <c r="B18" s="19" t="s">
        <v>21</v>
      </c>
      <c r="C18" s="486">
        <v>9037</v>
      </c>
      <c r="D18" s="15">
        <v>20618.75</v>
      </c>
      <c r="E18" s="16">
        <f t="shared" si="0"/>
        <v>29655.75</v>
      </c>
    </row>
    <row r="19" spans="1:5">
      <c r="A19" s="17">
        <f t="shared" si="1"/>
        <v>9</v>
      </c>
      <c r="B19" s="19" t="s">
        <v>22</v>
      </c>
      <c r="C19" s="486">
        <v>9037</v>
      </c>
      <c r="D19" s="15">
        <v>20618.75</v>
      </c>
      <c r="E19" s="16">
        <f t="shared" si="0"/>
        <v>29655.75</v>
      </c>
    </row>
    <row r="20" spans="1:5">
      <c r="A20" s="17">
        <f t="shared" si="1"/>
        <v>10</v>
      </c>
      <c r="B20" s="19" t="s">
        <v>23</v>
      </c>
      <c r="C20" s="486">
        <v>9037</v>
      </c>
      <c r="D20" s="15">
        <v>20618.75</v>
      </c>
      <c r="E20" s="16">
        <f t="shared" si="0"/>
        <v>29655.75</v>
      </c>
    </row>
    <row r="21" spans="1:5">
      <c r="A21" s="17">
        <f t="shared" si="1"/>
        <v>11</v>
      </c>
      <c r="B21" s="19" t="s">
        <v>24</v>
      </c>
      <c r="C21" s="486">
        <v>9037</v>
      </c>
      <c r="D21" s="15">
        <v>20618.75</v>
      </c>
      <c r="E21" s="16">
        <f t="shared" si="0"/>
        <v>29655.75</v>
      </c>
    </row>
    <row r="22" spans="1:5">
      <c r="A22" s="17">
        <f t="shared" si="1"/>
        <v>12</v>
      </c>
      <c r="B22" s="19" t="s">
        <v>25</v>
      </c>
      <c r="C22" s="486">
        <v>9037</v>
      </c>
      <c r="D22" s="15">
        <v>20618.75</v>
      </c>
      <c r="E22" s="16">
        <f t="shared" si="0"/>
        <v>29655.75</v>
      </c>
    </row>
    <row r="23" spans="1:5">
      <c r="A23" s="17">
        <f t="shared" si="1"/>
        <v>13</v>
      </c>
      <c r="B23" s="19" t="s">
        <v>26</v>
      </c>
      <c r="C23" s="486">
        <v>9037</v>
      </c>
      <c r="D23" s="15">
        <v>20618.75</v>
      </c>
      <c r="E23" s="16">
        <f t="shared" si="0"/>
        <v>29655.75</v>
      </c>
    </row>
    <row r="24" spans="1:5">
      <c r="A24" s="17">
        <f t="shared" si="1"/>
        <v>14</v>
      </c>
      <c r="B24" s="19"/>
      <c r="C24" s="15"/>
      <c r="D24" s="15"/>
      <c r="E24" s="16"/>
    </row>
    <row r="25" spans="1:5">
      <c r="A25" s="17">
        <f t="shared" si="1"/>
        <v>15</v>
      </c>
      <c r="B25" s="106" t="s">
        <v>27</v>
      </c>
      <c r="C25" s="102">
        <f>AVERAGE(C11:C23)</f>
        <v>9037</v>
      </c>
      <c r="D25" s="20">
        <f>AVERAGE(D11:D23)</f>
        <v>20618.75</v>
      </c>
      <c r="E25" s="21">
        <f>AVERAGE(E11:E23)</f>
        <v>29655.75</v>
      </c>
    </row>
    <row r="26" spans="1:5">
      <c r="A26" s="17"/>
      <c r="B26" s="22"/>
      <c r="C26" s="23"/>
      <c r="D26" s="23"/>
      <c r="E26" s="24"/>
    </row>
    <row r="27" spans="1:5">
      <c r="A27" s="25"/>
    </row>
    <row r="28" spans="1:5">
      <c r="A28" s="26"/>
    </row>
    <row r="29" spans="1:5">
      <c r="A29" s="26"/>
    </row>
    <row r="30" spans="1:5" s="15" customFormat="1">
      <c r="A30" s="27"/>
    </row>
    <row r="31" spans="1:5" s="15" customFormat="1">
      <c r="A31" s="27"/>
    </row>
    <row r="32" spans="1:5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>
      <c r="A63" s="26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  <row r="103" spans="1:1">
      <c r="A103" s="26"/>
    </row>
    <row r="104" spans="1:1">
      <c r="A104" s="26"/>
    </row>
    <row r="105" spans="1:1">
      <c r="A105" s="26"/>
    </row>
    <row r="106" spans="1:1">
      <c r="A106" s="26"/>
    </row>
    <row r="107" spans="1:1">
      <c r="A107" s="26"/>
    </row>
    <row r="108" spans="1:1">
      <c r="A108" s="26"/>
    </row>
    <row r="109" spans="1:1">
      <c r="A109" s="26"/>
    </row>
    <row r="110" spans="1:1">
      <c r="A110" s="26"/>
    </row>
    <row r="111" spans="1:1">
      <c r="A111" s="26"/>
    </row>
    <row r="112" spans="1:1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6"/>
    </row>
    <row r="127" spans="1:1">
      <c r="A127" s="26"/>
    </row>
    <row r="128" spans="1:1">
      <c r="A128" s="26"/>
    </row>
    <row r="129" spans="1:1">
      <c r="A129" s="26"/>
    </row>
    <row r="130" spans="1:1">
      <c r="A130" s="26"/>
    </row>
    <row r="131" spans="1:1">
      <c r="A131" s="26"/>
    </row>
    <row r="132" spans="1:1">
      <c r="A132" s="26"/>
    </row>
    <row r="133" spans="1:1">
      <c r="A133" s="26"/>
    </row>
    <row r="134" spans="1:1">
      <c r="A134" s="26"/>
    </row>
    <row r="135" spans="1:1">
      <c r="A135" s="26"/>
    </row>
    <row r="136" spans="1:1">
      <c r="A136" s="26"/>
    </row>
    <row r="137" spans="1:1">
      <c r="A137" s="26"/>
    </row>
    <row r="138" spans="1:1">
      <c r="A138" s="26"/>
    </row>
    <row r="139" spans="1:1">
      <c r="A139" s="26"/>
    </row>
    <row r="140" spans="1:1">
      <c r="A140" s="26"/>
    </row>
    <row r="141" spans="1:1">
      <c r="A141" s="26"/>
    </row>
    <row r="142" spans="1:1">
      <c r="A142" s="26"/>
    </row>
    <row r="143" spans="1:1">
      <c r="A143" s="26"/>
    </row>
    <row r="144" spans="1:1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</sheetData>
  <mergeCells count="3">
    <mergeCell ref="A3:E3"/>
    <mergeCell ref="A4:E4"/>
    <mergeCell ref="A5:E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6 of 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P34"/>
  <sheetViews>
    <sheetView showGridLines="0" zoomScaleNormal="100" workbookViewId="0">
      <selection activeCell="F19" sqref="F19"/>
    </sheetView>
  </sheetViews>
  <sheetFormatPr defaultRowHeight="12.75"/>
  <cols>
    <col min="1" max="1" width="3.44140625" style="28" bestFit="1" customWidth="1"/>
    <col min="2" max="2" width="13.5546875" style="29" bestFit="1" customWidth="1"/>
    <col min="3" max="5" width="11.21875" style="29" customWidth="1"/>
    <col min="6" max="6" width="12.33203125" style="29" bestFit="1" customWidth="1"/>
    <col min="7" max="9" width="8.33203125" style="29" bestFit="1" customWidth="1"/>
    <col min="10" max="16384" width="8.88671875" style="29"/>
  </cols>
  <sheetData>
    <row r="1" spans="1:16">
      <c r="A1" s="111"/>
    </row>
    <row r="2" spans="1:16">
      <c r="A2" s="111"/>
    </row>
    <row r="3" spans="1:16" ht="15">
      <c r="A3" s="778" t="s">
        <v>0</v>
      </c>
      <c r="B3" s="778"/>
      <c r="C3" s="778"/>
      <c r="D3" s="778"/>
      <c r="E3" s="778"/>
      <c r="F3" s="778"/>
      <c r="G3"/>
      <c r="H3" s="367"/>
      <c r="I3" s="367"/>
      <c r="J3" s="367"/>
      <c r="K3" s="367"/>
      <c r="L3" s="367"/>
      <c r="M3" s="367"/>
      <c r="N3" s="367"/>
      <c r="O3" s="367"/>
      <c r="P3" s="367"/>
    </row>
    <row r="4" spans="1:16" ht="15">
      <c r="A4" s="778" t="s">
        <v>495</v>
      </c>
      <c r="B4" s="778"/>
      <c r="C4" s="778"/>
      <c r="D4" s="778"/>
      <c r="E4" s="778"/>
      <c r="F4" s="778"/>
      <c r="G4"/>
      <c r="H4" s="367"/>
      <c r="I4" s="367"/>
      <c r="J4" s="367"/>
      <c r="K4" s="367"/>
      <c r="L4" s="367"/>
      <c r="M4" s="367"/>
      <c r="N4" s="367"/>
      <c r="O4" s="367"/>
      <c r="P4" s="367"/>
    </row>
    <row r="5" spans="1:16">
      <c r="A5" s="779" t="s">
        <v>597</v>
      </c>
      <c r="B5" s="779"/>
      <c r="C5" s="779"/>
      <c r="D5" s="779"/>
      <c r="E5" s="779"/>
      <c r="F5" s="779"/>
      <c r="G5" s="367"/>
      <c r="H5" s="367"/>
      <c r="I5" s="367"/>
      <c r="J5" s="367"/>
      <c r="K5" s="367"/>
      <c r="L5" s="367"/>
      <c r="M5" s="367"/>
      <c r="N5" s="367"/>
      <c r="O5" s="367"/>
      <c r="P5" s="367"/>
    </row>
    <row r="6" spans="1:16">
      <c r="A6" s="778"/>
      <c r="B6" s="778"/>
      <c r="C6" s="778"/>
      <c r="D6" s="778"/>
      <c r="E6" s="778"/>
      <c r="F6" s="778"/>
      <c r="G6" s="367"/>
      <c r="H6" s="367"/>
      <c r="I6" s="367"/>
      <c r="J6" s="367"/>
      <c r="K6" s="367"/>
      <c r="L6" s="367"/>
      <c r="M6" s="367"/>
      <c r="N6" s="367"/>
      <c r="O6" s="367"/>
      <c r="P6" s="367"/>
    </row>
    <row r="7" spans="1:16">
      <c r="A7" s="111"/>
    </row>
    <row r="8" spans="1:16" ht="15">
      <c r="A8"/>
      <c r="B8" s="369" t="s">
        <v>2</v>
      </c>
      <c r="C8" s="363" t="s">
        <v>3</v>
      </c>
      <c r="D8" s="363"/>
      <c r="E8" s="363" t="s">
        <v>4</v>
      </c>
      <c r="F8" s="363" t="s">
        <v>5</v>
      </c>
      <c r="G8"/>
      <c r="H8"/>
      <c r="I8"/>
      <c r="J8"/>
      <c r="K8"/>
      <c r="L8"/>
      <c r="M8"/>
      <c r="N8"/>
      <c r="O8"/>
      <c r="P8"/>
    </row>
    <row r="9" spans="1:16">
      <c r="A9" s="111"/>
    </row>
    <row r="10" spans="1:16" ht="15">
      <c r="A10" s="370" t="s">
        <v>9</v>
      </c>
      <c r="B10" s="371"/>
      <c r="C10" s="776" t="s">
        <v>40</v>
      </c>
      <c r="D10" s="776"/>
      <c r="E10" s="776"/>
      <c r="F10" s="777"/>
      <c r="G10"/>
      <c r="H10"/>
      <c r="I10"/>
      <c r="J10"/>
      <c r="K10"/>
      <c r="L10"/>
      <c r="M10"/>
      <c r="N10"/>
      <c r="O10"/>
      <c r="P10"/>
    </row>
    <row r="11" spans="1:16" ht="15">
      <c r="A11" s="372" t="s">
        <v>10</v>
      </c>
      <c r="B11" s="373" t="s">
        <v>41</v>
      </c>
      <c r="C11" s="374" t="s">
        <v>11</v>
      </c>
      <c r="D11" s="374" t="s">
        <v>12</v>
      </c>
      <c r="E11" s="374" t="s">
        <v>13</v>
      </c>
      <c r="F11" s="375" t="s">
        <v>42</v>
      </c>
      <c r="G11"/>
      <c r="H11"/>
      <c r="I11"/>
      <c r="J11"/>
      <c r="K11"/>
      <c r="L11"/>
      <c r="M11"/>
      <c r="N11"/>
      <c r="O11"/>
      <c r="P11"/>
    </row>
    <row r="12" spans="1:16" ht="12.75" customHeight="1">
      <c r="A12" s="376">
        <v>1</v>
      </c>
      <c r="B12" s="385" t="s">
        <v>552</v>
      </c>
      <c r="C12" s="365">
        <v>5631543</v>
      </c>
      <c r="D12" s="365">
        <v>3832827</v>
      </c>
      <c r="E12" s="365">
        <v>6727096</v>
      </c>
      <c r="F12" s="378">
        <v>15773008</v>
      </c>
      <c r="G12"/>
      <c r="H12"/>
      <c r="I12"/>
      <c r="J12"/>
      <c r="K12"/>
      <c r="L12"/>
      <c r="M12"/>
      <c r="N12"/>
      <c r="O12"/>
      <c r="P12"/>
    </row>
    <row r="13" spans="1:16" ht="12.75" customHeight="1">
      <c r="A13" s="376">
        <v>2</v>
      </c>
      <c r="B13" s="385" t="s">
        <v>553</v>
      </c>
      <c r="C13" s="365">
        <v>5656317</v>
      </c>
      <c r="D13" s="365">
        <v>3862608</v>
      </c>
      <c r="E13" s="365">
        <v>6792487</v>
      </c>
      <c r="F13" s="378">
        <v>16565387</v>
      </c>
      <c r="G13"/>
      <c r="H13"/>
      <c r="I13"/>
      <c r="J13"/>
      <c r="K13"/>
      <c r="L13"/>
      <c r="M13"/>
      <c r="N13"/>
      <c r="O13"/>
      <c r="P13"/>
    </row>
    <row r="14" spans="1:16" ht="12.75" customHeight="1">
      <c r="A14" s="376">
        <v>3</v>
      </c>
      <c r="B14" s="377" t="s">
        <v>16</v>
      </c>
      <c r="C14" s="365">
        <v>5711525</v>
      </c>
      <c r="D14" s="365">
        <v>3878555</v>
      </c>
      <c r="E14" s="365">
        <v>6854441</v>
      </c>
      <c r="F14" s="378">
        <v>16628891</v>
      </c>
      <c r="G14"/>
      <c r="H14"/>
      <c r="I14"/>
      <c r="J14"/>
      <c r="K14"/>
      <c r="L14"/>
      <c r="M14"/>
      <c r="N14"/>
      <c r="O14"/>
      <c r="P14"/>
    </row>
    <row r="15" spans="1:16" ht="12.75" customHeight="1">
      <c r="A15" s="376">
        <v>4</v>
      </c>
      <c r="B15" s="377" t="s">
        <v>17</v>
      </c>
      <c r="C15" s="365">
        <v>5681822</v>
      </c>
      <c r="D15" s="365">
        <v>3938285</v>
      </c>
      <c r="E15" s="365">
        <v>6708713</v>
      </c>
      <c r="F15" s="378">
        <v>17131393</v>
      </c>
      <c r="G15"/>
      <c r="H15"/>
      <c r="I15"/>
      <c r="J15"/>
      <c r="K15"/>
      <c r="L15"/>
      <c r="M15"/>
      <c r="N15"/>
      <c r="O15"/>
      <c r="P15"/>
    </row>
    <row r="16" spans="1:16" ht="12.75" customHeight="1">
      <c r="A16" s="376">
        <v>5</v>
      </c>
      <c r="B16" s="377" t="s">
        <v>18</v>
      </c>
      <c r="C16" s="365">
        <v>5637631</v>
      </c>
      <c r="D16" s="365">
        <v>3927402</v>
      </c>
      <c r="E16" s="365">
        <v>6719508</v>
      </c>
      <c r="F16" s="378">
        <v>17041745</v>
      </c>
      <c r="G16"/>
      <c r="H16"/>
      <c r="I16"/>
      <c r="J16"/>
      <c r="K16"/>
      <c r="L16"/>
      <c r="M16"/>
      <c r="N16"/>
      <c r="O16"/>
      <c r="P16"/>
    </row>
    <row r="17" spans="1:6">
      <c r="A17" s="376">
        <v>6</v>
      </c>
      <c r="B17" s="377" t="s">
        <v>19</v>
      </c>
      <c r="C17" s="365">
        <v>5697200</v>
      </c>
      <c r="D17" s="365">
        <v>3897269</v>
      </c>
      <c r="E17" s="365">
        <v>6688216</v>
      </c>
      <c r="F17" s="378">
        <v>16670548</v>
      </c>
    </row>
    <row r="18" spans="1:6">
      <c r="A18" s="376">
        <v>7</v>
      </c>
      <c r="B18" s="377" t="s">
        <v>20</v>
      </c>
      <c r="C18" s="365">
        <v>5696647</v>
      </c>
      <c r="D18" s="365">
        <v>3924039</v>
      </c>
      <c r="E18" s="365">
        <v>6710124</v>
      </c>
      <c r="F18" s="378">
        <v>16307375</v>
      </c>
    </row>
    <row r="19" spans="1:6">
      <c r="A19" s="376">
        <v>8</v>
      </c>
      <c r="B19" s="377" t="s">
        <v>21</v>
      </c>
      <c r="C19" s="365">
        <v>5731775</v>
      </c>
      <c r="D19" s="365">
        <v>3776284</v>
      </c>
      <c r="E19" s="365">
        <v>6883801</v>
      </c>
      <c r="F19" s="378">
        <v>16323472</v>
      </c>
    </row>
    <row r="20" spans="1:6">
      <c r="A20" s="376">
        <v>9</v>
      </c>
      <c r="B20" s="377" t="s">
        <v>22</v>
      </c>
      <c r="C20" s="365">
        <v>5746781</v>
      </c>
      <c r="D20" s="365">
        <v>3893757</v>
      </c>
      <c r="E20" s="365">
        <v>6545920</v>
      </c>
      <c r="F20" s="378">
        <v>15965380</v>
      </c>
    </row>
    <row r="21" spans="1:6">
      <c r="A21" s="376">
        <v>10</v>
      </c>
      <c r="B21" s="377" t="s">
        <v>23</v>
      </c>
      <c r="C21" s="365">
        <v>5764286</v>
      </c>
      <c r="D21" s="365">
        <v>3992297</v>
      </c>
      <c r="E21" s="365">
        <v>6411832</v>
      </c>
      <c r="F21" s="378">
        <v>16205551</v>
      </c>
    </row>
    <row r="22" spans="1:6">
      <c r="A22" s="376">
        <v>11</v>
      </c>
      <c r="B22" s="377" t="s">
        <v>24</v>
      </c>
      <c r="C22" s="365">
        <v>5960258</v>
      </c>
      <c r="D22" s="365">
        <v>3921562</v>
      </c>
      <c r="E22" s="365">
        <v>6272966</v>
      </c>
      <c r="F22" s="378">
        <v>16316458</v>
      </c>
    </row>
    <row r="23" spans="1:6">
      <c r="A23" s="376">
        <v>12</v>
      </c>
      <c r="B23" s="377" t="s">
        <v>25</v>
      </c>
      <c r="C23" s="365">
        <v>5661679</v>
      </c>
      <c r="D23" s="365">
        <v>3989408</v>
      </c>
      <c r="E23" s="365">
        <v>6200604</v>
      </c>
      <c r="F23" s="378">
        <v>16409540</v>
      </c>
    </row>
    <row r="24" spans="1:6">
      <c r="A24" s="376">
        <v>13</v>
      </c>
      <c r="B24" s="377" t="s">
        <v>26</v>
      </c>
      <c r="C24" s="368">
        <v>5571420</v>
      </c>
      <c r="D24" s="368">
        <v>3983548</v>
      </c>
      <c r="E24" s="368">
        <v>6206763</v>
      </c>
      <c r="F24" s="379">
        <v>16476157</v>
      </c>
    </row>
    <row r="25" spans="1:6">
      <c r="A25" s="376">
        <v>14</v>
      </c>
      <c r="B25" s="377"/>
      <c r="C25" s="364"/>
      <c r="D25" s="364"/>
      <c r="E25" s="364"/>
      <c r="F25" s="380"/>
    </row>
    <row r="26" spans="1:6">
      <c r="A26" s="376">
        <v>15</v>
      </c>
      <c r="B26" s="381" t="s">
        <v>15</v>
      </c>
      <c r="C26" s="368">
        <v>72247932</v>
      </c>
      <c r="D26" s="368">
        <v>49200083</v>
      </c>
      <c r="E26" s="368">
        <v>92366890</v>
      </c>
      <c r="F26" s="379">
        <v>213814905</v>
      </c>
    </row>
    <row r="27" spans="1:6">
      <c r="A27" s="376">
        <v>16</v>
      </c>
      <c r="B27" s="381"/>
      <c r="C27" s="365"/>
      <c r="D27" s="365"/>
      <c r="E27" s="365"/>
      <c r="F27" s="378"/>
    </row>
    <row r="28" spans="1:6" ht="13.5" thickBot="1">
      <c r="A28" s="376">
        <v>17</v>
      </c>
      <c r="B28" s="381" t="s">
        <v>27</v>
      </c>
      <c r="C28" s="388">
        <f>AVERAGE(C12:C24)</f>
        <v>5703760.307692308</v>
      </c>
      <c r="D28" s="387">
        <f>AVERAGE(D12:D24)</f>
        <v>3909064.6923076925</v>
      </c>
      <c r="E28" s="388">
        <f>AVERAGE(E12:E24)</f>
        <v>6594036.230769231</v>
      </c>
      <c r="F28" s="362">
        <f>AVERAGE(F12:F24)</f>
        <v>16447300.384615384</v>
      </c>
    </row>
    <row r="29" spans="1:6" ht="13.5" thickTop="1">
      <c r="A29" s="376"/>
      <c r="B29" s="381"/>
      <c r="C29" s="365"/>
      <c r="D29" s="365"/>
      <c r="E29" s="365"/>
      <c r="F29" s="378"/>
    </row>
    <row r="30" spans="1:6">
      <c r="A30" s="372"/>
      <c r="B30" s="382"/>
      <c r="C30" s="383"/>
      <c r="D30" s="383"/>
      <c r="E30" s="383"/>
      <c r="F30" s="384"/>
    </row>
    <row r="31" spans="1:6">
      <c r="A31" s="111"/>
    </row>
    <row r="32" spans="1:6">
      <c r="A32" s="111"/>
    </row>
    <row r="33" spans="1:4">
      <c r="A33" s="111"/>
      <c r="C33" s="30"/>
    </row>
    <row r="34" spans="1:4">
      <c r="A34" s="111"/>
      <c r="C34" s="366"/>
      <c r="D34" s="366"/>
    </row>
  </sheetData>
  <mergeCells count="5">
    <mergeCell ref="C10:F10"/>
    <mergeCell ref="A3:F3"/>
    <mergeCell ref="A4:F4"/>
    <mergeCell ref="A5:F5"/>
    <mergeCell ref="A6:F6"/>
  </mergeCells>
  <printOptions horizontalCentered="1"/>
  <pageMargins left="0.75" right="0.75" top="0.75" bottom="0.75" header="0.5" footer="0.5"/>
  <pageSetup scale="80" orientation="portrait" r:id="rId1"/>
  <headerFooter>
    <oddHeader>&amp;R&amp;"Arial,Regular"&amp;10Attachment O Work Paper
Page 7 of 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Sheet5">
    <pageSetUpPr autoPageBreaks="0"/>
  </sheetPr>
  <dimension ref="A1:F27"/>
  <sheetViews>
    <sheetView showGridLines="0" defaultGridColor="0" colorId="22" zoomScaleNormal="100" workbookViewId="0">
      <selection activeCell="C28" sqref="C28"/>
    </sheetView>
  </sheetViews>
  <sheetFormatPr defaultColWidth="5.6640625" defaultRowHeight="12.75"/>
  <cols>
    <col min="1" max="1" width="3.88671875" style="551" bestFit="1" customWidth="1"/>
    <col min="2" max="2" width="15.44140625" style="552" bestFit="1" customWidth="1"/>
    <col min="3" max="4" width="13.77734375" style="552" customWidth="1"/>
    <col min="5" max="5" width="13.44140625" style="552" bestFit="1" customWidth="1"/>
    <col min="6" max="253" width="9.77734375" style="552" customWidth="1"/>
    <col min="254" max="254" width="3.88671875" style="552" bestFit="1" customWidth="1"/>
    <col min="255" max="255" width="13" style="552" customWidth="1"/>
    <col min="256" max="16384" width="5.6640625" style="552"/>
  </cols>
  <sheetData>
    <row r="1" spans="1:6">
      <c r="D1" s="553"/>
      <c r="E1" s="554"/>
    </row>
    <row r="2" spans="1:6">
      <c r="B2" s="555"/>
      <c r="D2" s="553"/>
      <c r="E2" s="554"/>
    </row>
    <row r="3" spans="1:6" ht="12.75" customHeight="1">
      <c r="A3" s="780" t="s">
        <v>0</v>
      </c>
      <c r="B3" s="781"/>
      <c r="C3" s="781"/>
      <c r="D3" s="781"/>
    </row>
    <row r="4" spans="1:6" ht="12.75" customHeight="1">
      <c r="A4" s="780" t="s">
        <v>43</v>
      </c>
      <c r="B4" s="781"/>
      <c r="C4" s="781"/>
      <c r="D4" s="781"/>
    </row>
    <row r="5" spans="1:6" ht="12.75" customHeight="1">
      <c r="A5" s="782" t="s">
        <v>597</v>
      </c>
      <c r="B5" s="781"/>
      <c r="C5" s="781"/>
      <c r="D5" s="781"/>
    </row>
    <row r="6" spans="1:6">
      <c r="C6" s="556"/>
      <c r="D6" s="556"/>
    </row>
    <row r="7" spans="1:6">
      <c r="B7" s="551" t="s">
        <v>2</v>
      </c>
      <c r="C7" s="557" t="s">
        <v>3</v>
      </c>
      <c r="D7" s="557" t="s">
        <v>4</v>
      </c>
      <c r="E7" s="558"/>
    </row>
    <row r="8" spans="1:6">
      <c r="B8" s="559"/>
      <c r="C8" s="560"/>
      <c r="D8" s="560"/>
    </row>
    <row r="9" spans="1:6" ht="38.25">
      <c r="A9" s="561" t="s">
        <v>37</v>
      </c>
      <c r="B9" s="562" t="s">
        <v>41</v>
      </c>
      <c r="C9" s="563" t="s">
        <v>44</v>
      </c>
      <c r="D9" s="564" t="s">
        <v>45</v>
      </c>
    </row>
    <row r="10" spans="1:6">
      <c r="A10" s="565">
        <f>1</f>
        <v>1</v>
      </c>
      <c r="B10" s="566" t="s">
        <v>552</v>
      </c>
      <c r="C10" s="567">
        <v>0</v>
      </c>
      <c r="D10" s="568">
        <v>329128</v>
      </c>
    </row>
    <row r="11" spans="1:6">
      <c r="A11" s="569">
        <f>A10+1</f>
        <v>2</v>
      </c>
      <c r="B11" s="570" t="s">
        <v>553</v>
      </c>
      <c r="C11" s="571">
        <f>D11-D10</f>
        <v>607097</v>
      </c>
      <c r="D11" s="572">
        <v>936225</v>
      </c>
    </row>
    <row r="12" spans="1:6">
      <c r="A12" s="569">
        <f t="shared" ref="A12:A25" si="0">A11+1</f>
        <v>3</v>
      </c>
      <c r="B12" s="573" t="s">
        <v>16</v>
      </c>
      <c r="C12" s="571">
        <f>D12-D11</f>
        <v>-189561</v>
      </c>
      <c r="D12" s="572">
        <v>746664</v>
      </c>
    </row>
    <row r="13" spans="1:6">
      <c r="A13" s="569">
        <f t="shared" si="0"/>
        <v>4</v>
      </c>
      <c r="B13" s="573" t="s">
        <v>17</v>
      </c>
      <c r="C13" s="571">
        <f t="shared" ref="C13:C22" si="1">D13-D12</f>
        <v>116277</v>
      </c>
      <c r="D13" s="572">
        <v>862941</v>
      </c>
      <c r="E13" s="574"/>
      <c r="F13" s="556"/>
    </row>
    <row r="14" spans="1:6">
      <c r="A14" s="569">
        <f t="shared" si="0"/>
        <v>5</v>
      </c>
      <c r="B14" s="573" t="s">
        <v>18</v>
      </c>
      <c r="C14" s="571">
        <f t="shared" si="1"/>
        <v>836950</v>
      </c>
      <c r="D14" s="572">
        <v>1699891</v>
      </c>
      <c r="E14" s="574"/>
      <c r="F14" s="556"/>
    </row>
    <row r="15" spans="1:6">
      <c r="A15" s="569">
        <f t="shared" si="0"/>
        <v>6</v>
      </c>
      <c r="B15" s="573" t="s">
        <v>19</v>
      </c>
      <c r="C15" s="571">
        <f t="shared" si="1"/>
        <v>-184715</v>
      </c>
      <c r="D15" s="572">
        <v>1515176</v>
      </c>
    </row>
    <row r="16" spans="1:6">
      <c r="A16" s="569">
        <f t="shared" si="0"/>
        <v>7</v>
      </c>
      <c r="B16" s="573" t="s">
        <v>20</v>
      </c>
      <c r="C16" s="571">
        <f t="shared" si="1"/>
        <v>-156921</v>
      </c>
      <c r="D16" s="572">
        <v>1358255</v>
      </c>
    </row>
    <row r="17" spans="1:5">
      <c r="A17" s="569">
        <f t="shared" si="0"/>
        <v>8</v>
      </c>
      <c r="B17" s="573" t="s">
        <v>21</v>
      </c>
      <c r="C17" s="571">
        <f t="shared" si="1"/>
        <v>-45840</v>
      </c>
      <c r="D17" s="572">
        <v>1312415</v>
      </c>
    </row>
    <row r="18" spans="1:5">
      <c r="A18" s="569">
        <f t="shared" si="0"/>
        <v>9</v>
      </c>
      <c r="B18" s="573" t="s">
        <v>22</v>
      </c>
      <c r="C18" s="571">
        <f t="shared" si="1"/>
        <v>-316169</v>
      </c>
      <c r="D18" s="572">
        <v>996246</v>
      </c>
    </row>
    <row r="19" spans="1:5">
      <c r="A19" s="569">
        <f t="shared" si="0"/>
        <v>10</v>
      </c>
      <c r="B19" s="573" t="s">
        <v>23</v>
      </c>
      <c r="C19" s="571">
        <f t="shared" si="1"/>
        <v>-149662</v>
      </c>
      <c r="D19" s="572">
        <v>846584</v>
      </c>
    </row>
    <row r="20" spans="1:5">
      <c r="A20" s="569">
        <f t="shared" si="0"/>
        <v>11</v>
      </c>
      <c r="B20" s="573" t="s">
        <v>24</v>
      </c>
      <c r="C20" s="571">
        <f t="shared" si="1"/>
        <v>-177674</v>
      </c>
      <c r="D20" s="572">
        <v>668910</v>
      </c>
    </row>
    <row r="21" spans="1:5">
      <c r="A21" s="569">
        <f t="shared" si="0"/>
        <v>12</v>
      </c>
      <c r="B21" s="573" t="s">
        <v>25</v>
      </c>
      <c r="C21" s="571">
        <f t="shared" si="1"/>
        <v>-177822</v>
      </c>
      <c r="D21" s="572">
        <v>491088</v>
      </c>
    </row>
    <row r="22" spans="1:5">
      <c r="A22" s="569">
        <f t="shared" si="0"/>
        <v>13</v>
      </c>
      <c r="B22" s="573" t="s">
        <v>26</v>
      </c>
      <c r="C22" s="571">
        <f t="shared" si="1"/>
        <v>-177822</v>
      </c>
      <c r="D22" s="572">
        <v>313266</v>
      </c>
      <c r="E22" s="575"/>
    </row>
    <row r="23" spans="1:5">
      <c r="A23" s="569">
        <f t="shared" si="0"/>
        <v>14</v>
      </c>
      <c r="B23" s="573"/>
      <c r="C23" s="571"/>
      <c r="D23" s="572"/>
      <c r="E23" s="575"/>
    </row>
    <row r="24" spans="1:5">
      <c r="A24" s="569">
        <f t="shared" si="0"/>
        <v>15</v>
      </c>
      <c r="B24" s="576" t="s">
        <v>15</v>
      </c>
      <c r="C24" s="577"/>
      <c r="D24" s="578">
        <f>SUM(D10:D22)</f>
        <v>12076789</v>
      </c>
    </row>
    <row r="25" spans="1:5">
      <c r="A25" s="569">
        <f t="shared" si="0"/>
        <v>16</v>
      </c>
      <c r="B25" s="576" t="s">
        <v>27</v>
      </c>
      <c r="C25" s="579"/>
      <c r="D25" s="580">
        <f>D24/13</f>
        <v>928983.76923076925</v>
      </c>
    </row>
    <row r="26" spans="1:5">
      <c r="A26" s="581"/>
      <c r="B26" s="582"/>
      <c r="C26" s="559"/>
      <c r="D26" s="583"/>
    </row>
    <row r="27" spans="1:5">
      <c r="A27" s="584"/>
      <c r="B27" s="585"/>
      <c r="C27" s="585"/>
      <c r="D27" s="585"/>
    </row>
  </sheetData>
  <mergeCells count="3">
    <mergeCell ref="A3:D3"/>
    <mergeCell ref="A4:D4"/>
    <mergeCell ref="A5:D5"/>
  </mergeCells>
  <printOptions horizontalCentered="1"/>
  <pageMargins left="0.75" right="0.75" top="0.5" bottom="0.5" header="0.5" footer="0.5"/>
  <pageSetup scale="80" orientation="portrait" r:id="rId1"/>
  <headerFooter alignWithMargins="0">
    <oddHeader>&amp;R&amp;"Arial,Regular"&amp;10Attachment O Work Paper
Page 8 of 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D196"/>
  <sheetViews>
    <sheetView showGridLines="0" topLeftCell="A55" zoomScaleNormal="100" workbookViewId="0">
      <selection activeCell="A2" sqref="A2:D2"/>
    </sheetView>
  </sheetViews>
  <sheetFormatPr defaultColWidth="16.77734375" defaultRowHeight="12.75"/>
  <cols>
    <col min="1" max="1" width="4.33203125" style="114" bestFit="1" customWidth="1"/>
    <col min="2" max="2" width="55.88671875" style="114" customWidth="1"/>
    <col min="3" max="3" width="14.109375" style="182" customWidth="1"/>
    <col min="4" max="4" width="20.88671875" style="183" bestFit="1" customWidth="1"/>
    <col min="5" max="5" width="2" style="114" customWidth="1"/>
    <col min="6" max="6" width="16" style="114" bestFit="1" customWidth="1"/>
    <col min="7" max="248" width="8.88671875" style="114" customWidth="1"/>
    <col min="249" max="249" width="9.44140625" style="114" customWidth="1"/>
    <col min="250" max="250" width="55.88671875" style="114" customWidth="1"/>
    <col min="251" max="251" width="14.109375" style="114" customWidth="1"/>
    <col min="252" max="252" width="18.33203125" style="114" customWidth="1"/>
    <col min="253" max="253" width="16.77734375" style="114" customWidth="1"/>
    <col min="254" max="254" width="13.88671875" style="114" customWidth="1"/>
    <col min="255" max="16384" width="16.77734375" style="114"/>
  </cols>
  <sheetData>
    <row r="1" spans="1:4">
      <c r="A1" s="789"/>
      <c r="B1" s="789"/>
      <c r="C1" s="112"/>
      <c r="D1" s="113"/>
    </row>
    <row r="2" spans="1:4" ht="12.75" customHeight="1">
      <c r="A2" s="790" t="s">
        <v>0</v>
      </c>
      <c r="B2" s="791"/>
      <c r="C2" s="791"/>
      <c r="D2" s="791"/>
    </row>
    <row r="3" spans="1:4" ht="12.75" customHeight="1">
      <c r="A3" s="790" t="s">
        <v>359</v>
      </c>
      <c r="B3" s="791"/>
      <c r="C3" s="791"/>
      <c r="D3" s="791"/>
    </row>
    <row r="4" spans="1:4" ht="12.75" customHeight="1">
      <c r="A4" s="790" t="s">
        <v>554</v>
      </c>
      <c r="B4" s="791"/>
      <c r="C4" s="791"/>
      <c r="D4" s="791"/>
    </row>
    <row r="5" spans="1:4">
      <c r="A5" s="468"/>
      <c r="B5" s="115"/>
      <c r="C5" s="116"/>
      <c r="D5" s="117"/>
    </row>
    <row r="6" spans="1:4">
      <c r="A6" s="468"/>
      <c r="B6" s="469" t="s">
        <v>2</v>
      </c>
      <c r="C6" s="56" t="s">
        <v>3</v>
      </c>
      <c r="D6" s="56" t="s">
        <v>4</v>
      </c>
    </row>
    <row r="7" spans="1:4">
      <c r="A7" s="468"/>
      <c r="B7" s="118"/>
      <c r="C7" s="112"/>
      <c r="D7" s="119"/>
    </row>
    <row r="8" spans="1:4">
      <c r="A8" s="120" t="s">
        <v>9</v>
      </c>
      <c r="B8" s="783" t="s">
        <v>34</v>
      </c>
      <c r="C8" s="787" t="s">
        <v>97</v>
      </c>
      <c r="D8" s="121" t="s">
        <v>326</v>
      </c>
    </row>
    <row r="9" spans="1:4">
      <c r="A9" s="122" t="s">
        <v>10</v>
      </c>
      <c r="B9" s="784"/>
      <c r="C9" s="788"/>
      <c r="D9" s="123" t="str">
        <f>A4</f>
        <v>Actual Year 2011</v>
      </c>
    </row>
    <row r="10" spans="1:4">
      <c r="A10" s="124">
        <v>1</v>
      </c>
      <c r="B10" s="125" t="s">
        <v>100</v>
      </c>
      <c r="C10" s="126"/>
      <c r="D10" s="127"/>
    </row>
    <row r="11" spans="1:4">
      <c r="A11" s="124">
        <f>+A10+1</f>
        <v>2</v>
      </c>
      <c r="B11" s="128" t="s">
        <v>101</v>
      </c>
      <c r="C11" s="129" t="s">
        <v>102</v>
      </c>
      <c r="D11" s="586">
        <v>1756327.16</v>
      </c>
    </row>
    <row r="12" spans="1:4">
      <c r="A12" s="124">
        <f>+A11+1</f>
        <v>3</v>
      </c>
      <c r="B12" s="128" t="s">
        <v>103</v>
      </c>
      <c r="C12" s="129" t="s">
        <v>104</v>
      </c>
      <c r="D12" s="586">
        <v>67279042.469999999</v>
      </c>
    </row>
    <row r="13" spans="1:4">
      <c r="A13" s="124">
        <f t="shared" ref="A13:A74" si="0">+A12+1</f>
        <v>4</v>
      </c>
      <c r="B13" s="128" t="s">
        <v>105</v>
      </c>
      <c r="C13" s="129" t="s">
        <v>106</v>
      </c>
      <c r="D13" s="586">
        <v>2758350.87</v>
      </c>
    </row>
    <row r="14" spans="1:4">
      <c r="A14" s="124">
        <f t="shared" si="0"/>
        <v>5</v>
      </c>
      <c r="B14" s="128" t="s">
        <v>107</v>
      </c>
      <c r="C14" s="129" t="s">
        <v>108</v>
      </c>
      <c r="D14" s="586">
        <v>2505471.34</v>
      </c>
    </row>
    <row r="15" spans="1:4">
      <c r="A15" s="124">
        <f t="shared" si="0"/>
        <v>6</v>
      </c>
      <c r="B15" s="128" t="s">
        <v>109</v>
      </c>
      <c r="C15" s="129" t="s">
        <v>110</v>
      </c>
      <c r="D15" s="586">
        <v>4911042.07</v>
      </c>
    </row>
    <row r="16" spans="1:4" ht="15" customHeight="1">
      <c r="A16" s="124">
        <f t="shared" si="0"/>
        <v>7</v>
      </c>
      <c r="B16" s="128" t="s">
        <v>111</v>
      </c>
      <c r="C16" s="129" t="s">
        <v>112</v>
      </c>
      <c r="D16" s="587">
        <v>682.5</v>
      </c>
    </row>
    <row r="17" spans="1:4">
      <c r="A17" s="124">
        <f t="shared" si="0"/>
        <v>8</v>
      </c>
      <c r="B17" s="130" t="s">
        <v>339</v>
      </c>
      <c r="C17" s="131"/>
      <c r="D17" s="588">
        <f>+SUM(D11:D16)</f>
        <v>79210916.409999996</v>
      </c>
    </row>
    <row r="18" spans="1:4" ht="7.5" customHeight="1">
      <c r="A18" s="124"/>
      <c r="B18" s="132"/>
      <c r="C18" s="133"/>
      <c r="D18" s="589"/>
    </row>
    <row r="19" spans="1:4">
      <c r="A19" s="124">
        <f>+A17+1</f>
        <v>9</v>
      </c>
      <c r="B19" s="125" t="s">
        <v>113</v>
      </c>
      <c r="C19" s="126"/>
      <c r="D19" s="590"/>
    </row>
    <row r="20" spans="1:4">
      <c r="A20" s="124">
        <f t="shared" si="0"/>
        <v>10</v>
      </c>
      <c r="B20" s="128" t="s">
        <v>101</v>
      </c>
      <c r="C20" s="134" t="s">
        <v>114</v>
      </c>
      <c r="D20" s="586">
        <v>778527.41</v>
      </c>
    </row>
    <row r="21" spans="1:4">
      <c r="A21" s="124">
        <f t="shared" si="0"/>
        <v>11</v>
      </c>
      <c r="B21" s="128" t="s">
        <v>115</v>
      </c>
      <c r="C21" s="129" t="s">
        <v>116</v>
      </c>
      <c r="D21" s="586">
        <v>597891.6</v>
      </c>
    </row>
    <row r="22" spans="1:4">
      <c r="A22" s="124">
        <f t="shared" si="0"/>
        <v>12</v>
      </c>
      <c r="B22" s="128" t="s">
        <v>117</v>
      </c>
      <c r="C22" s="129" t="s">
        <v>118</v>
      </c>
      <c r="D22" s="586">
        <v>7404371.6900000004</v>
      </c>
    </row>
    <row r="23" spans="1:4">
      <c r="A23" s="124">
        <f t="shared" si="0"/>
        <v>13</v>
      </c>
      <c r="B23" s="128" t="s">
        <v>119</v>
      </c>
      <c r="C23" s="129" t="s">
        <v>120</v>
      </c>
      <c r="D23" s="586">
        <v>1155193.0900000001</v>
      </c>
    </row>
    <row r="24" spans="1:4">
      <c r="A24" s="124">
        <f t="shared" si="0"/>
        <v>14</v>
      </c>
      <c r="B24" s="128" t="s">
        <v>121</v>
      </c>
      <c r="C24" s="129" t="s">
        <v>122</v>
      </c>
      <c r="D24" s="587">
        <v>1005810.32</v>
      </c>
    </row>
    <row r="25" spans="1:4">
      <c r="A25" s="124">
        <f t="shared" si="0"/>
        <v>15</v>
      </c>
      <c r="B25" s="130" t="s">
        <v>340</v>
      </c>
      <c r="C25" s="131"/>
      <c r="D25" s="588">
        <f>+SUM(D20:D24)</f>
        <v>10941794.110000001</v>
      </c>
    </row>
    <row r="26" spans="1:4" ht="7.5" customHeight="1">
      <c r="A26" s="124"/>
      <c r="B26" s="132"/>
      <c r="C26" s="133"/>
      <c r="D26" s="589"/>
    </row>
    <row r="27" spans="1:4">
      <c r="A27" s="124">
        <f>+A25+1</f>
        <v>16</v>
      </c>
      <c r="B27" s="125" t="s">
        <v>123</v>
      </c>
      <c r="C27" s="126"/>
      <c r="D27" s="590"/>
    </row>
    <row r="28" spans="1:4">
      <c r="A28" s="124">
        <f t="shared" si="0"/>
        <v>17</v>
      </c>
      <c r="B28" s="128" t="s">
        <v>101</v>
      </c>
      <c r="C28" s="129" t="s">
        <v>124</v>
      </c>
      <c r="D28" s="586">
        <v>10208.41</v>
      </c>
    </row>
    <row r="29" spans="1:4">
      <c r="A29" s="124">
        <f t="shared" si="0"/>
        <v>18</v>
      </c>
      <c r="B29" s="128" t="s">
        <v>125</v>
      </c>
      <c r="C29" s="129" t="s">
        <v>126</v>
      </c>
      <c r="D29" s="586">
        <v>145769.75</v>
      </c>
    </row>
    <row r="30" spans="1:4">
      <c r="A30" s="124">
        <f t="shared" si="0"/>
        <v>19</v>
      </c>
      <c r="B30" s="128" t="s">
        <v>109</v>
      </c>
      <c r="C30" s="129" t="s">
        <v>127</v>
      </c>
      <c r="D30" s="586">
        <v>28533.62</v>
      </c>
    </row>
    <row r="31" spans="1:4">
      <c r="A31" s="124">
        <f t="shared" si="0"/>
        <v>20</v>
      </c>
      <c r="B31" s="323" t="s">
        <v>141</v>
      </c>
      <c r="C31" s="129" t="s">
        <v>493</v>
      </c>
      <c r="D31" s="586">
        <v>0</v>
      </c>
    </row>
    <row r="32" spans="1:4">
      <c r="A32" s="124">
        <f t="shared" si="0"/>
        <v>21</v>
      </c>
      <c r="B32" s="128" t="s">
        <v>128</v>
      </c>
      <c r="C32" s="134" t="s">
        <v>129</v>
      </c>
      <c r="D32" s="586">
        <v>3653.17</v>
      </c>
    </row>
    <row r="33" spans="1:4">
      <c r="A33" s="124">
        <f t="shared" si="0"/>
        <v>22</v>
      </c>
      <c r="B33" s="128" t="s">
        <v>115</v>
      </c>
      <c r="C33" s="129" t="s">
        <v>130</v>
      </c>
      <c r="D33" s="586">
        <v>23081.77</v>
      </c>
    </row>
    <row r="34" spans="1:4">
      <c r="A34" s="124">
        <f t="shared" si="0"/>
        <v>23</v>
      </c>
      <c r="B34" s="128" t="s">
        <v>131</v>
      </c>
      <c r="C34" s="129" t="s">
        <v>132</v>
      </c>
      <c r="D34" s="586">
        <v>332332.40999999997</v>
      </c>
    </row>
    <row r="35" spans="1:4">
      <c r="A35" s="124">
        <f t="shared" si="0"/>
        <v>24</v>
      </c>
      <c r="B35" s="128" t="s">
        <v>119</v>
      </c>
      <c r="C35" s="129" t="s">
        <v>133</v>
      </c>
      <c r="D35" s="586">
        <v>8707.44</v>
      </c>
    </row>
    <row r="36" spans="1:4">
      <c r="A36" s="124">
        <f t="shared" si="0"/>
        <v>25</v>
      </c>
      <c r="B36" s="128" t="s">
        <v>109</v>
      </c>
      <c r="C36" s="129" t="s">
        <v>134</v>
      </c>
      <c r="D36" s="587">
        <v>18714.14</v>
      </c>
    </row>
    <row r="37" spans="1:4">
      <c r="A37" s="124">
        <f t="shared" si="0"/>
        <v>26</v>
      </c>
      <c r="B37" s="130" t="s">
        <v>341</v>
      </c>
      <c r="C37" s="131"/>
      <c r="D37" s="588">
        <f>+SUM(D28:D36)</f>
        <v>571000.71</v>
      </c>
    </row>
    <row r="38" spans="1:4" ht="7.5" customHeight="1">
      <c r="A38" s="124"/>
      <c r="B38" s="132"/>
      <c r="C38" s="133"/>
      <c r="D38" s="589"/>
    </row>
    <row r="39" spans="1:4">
      <c r="A39" s="124">
        <f>+A37+1</f>
        <v>27</v>
      </c>
      <c r="B39" s="125" t="s">
        <v>135</v>
      </c>
      <c r="C39" s="126"/>
      <c r="D39" s="590"/>
    </row>
    <row r="40" spans="1:4">
      <c r="A40" s="124">
        <f t="shared" si="0"/>
        <v>28</v>
      </c>
      <c r="B40" s="128" t="s">
        <v>101</v>
      </c>
      <c r="C40" s="129" t="s">
        <v>136</v>
      </c>
      <c r="D40" s="591">
        <f>185639.63</f>
        <v>185639.63</v>
      </c>
    </row>
    <row r="41" spans="1:4">
      <c r="A41" s="124">
        <f t="shared" si="0"/>
        <v>29</v>
      </c>
      <c r="B41" s="128" t="s">
        <v>103</v>
      </c>
      <c r="C41" s="129" t="s">
        <v>137</v>
      </c>
      <c r="D41" s="591">
        <v>2245008.5699999998</v>
      </c>
    </row>
    <row r="42" spans="1:4">
      <c r="A42" s="124">
        <f t="shared" si="0"/>
        <v>30</v>
      </c>
      <c r="B42" s="128" t="s">
        <v>138</v>
      </c>
      <c r="C42" s="129" t="s">
        <v>139</v>
      </c>
      <c r="D42" s="591">
        <f>639599.51+1786805.14</f>
        <v>2426404.65</v>
      </c>
    </row>
    <row r="43" spans="1:4">
      <c r="A43" s="124">
        <f t="shared" si="0"/>
        <v>31</v>
      </c>
      <c r="B43" s="128" t="s">
        <v>109</v>
      </c>
      <c r="C43" s="129" t="s">
        <v>140</v>
      </c>
      <c r="D43" s="591">
        <f>424112.55+218701.18</f>
        <v>642813.73</v>
      </c>
    </row>
    <row r="44" spans="1:4">
      <c r="A44" s="124">
        <f t="shared" si="0"/>
        <v>32</v>
      </c>
      <c r="B44" s="128" t="s">
        <v>141</v>
      </c>
      <c r="C44" s="129" t="s">
        <v>142</v>
      </c>
      <c r="D44" s="591">
        <f>7644.65+528513</f>
        <v>536157.65</v>
      </c>
    </row>
    <row r="45" spans="1:4">
      <c r="A45" s="124">
        <f t="shared" si="0"/>
        <v>33</v>
      </c>
      <c r="B45" s="128" t="s">
        <v>101</v>
      </c>
      <c r="C45" s="134" t="s">
        <v>143</v>
      </c>
      <c r="D45" s="591">
        <f>18380.54+20160.92</f>
        <v>38541.46</v>
      </c>
    </row>
    <row r="46" spans="1:4">
      <c r="A46" s="124">
        <f t="shared" si="0"/>
        <v>34</v>
      </c>
      <c r="B46" s="128" t="s">
        <v>115</v>
      </c>
      <c r="C46" s="129" t="s">
        <v>144</v>
      </c>
      <c r="D46" s="591">
        <v>5010.4399999999996</v>
      </c>
    </row>
    <row r="47" spans="1:4">
      <c r="A47" s="124">
        <f t="shared" si="0"/>
        <v>35</v>
      </c>
      <c r="B47" s="128" t="s">
        <v>145</v>
      </c>
      <c r="C47" s="129" t="s">
        <v>146</v>
      </c>
      <c r="D47" s="591">
        <f>327370.34+23258.95</f>
        <v>350629.29000000004</v>
      </c>
    </row>
    <row r="48" spans="1:4">
      <c r="A48" s="124">
        <f t="shared" si="0"/>
        <v>36</v>
      </c>
      <c r="B48" s="128" t="s">
        <v>109</v>
      </c>
      <c r="C48" s="129" t="s">
        <v>147</v>
      </c>
      <c r="D48" s="591">
        <f>1790.92+1318.99</f>
        <v>3109.91</v>
      </c>
    </row>
    <row r="49" spans="1:4">
      <c r="A49" s="124">
        <f t="shared" si="0"/>
        <v>37</v>
      </c>
      <c r="B49" s="130" t="s">
        <v>342</v>
      </c>
      <c r="C49" s="131"/>
      <c r="D49" s="588">
        <f>+SUM(D40:D48)</f>
        <v>6433315.330000001</v>
      </c>
    </row>
    <row r="50" spans="1:4" ht="7.5" customHeight="1">
      <c r="A50" s="124"/>
      <c r="B50" s="132"/>
      <c r="C50" s="133"/>
      <c r="D50" s="589"/>
    </row>
    <row r="51" spans="1:4">
      <c r="A51" s="124">
        <f>+A49+1</f>
        <v>38</v>
      </c>
      <c r="B51" s="125" t="s">
        <v>148</v>
      </c>
      <c r="C51" s="135"/>
      <c r="D51" s="592"/>
    </row>
    <row r="52" spans="1:4">
      <c r="A52" s="124">
        <f t="shared" si="0"/>
        <v>39</v>
      </c>
      <c r="B52" s="136" t="s">
        <v>149</v>
      </c>
      <c r="C52" s="137" t="s">
        <v>150</v>
      </c>
      <c r="D52" s="586">
        <v>514314.75</v>
      </c>
    </row>
    <row r="53" spans="1:4">
      <c r="A53" s="124">
        <f t="shared" si="0"/>
        <v>40</v>
      </c>
      <c r="B53" s="136" t="s">
        <v>151</v>
      </c>
      <c r="C53" s="137" t="s">
        <v>152</v>
      </c>
      <c r="D53" s="586">
        <v>884215.11</v>
      </c>
    </row>
    <row r="54" spans="1:4">
      <c r="A54" s="124">
        <f t="shared" si="0"/>
        <v>41</v>
      </c>
      <c r="B54" s="130" t="s">
        <v>343</v>
      </c>
      <c r="C54" s="131"/>
      <c r="D54" s="588">
        <f>+SUM(D52:D53)</f>
        <v>1398529.8599999999</v>
      </c>
    </row>
    <row r="55" spans="1:4" ht="7.5" customHeight="1">
      <c r="A55" s="124"/>
      <c r="B55" s="132"/>
      <c r="C55" s="133"/>
      <c r="D55" s="589"/>
    </row>
    <row r="56" spans="1:4">
      <c r="A56" s="124">
        <f>+A54+1</f>
        <v>42</v>
      </c>
      <c r="B56" s="138" t="s">
        <v>344</v>
      </c>
      <c r="C56" s="135"/>
      <c r="D56" s="592"/>
    </row>
    <row r="57" spans="1:4">
      <c r="A57" s="124">
        <f t="shared" si="0"/>
        <v>43</v>
      </c>
      <c r="B57" s="128" t="s">
        <v>101</v>
      </c>
      <c r="C57" s="137" t="s">
        <v>153</v>
      </c>
      <c r="D57" s="586">
        <v>419623.13</v>
      </c>
    </row>
    <row r="58" spans="1:4">
      <c r="A58" s="124">
        <f t="shared" si="0"/>
        <v>44</v>
      </c>
      <c r="B58" s="128" t="s">
        <v>154</v>
      </c>
      <c r="C58" s="137" t="s">
        <v>155</v>
      </c>
      <c r="D58" s="593">
        <v>2965044.9899999998</v>
      </c>
    </row>
    <row r="59" spans="1:4">
      <c r="A59" s="124">
        <f t="shared" si="0"/>
        <v>45</v>
      </c>
      <c r="B59" s="128" t="s">
        <v>156</v>
      </c>
      <c r="C59" s="137" t="s">
        <v>157</v>
      </c>
      <c r="D59" s="586">
        <v>324335.78000000003</v>
      </c>
    </row>
    <row r="60" spans="1:4">
      <c r="A60" s="124">
        <f t="shared" si="0"/>
        <v>46</v>
      </c>
      <c r="B60" s="128" t="s">
        <v>158</v>
      </c>
      <c r="C60" s="137" t="s">
        <v>159</v>
      </c>
      <c r="D60" s="586">
        <v>269814.77</v>
      </c>
    </row>
    <row r="61" spans="1:4">
      <c r="A61" s="124">
        <f t="shared" si="0"/>
        <v>47</v>
      </c>
      <c r="B61" s="128" t="s">
        <v>160</v>
      </c>
      <c r="C61" s="137" t="s">
        <v>161</v>
      </c>
      <c r="D61" s="586">
        <v>2523510.7000000002</v>
      </c>
    </row>
    <row r="62" spans="1:4">
      <c r="A62" s="124">
        <f t="shared" si="0"/>
        <v>48</v>
      </c>
      <c r="B62" s="128" t="s">
        <v>109</v>
      </c>
      <c r="C62" s="137" t="s">
        <v>162</v>
      </c>
      <c r="D62" s="586">
        <v>1107558.1399999999</v>
      </c>
    </row>
    <row r="63" spans="1:4">
      <c r="A63" s="124">
        <f t="shared" si="0"/>
        <v>49</v>
      </c>
      <c r="B63" s="128" t="s">
        <v>141</v>
      </c>
      <c r="C63" s="137" t="s">
        <v>163</v>
      </c>
      <c r="D63" s="586">
        <v>56513.65</v>
      </c>
    </row>
    <row r="64" spans="1:4">
      <c r="A64" s="124">
        <f t="shared" si="0"/>
        <v>50</v>
      </c>
      <c r="B64" s="128" t="s">
        <v>101</v>
      </c>
      <c r="C64" s="139" t="s">
        <v>164</v>
      </c>
      <c r="D64" s="586">
        <v>342281.43</v>
      </c>
    </row>
    <row r="65" spans="1:4">
      <c r="A65" s="124">
        <f t="shared" si="0"/>
        <v>51</v>
      </c>
      <c r="B65" s="128" t="s">
        <v>165</v>
      </c>
      <c r="C65" s="137" t="s">
        <v>166</v>
      </c>
      <c r="D65" s="593">
        <v>797475.78</v>
      </c>
    </row>
    <row r="66" spans="1:4">
      <c r="A66" s="124">
        <f t="shared" si="0"/>
        <v>52</v>
      </c>
      <c r="B66" s="128" t="s">
        <v>98</v>
      </c>
      <c r="C66" s="137" t="s">
        <v>167</v>
      </c>
      <c r="D66" s="586">
        <v>1352195.23</v>
      </c>
    </row>
    <row r="67" spans="1:4">
      <c r="A67" s="124">
        <f t="shared" si="0"/>
        <v>53</v>
      </c>
      <c r="B67" s="128" t="s">
        <v>168</v>
      </c>
      <c r="C67" s="137" t="s">
        <v>169</v>
      </c>
      <c r="D67" s="586">
        <v>1519652.22</v>
      </c>
    </row>
    <row r="68" spans="1:4">
      <c r="A68" s="124">
        <f t="shared" si="0"/>
        <v>54</v>
      </c>
      <c r="B68" s="128" t="s">
        <v>170</v>
      </c>
      <c r="C68" s="137" t="s">
        <v>171</v>
      </c>
      <c r="D68" s="586">
        <v>0</v>
      </c>
    </row>
    <row r="69" spans="1:4">
      <c r="A69" s="124">
        <f t="shared" si="0"/>
        <v>55</v>
      </c>
      <c r="B69" s="128" t="s">
        <v>172</v>
      </c>
      <c r="C69" s="137" t="s">
        <v>173</v>
      </c>
      <c r="D69" s="593">
        <v>0</v>
      </c>
    </row>
    <row r="70" spans="1:4">
      <c r="A70" s="124">
        <f t="shared" si="0"/>
        <v>56</v>
      </c>
      <c r="B70" s="128" t="s">
        <v>174</v>
      </c>
      <c r="C70" s="137" t="s">
        <v>175</v>
      </c>
      <c r="D70" s="593">
        <v>1403610.07</v>
      </c>
    </row>
    <row r="71" spans="1:4">
      <c r="A71" s="124">
        <f t="shared" si="0"/>
        <v>57</v>
      </c>
      <c r="B71" s="128" t="s">
        <v>176</v>
      </c>
      <c r="C71" s="137" t="s">
        <v>177</v>
      </c>
      <c r="D71" s="586">
        <v>331566.14</v>
      </c>
    </row>
    <row r="72" spans="1:4">
      <c r="A72" s="124">
        <f t="shared" si="0"/>
        <v>58</v>
      </c>
      <c r="B72" s="190" t="s">
        <v>363</v>
      </c>
      <c r="C72" s="137"/>
      <c r="D72" s="594">
        <f>SUM(D57:D71)</f>
        <v>13413182.030000001</v>
      </c>
    </row>
    <row r="73" spans="1:4">
      <c r="A73" s="124">
        <f t="shared" si="0"/>
        <v>59</v>
      </c>
      <c r="B73" s="191" t="s">
        <v>364</v>
      </c>
      <c r="C73" s="192"/>
      <c r="D73" s="595">
        <f>D70+D71</f>
        <v>1735176.21</v>
      </c>
    </row>
    <row r="74" spans="1:4">
      <c r="A74" s="124">
        <f t="shared" si="0"/>
        <v>60</v>
      </c>
      <c r="B74" s="130" t="s">
        <v>362</v>
      </c>
      <c r="C74" s="141"/>
      <c r="D74" s="596">
        <f>D72-D73</f>
        <v>11678005.82</v>
      </c>
    </row>
    <row r="75" spans="1:4">
      <c r="A75" s="187"/>
      <c r="B75" s="188"/>
      <c r="C75" s="189"/>
      <c r="D75" s="597"/>
    </row>
    <row r="76" spans="1:4">
      <c r="A76" s="184"/>
      <c r="B76" s="185"/>
      <c r="C76" s="186"/>
      <c r="D76" s="598"/>
    </row>
    <row r="77" spans="1:4">
      <c r="A77" s="142" t="s">
        <v>9</v>
      </c>
      <c r="B77" s="783" t="s">
        <v>34</v>
      </c>
      <c r="C77" s="785" t="s">
        <v>97</v>
      </c>
      <c r="D77" s="121" t="s">
        <v>326</v>
      </c>
    </row>
    <row r="78" spans="1:4">
      <c r="A78" s="143" t="s">
        <v>10</v>
      </c>
      <c r="B78" s="784"/>
      <c r="C78" s="786"/>
      <c r="D78" s="123" t="str">
        <f>C11</f>
        <v>401 - 500</v>
      </c>
    </row>
    <row r="79" spans="1:4">
      <c r="A79" s="140">
        <v>1</v>
      </c>
      <c r="B79" s="144" t="s">
        <v>178</v>
      </c>
      <c r="C79" s="145"/>
      <c r="D79" s="599"/>
    </row>
    <row r="80" spans="1:4">
      <c r="A80" s="140">
        <f>+A79+1</f>
        <v>2</v>
      </c>
      <c r="B80" s="146" t="s">
        <v>179</v>
      </c>
      <c r="C80" s="147" t="s">
        <v>180</v>
      </c>
      <c r="D80" s="586">
        <v>368358.49</v>
      </c>
    </row>
    <row r="81" spans="1:4">
      <c r="A81" s="140">
        <f t="shared" ref="A81:A108" si="1">+A80+1</f>
        <v>3</v>
      </c>
      <c r="B81" s="146" t="s">
        <v>154</v>
      </c>
      <c r="C81" s="147" t="s">
        <v>181</v>
      </c>
      <c r="D81" s="586">
        <v>309730.84999999998</v>
      </c>
    </row>
    <row r="82" spans="1:4">
      <c r="A82" s="140">
        <f t="shared" si="1"/>
        <v>4</v>
      </c>
      <c r="B82" s="146" t="s">
        <v>182</v>
      </c>
      <c r="C82" s="147" t="s">
        <v>183</v>
      </c>
      <c r="D82" s="586">
        <v>270851.05</v>
      </c>
    </row>
    <row r="83" spans="1:4">
      <c r="A83" s="140">
        <f t="shared" si="1"/>
        <v>5</v>
      </c>
      <c r="B83" s="146" t="s">
        <v>184</v>
      </c>
      <c r="C83" s="147" t="s">
        <v>185</v>
      </c>
      <c r="D83" s="586">
        <v>312904.26</v>
      </c>
    </row>
    <row r="84" spans="1:4">
      <c r="A84" s="140">
        <f t="shared" si="1"/>
        <v>6</v>
      </c>
      <c r="B84" s="146" t="s">
        <v>186</v>
      </c>
      <c r="C84" s="147" t="s">
        <v>187</v>
      </c>
      <c r="D84" s="586">
        <v>1447140.18</v>
      </c>
    </row>
    <row r="85" spans="1:4">
      <c r="A85" s="140">
        <f t="shared" si="1"/>
        <v>7</v>
      </c>
      <c r="B85" s="146" t="s">
        <v>188</v>
      </c>
      <c r="C85" s="147" t="s">
        <v>189</v>
      </c>
      <c r="D85" s="149">
        <v>0</v>
      </c>
    </row>
    <row r="86" spans="1:4">
      <c r="A86" s="140">
        <f t="shared" si="1"/>
        <v>8</v>
      </c>
      <c r="B86" s="148" t="s">
        <v>190</v>
      </c>
      <c r="C86" s="147" t="s">
        <v>191</v>
      </c>
      <c r="D86" s="149">
        <v>0</v>
      </c>
    </row>
    <row r="87" spans="1:4">
      <c r="A87" s="140">
        <f t="shared" si="1"/>
        <v>9</v>
      </c>
      <c r="B87" s="148" t="s">
        <v>190</v>
      </c>
      <c r="C87" s="147" t="s">
        <v>192</v>
      </c>
      <c r="D87" s="149">
        <v>0</v>
      </c>
    </row>
    <row r="88" spans="1:4">
      <c r="A88" s="140">
        <f t="shared" si="1"/>
        <v>10</v>
      </c>
      <c r="B88" s="148" t="s">
        <v>190</v>
      </c>
      <c r="C88" s="147" t="s">
        <v>193</v>
      </c>
      <c r="D88" s="149">
        <v>0</v>
      </c>
    </row>
    <row r="89" spans="1:4">
      <c r="A89" s="140">
        <f t="shared" si="1"/>
        <v>11</v>
      </c>
      <c r="B89" s="148" t="s">
        <v>190</v>
      </c>
      <c r="C89" s="147" t="s">
        <v>194</v>
      </c>
      <c r="D89" s="149">
        <v>0</v>
      </c>
    </row>
    <row r="90" spans="1:4">
      <c r="A90" s="140">
        <f t="shared" si="1"/>
        <v>12</v>
      </c>
      <c r="B90" s="148" t="s">
        <v>190</v>
      </c>
      <c r="C90" s="147" t="s">
        <v>195</v>
      </c>
      <c r="D90" s="149">
        <v>0</v>
      </c>
    </row>
    <row r="91" spans="1:4">
      <c r="A91" s="140">
        <f t="shared" si="1"/>
        <v>13</v>
      </c>
      <c r="B91" s="148" t="s">
        <v>190</v>
      </c>
      <c r="C91" s="147" t="s">
        <v>196</v>
      </c>
      <c r="D91" s="149">
        <v>0</v>
      </c>
    </row>
    <row r="92" spans="1:4">
      <c r="A92" s="140">
        <f t="shared" si="1"/>
        <v>14</v>
      </c>
      <c r="B92" s="148" t="s">
        <v>190</v>
      </c>
      <c r="C92" s="147" t="s">
        <v>197</v>
      </c>
      <c r="D92" s="149">
        <v>0</v>
      </c>
    </row>
    <row r="93" spans="1:4">
      <c r="A93" s="140">
        <f t="shared" si="1"/>
        <v>15</v>
      </c>
      <c r="B93" s="146" t="s">
        <v>198</v>
      </c>
      <c r="C93" s="147" t="s">
        <v>199</v>
      </c>
      <c r="D93" s="586">
        <v>788937.42</v>
      </c>
    </row>
    <row r="94" spans="1:4">
      <c r="A94" s="140">
        <f t="shared" si="1"/>
        <v>16</v>
      </c>
      <c r="B94" s="146" t="s">
        <v>200</v>
      </c>
      <c r="C94" s="147" t="s">
        <v>201</v>
      </c>
      <c r="D94" s="586">
        <v>201875.16</v>
      </c>
    </row>
    <row r="95" spans="1:4">
      <c r="A95" s="140">
        <f t="shared" si="1"/>
        <v>17</v>
      </c>
      <c r="B95" s="146" t="s">
        <v>202</v>
      </c>
      <c r="C95" s="147" t="s">
        <v>203</v>
      </c>
      <c r="D95" s="586">
        <v>2857538.99</v>
      </c>
    </row>
    <row r="96" spans="1:4">
      <c r="A96" s="140">
        <f t="shared" si="1"/>
        <v>18</v>
      </c>
      <c r="B96" s="146" t="s">
        <v>141</v>
      </c>
      <c r="C96" s="147" t="s">
        <v>204</v>
      </c>
      <c r="D96" s="586">
        <v>269070.21999999997</v>
      </c>
    </row>
    <row r="97" spans="1:4">
      <c r="A97" s="140">
        <f t="shared" si="1"/>
        <v>19</v>
      </c>
      <c r="B97" s="146" t="s">
        <v>205</v>
      </c>
      <c r="C97" s="150" t="s">
        <v>206</v>
      </c>
      <c r="D97" s="586">
        <v>611485.6</v>
      </c>
    </row>
    <row r="98" spans="1:4">
      <c r="A98" s="140">
        <f t="shared" si="1"/>
        <v>20</v>
      </c>
      <c r="B98" s="146" t="s">
        <v>207</v>
      </c>
      <c r="C98" s="147" t="s">
        <v>208</v>
      </c>
      <c r="D98" s="586">
        <v>815020.47</v>
      </c>
    </row>
    <row r="99" spans="1:4">
      <c r="A99" s="140">
        <f t="shared" si="1"/>
        <v>21</v>
      </c>
      <c r="B99" s="146" t="s">
        <v>209</v>
      </c>
      <c r="C99" s="147" t="s">
        <v>210</v>
      </c>
      <c r="D99" s="586">
        <v>3977648.03</v>
      </c>
    </row>
    <row r="100" spans="1:4">
      <c r="A100" s="140">
        <f t="shared" si="1"/>
        <v>22</v>
      </c>
      <c r="B100" s="146" t="s">
        <v>211</v>
      </c>
      <c r="C100" s="147" t="s">
        <v>212</v>
      </c>
      <c r="D100" s="586">
        <v>1034717.31</v>
      </c>
    </row>
    <row r="101" spans="1:4">
      <c r="A101" s="140">
        <f t="shared" si="1"/>
        <v>23</v>
      </c>
      <c r="B101" s="146" t="s">
        <v>213</v>
      </c>
      <c r="C101" s="147" t="s">
        <v>214</v>
      </c>
      <c r="D101" s="586">
        <v>72129.73</v>
      </c>
    </row>
    <row r="102" spans="1:4">
      <c r="A102" s="140">
        <f t="shared" si="1"/>
        <v>24</v>
      </c>
      <c r="B102" s="146" t="s">
        <v>215</v>
      </c>
      <c r="C102" s="147" t="s">
        <v>216</v>
      </c>
      <c r="D102" s="586">
        <v>993314.4</v>
      </c>
    </row>
    <row r="103" spans="1:4">
      <c r="A103" s="140">
        <f t="shared" si="1"/>
        <v>25</v>
      </c>
      <c r="B103" s="146" t="s">
        <v>217</v>
      </c>
      <c r="C103" s="151" t="s">
        <v>494</v>
      </c>
      <c r="D103" s="586">
        <v>676107.78</v>
      </c>
    </row>
    <row r="104" spans="1:4">
      <c r="A104" s="140">
        <f t="shared" si="1"/>
        <v>26</v>
      </c>
      <c r="B104" s="152" t="s">
        <v>328</v>
      </c>
      <c r="C104" s="147" t="s">
        <v>218</v>
      </c>
      <c r="D104" s="600">
        <v>0</v>
      </c>
    </row>
    <row r="105" spans="1:4">
      <c r="A105" s="140">
        <f t="shared" si="1"/>
        <v>27</v>
      </c>
      <c r="B105" s="152" t="s">
        <v>329</v>
      </c>
      <c r="C105" s="147" t="s">
        <v>219</v>
      </c>
      <c r="D105" s="149">
        <v>0</v>
      </c>
    </row>
    <row r="106" spans="1:4">
      <c r="A106" s="140">
        <f t="shared" si="1"/>
        <v>28</v>
      </c>
      <c r="B106" s="152" t="s">
        <v>330</v>
      </c>
      <c r="C106" s="147" t="s">
        <v>220</v>
      </c>
      <c r="D106" s="149">
        <v>0</v>
      </c>
    </row>
    <row r="107" spans="1:4">
      <c r="A107" s="140">
        <f t="shared" si="1"/>
        <v>29</v>
      </c>
      <c r="B107" s="146" t="s">
        <v>221</v>
      </c>
      <c r="C107" s="153" t="s">
        <v>222</v>
      </c>
      <c r="D107" s="586">
        <v>79495.78</v>
      </c>
    </row>
    <row r="108" spans="1:4">
      <c r="A108" s="140">
        <f t="shared" si="1"/>
        <v>30</v>
      </c>
      <c r="B108" s="154" t="s">
        <v>345</v>
      </c>
      <c r="C108" s="155"/>
      <c r="D108" s="601">
        <f>+SUM(D80:D107)</f>
        <v>15086325.719999999</v>
      </c>
    </row>
    <row r="109" spans="1:4" ht="7.5" customHeight="1">
      <c r="A109" s="140"/>
      <c r="B109" s="156"/>
      <c r="C109" s="466"/>
      <c r="D109" s="602"/>
    </row>
    <row r="110" spans="1:4">
      <c r="A110" s="140">
        <f>+A108+1</f>
        <v>31</v>
      </c>
      <c r="B110" s="157" t="s">
        <v>223</v>
      </c>
      <c r="C110" s="151"/>
      <c r="D110" s="158"/>
    </row>
    <row r="111" spans="1:4">
      <c r="A111" s="140">
        <f t="shared" ref="A111:A116" si="2">+A110+1</f>
        <v>32</v>
      </c>
      <c r="B111" s="146" t="s">
        <v>224</v>
      </c>
      <c r="C111" s="147" t="s">
        <v>225</v>
      </c>
      <c r="D111" s="586">
        <v>116308.64</v>
      </c>
    </row>
    <row r="112" spans="1:4">
      <c r="A112" s="140">
        <f t="shared" si="2"/>
        <v>33</v>
      </c>
      <c r="B112" s="146" t="s">
        <v>226</v>
      </c>
      <c r="C112" s="147" t="s">
        <v>227</v>
      </c>
      <c r="D112" s="586">
        <v>5391501.8200000003</v>
      </c>
    </row>
    <row r="113" spans="1:4">
      <c r="A113" s="140">
        <f t="shared" si="2"/>
        <v>34</v>
      </c>
      <c r="B113" s="146" t="s">
        <v>228</v>
      </c>
      <c r="C113" s="147" t="s">
        <v>229</v>
      </c>
      <c r="D113" s="586">
        <v>5481465.3799999999</v>
      </c>
    </row>
    <row r="114" spans="1:4">
      <c r="A114" s="140">
        <f t="shared" si="2"/>
        <v>35</v>
      </c>
      <c r="B114" s="146" t="s">
        <v>230</v>
      </c>
      <c r="C114" s="147" t="s">
        <v>231</v>
      </c>
      <c r="D114" s="586">
        <v>405753</v>
      </c>
    </row>
    <row r="115" spans="1:4">
      <c r="A115" s="140">
        <f t="shared" si="2"/>
        <v>36</v>
      </c>
      <c r="B115" s="159" t="s">
        <v>232</v>
      </c>
      <c r="C115" s="160" t="s">
        <v>233</v>
      </c>
      <c r="D115" s="587">
        <v>348236.31</v>
      </c>
    </row>
    <row r="116" spans="1:4">
      <c r="A116" s="140">
        <f t="shared" si="2"/>
        <v>37</v>
      </c>
      <c r="B116" s="603" t="s">
        <v>346</v>
      </c>
      <c r="C116" s="604"/>
      <c r="D116" s="605">
        <f>+SUM(D111:D115)</f>
        <v>11743265.15</v>
      </c>
    </row>
    <row r="117" spans="1:4" ht="8.25" customHeight="1">
      <c r="A117" s="140"/>
      <c r="B117" s="606"/>
      <c r="C117" s="467"/>
      <c r="D117" s="607"/>
    </row>
    <row r="118" spans="1:4">
      <c r="A118" s="140">
        <f>+A116+1</f>
        <v>38</v>
      </c>
      <c r="B118" s="157" t="s">
        <v>234</v>
      </c>
      <c r="C118" s="151"/>
      <c r="D118" s="592"/>
    </row>
    <row r="119" spans="1:4">
      <c r="A119" s="140">
        <f>+A118+1</f>
        <v>39</v>
      </c>
      <c r="B119" s="146" t="s">
        <v>224</v>
      </c>
      <c r="C119" s="147" t="s">
        <v>235</v>
      </c>
      <c r="D119" s="600">
        <v>542638.99</v>
      </c>
    </row>
    <row r="120" spans="1:4">
      <c r="A120" s="140">
        <f t="shared" ref="A120:A135" si="3">+A119+1</f>
        <v>40</v>
      </c>
      <c r="B120" s="148" t="s">
        <v>236</v>
      </c>
      <c r="C120" s="151"/>
      <c r="D120" s="592"/>
    </row>
    <row r="121" spans="1:4">
      <c r="A121" s="140">
        <f t="shared" si="3"/>
        <v>41</v>
      </c>
      <c r="B121" s="146" t="s">
        <v>237</v>
      </c>
      <c r="C121" s="147" t="s">
        <v>238</v>
      </c>
      <c r="D121" s="600">
        <v>1628130.55</v>
      </c>
    </row>
    <row r="122" spans="1:4">
      <c r="A122" s="140">
        <f t="shared" si="3"/>
        <v>42</v>
      </c>
      <c r="B122" s="146" t="s">
        <v>190</v>
      </c>
      <c r="C122" s="161" t="s">
        <v>239</v>
      </c>
      <c r="D122" s="149">
        <v>0</v>
      </c>
    </row>
    <row r="123" spans="1:4">
      <c r="A123" s="140">
        <f t="shared" si="3"/>
        <v>43</v>
      </c>
      <c r="B123" s="146" t="s">
        <v>190</v>
      </c>
      <c r="C123" s="161" t="s">
        <v>240</v>
      </c>
      <c r="D123" s="149">
        <v>0</v>
      </c>
    </row>
    <row r="124" spans="1:4">
      <c r="A124" s="140">
        <f t="shared" si="3"/>
        <v>44</v>
      </c>
      <c r="B124" s="146" t="s">
        <v>190</v>
      </c>
      <c r="C124" s="161" t="s">
        <v>241</v>
      </c>
      <c r="D124" s="149">
        <v>0</v>
      </c>
    </row>
    <row r="125" spans="1:4">
      <c r="A125" s="140">
        <f t="shared" si="3"/>
        <v>45</v>
      </c>
      <c r="B125" s="146" t="s">
        <v>190</v>
      </c>
      <c r="C125" s="161" t="s">
        <v>242</v>
      </c>
      <c r="D125" s="149">
        <v>0</v>
      </c>
    </row>
    <row r="126" spans="1:4">
      <c r="A126" s="140">
        <f t="shared" si="3"/>
        <v>46</v>
      </c>
      <c r="B126" s="146" t="s">
        <v>190</v>
      </c>
      <c r="C126" s="161" t="s">
        <v>243</v>
      </c>
      <c r="D126" s="149">
        <v>0</v>
      </c>
    </row>
    <row r="127" spans="1:4">
      <c r="A127" s="140">
        <f t="shared" si="3"/>
        <v>47</v>
      </c>
      <c r="B127" s="146" t="s">
        <v>190</v>
      </c>
      <c r="C127" s="161" t="s">
        <v>244</v>
      </c>
      <c r="D127" s="149">
        <v>0</v>
      </c>
    </row>
    <row r="128" spans="1:4">
      <c r="A128" s="140">
        <f t="shared" si="3"/>
        <v>48</v>
      </c>
      <c r="B128" s="146" t="s">
        <v>245</v>
      </c>
      <c r="C128" s="147" t="s">
        <v>246</v>
      </c>
      <c r="D128" s="149">
        <v>316967.94</v>
      </c>
    </row>
    <row r="129" spans="1:4">
      <c r="A129" s="140">
        <f t="shared" si="3"/>
        <v>49</v>
      </c>
      <c r="B129" s="146" t="s">
        <v>247</v>
      </c>
      <c r="C129" s="147" t="s">
        <v>248</v>
      </c>
      <c r="D129" s="149">
        <v>0</v>
      </c>
    </row>
    <row r="130" spans="1:4">
      <c r="A130" s="140">
        <f t="shared" si="3"/>
        <v>50</v>
      </c>
      <c r="B130" s="146" t="s">
        <v>249</v>
      </c>
      <c r="C130" s="147" t="s">
        <v>250</v>
      </c>
      <c r="D130" s="608">
        <v>5250024.9800000004</v>
      </c>
    </row>
    <row r="131" spans="1:4">
      <c r="A131" s="140">
        <f t="shared" si="3"/>
        <v>51</v>
      </c>
      <c r="B131" s="146" t="s">
        <v>190</v>
      </c>
      <c r="C131" s="147" t="s">
        <v>251</v>
      </c>
      <c r="D131" s="149">
        <v>0</v>
      </c>
    </row>
    <row r="132" spans="1:4">
      <c r="A132" s="140">
        <f t="shared" si="3"/>
        <v>52</v>
      </c>
      <c r="B132" s="146" t="s">
        <v>190</v>
      </c>
      <c r="C132" s="147" t="s">
        <v>252</v>
      </c>
      <c r="D132" s="149">
        <v>0</v>
      </c>
    </row>
    <row r="133" spans="1:4">
      <c r="A133" s="140">
        <f t="shared" si="3"/>
        <v>53</v>
      </c>
      <c r="B133" s="146" t="s">
        <v>253</v>
      </c>
      <c r="C133" s="147" t="s">
        <v>254</v>
      </c>
      <c r="D133" s="149">
        <v>265278.74</v>
      </c>
    </row>
    <row r="134" spans="1:4">
      <c r="A134" s="140">
        <f t="shared" si="3"/>
        <v>54</v>
      </c>
      <c r="B134" s="159" t="s">
        <v>255</v>
      </c>
      <c r="C134" s="160" t="s">
        <v>256</v>
      </c>
      <c r="D134" s="609">
        <v>59721.57</v>
      </c>
    </row>
    <row r="135" spans="1:4">
      <c r="A135" s="140">
        <f t="shared" si="3"/>
        <v>55</v>
      </c>
      <c r="B135" s="606" t="s">
        <v>347</v>
      </c>
      <c r="C135" s="604"/>
      <c r="D135" s="610">
        <f>+SUM(D119:D134)</f>
        <v>8062762.7700000014</v>
      </c>
    </row>
    <row r="136" spans="1:4">
      <c r="A136" s="162"/>
      <c r="B136" s="163"/>
      <c r="C136" s="164"/>
      <c r="D136" s="611"/>
    </row>
    <row r="137" spans="1:4">
      <c r="A137" s="165"/>
      <c r="B137" s="115"/>
      <c r="C137" s="166"/>
      <c r="D137" s="612"/>
    </row>
    <row r="138" spans="1:4">
      <c r="A138" s="142" t="s">
        <v>9</v>
      </c>
      <c r="B138" s="783" t="s">
        <v>34</v>
      </c>
      <c r="C138" s="787" t="s">
        <v>97</v>
      </c>
      <c r="D138" s="121" t="s">
        <v>326</v>
      </c>
    </row>
    <row r="139" spans="1:4">
      <c r="A139" s="143" t="s">
        <v>10</v>
      </c>
      <c r="B139" s="784"/>
      <c r="C139" s="788"/>
      <c r="D139" s="123" t="str">
        <f>C77</f>
        <v>Accounts</v>
      </c>
    </row>
    <row r="140" spans="1:4">
      <c r="A140" s="140">
        <v>1</v>
      </c>
      <c r="B140" s="144" t="s">
        <v>257</v>
      </c>
      <c r="C140" s="133"/>
      <c r="D140" s="613"/>
    </row>
    <row r="141" spans="1:4">
      <c r="A141" s="140">
        <f>+A140+1</f>
        <v>2</v>
      </c>
      <c r="B141" s="146" t="s">
        <v>258</v>
      </c>
      <c r="C141" s="129" t="s">
        <v>259</v>
      </c>
      <c r="D141" s="614">
        <v>0</v>
      </c>
    </row>
    <row r="142" spans="1:4">
      <c r="A142" s="140">
        <f>+A141+1</f>
        <v>3</v>
      </c>
      <c r="B142" s="146" t="s">
        <v>260</v>
      </c>
      <c r="C142" s="129" t="s">
        <v>261</v>
      </c>
      <c r="D142" s="614">
        <v>196303.55</v>
      </c>
    </row>
    <row r="143" spans="1:4">
      <c r="A143" s="140">
        <f t="shared" ref="A143:A176" si="4">+A142+1</f>
        <v>4</v>
      </c>
      <c r="B143" s="146" t="s">
        <v>262</v>
      </c>
      <c r="C143" s="129" t="s">
        <v>261</v>
      </c>
      <c r="D143" s="614">
        <v>151628.5</v>
      </c>
    </row>
    <row r="144" spans="1:4">
      <c r="A144" s="140">
        <f t="shared" si="4"/>
        <v>5</v>
      </c>
      <c r="B144" s="146" t="s">
        <v>263</v>
      </c>
      <c r="C144" s="129" t="s">
        <v>261</v>
      </c>
      <c r="D144" s="614">
        <v>2828.74</v>
      </c>
    </row>
    <row r="145" spans="1:4">
      <c r="A145" s="140">
        <f t="shared" si="4"/>
        <v>6</v>
      </c>
      <c r="B145" s="146" t="s">
        <v>264</v>
      </c>
      <c r="C145" s="129" t="s">
        <v>265</v>
      </c>
      <c r="D145" s="614"/>
    </row>
    <row r="146" spans="1:4">
      <c r="A146" s="140">
        <f t="shared" si="4"/>
        <v>7</v>
      </c>
      <c r="B146" s="146" t="s">
        <v>266</v>
      </c>
      <c r="C146" s="129" t="s">
        <v>261</v>
      </c>
      <c r="D146" s="614">
        <v>36398.879999999997</v>
      </c>
    </row>
    <row r="147" spans="1:4">
      <c r="A147" s="140">
        <f t="shared" si="4"/>
        <v>8</v>
      </c>
      <c r="B147" s="146" t="s">
        <v>267</v>
      </c>
      <c r="C147" s="129" t="s">
        <v>268</v>
      </c>
      <c r="D147" s="167">
        <v>0</v>
      </c>
    </row>
    <row r="148" spans="1:4">
      <c r="A148" s="140">
        <f t="shared" si="4"/>
        <v>9</v>
      </c>
      <c r="B148" s="146" t="s">
        <v>267</v>
      </c>
      <c r="C148" s="129" t="s">
        <v>269</v>
      </c>
      <c r="D148" s="167">
        <v>0</v>
      </c>
    </row>
    <row r="149" spans="1:4">
      <c r="A149" s="140">
        <f t="shared" si="4"/>
        <v>10</v>
      </c>
      <c r="B149" s="146" t="s">
        <v>267</v>
      </c>
      <c r="C149" s="129" t="s">
        <v>270</v>
      </c>
      <c r="D149" s="167">
        <v>0</v>
      </c>
    </row>
    <row r="150" spans="1:4">
      <c r="A150" s="140">
        <f t="shared" si="4"/>
        <v>11</v>
      </c>
      <c r="B150" s="146" t="s">
        <v>267</v>
      </c>
      <c r="C150" s="129" t="s">
        <v>271</v>
      </c>
      <c r="D150" s="167">
        <v>0</v>
      </c>
    </row>
    <row r="151" spans="1:4">
      <c r="A151" s="140">
        <f t="shared" si="4"/>
        <v>12</v>
      </c>
      <c r="B151" s="146" t="s">
        <v>267</v>
      </c>
      <c r="C151" s="129" t="s">
        <v>272</v>
      </c>
      <c r="D151" s="167">
        <v>0</v>
      </c>
    </row>
    <row r="152" spans="1:4">
      <c r="A152" s="140">
        <f t="shared" si="4"/>
        <v>13</v>
      </c>
      <c r="B152" s="146" t="s">
        <v>267</v>
      </c>
      <c r="C152" s="129" t="s">
        <v>273</v>
      </c>
      <c r="D152" s="167">
        <v>0</v>
      </c>
    </row>
    <row r="153" spans="1:4">
      <c r="A153" s="140">
        <f t="shared" si="4"/>
        <v>14</v>
      </c>
      <c r="B153" s="146" t="s">
        <v>267</v>
      </c>
      <c r="C153" s="129" t="s">
        <v>274</v>
      </c>
      <c r="D153" s="167">
        <v>0</v>
      </c>
    </row>
    <row r="154" spans="1:4">
      <c r="A154" s="140">
        <f t="shared" si="4"/>
        <v>15</v>
      </c>
      <c r="B154" s="146" t="s">
        <v>267</v>
      </c>
      <c r="C154" s="129" t="s">
        <v>275</v>
      </c>
      <c r="D154" s="167">
        <v>0</v>
      </c>
    </row>
    <row r="155" spans="1:4">
      <c r="A155" s="140">
        <f t="shared" si="4"/>
        <v>16</v>
      </c>
      <c r="B155" s="146" t="s">
        <v>267</v>
      </c>
      <c r="C155" s="129" t="s">
        <v>276</v>
      </c>
      <c r="D155" s="167">
        <v>0</v>
      </c>
    </row>
    <row r="156" spans="1:4">
      <c r="A156" s="140">
        <f t="shared" si="4"/>
        <v>17</v>
      </c>
      <c r="B156" s="146" t="s">
        <v>267</v>
      </c>
      <c r="C156" s="129" t="s">
        <v>277</v>
      </c>
      <c r="D156" s="167">
        <v>0</v>
      </c>
    </row>
    <row r="157" spans="1:4">
      <c r="A157" s="140">
        <f t="shared" si="4"/>
        <v>18</v>
      </c>
      <c r="B157" s="146" t="s">
        <v>267</v>
      </c>
      <c r="C157" s="129" t="s">
        <v>278</v>
      </c>
      <c r="D157" s="167">
        <v>0</v>
      </c>
    </row>
    <row r="158" spans="1:4">
      <c r="A158" s="140">
        <f t="shared" si="4"/>
        <v>19</v>
      </c>
      <c r="B158" s="146" t="s">
        <v>267</v>
      </c>
      <c r="C158" s="129" t="s">
        <v>279</v>
      </c>
      <c r="D158" s="168">
        <v>0</v>
      </c>
    </row>
    <row r="159" spans="1:4">
      <c r="A159" s="140">
        <f t="shared" si="4"/>
        <v>20</v>
      </c>
      <c r="B159" s="146" t="s">
        <v>280</v>
      </c>
      <c r="C159" s="129" t="s">
        <v>281</v>
      </c>
      <c r="D159" s="586">
        <v>24158.54</v>
      </c>
    </row>
    <row r="160" spans="1:4">
      <c r="A160" s="140">
        <f t="shared" si="4"/>
        <v>21</v>
      </c>
      <c r="B160" s="146" t="s">
        <v>282</v>
      </c>
      <c r="C160" s="129" t="s">
        <v>283</v>
      </c>
      <c r="D160" s="586">
        <v>342170.07</v>
      </c>
    </row>
    <row r="161" spans="1:4">
      <c r="A161" s="140">
        <f t="shared" si="4"/>
        <v>22</v>
      </c>
      <c r="B161" s="146" t="s">
        <v>267</v>
      </c>
      <c r="C161" s="129" t="s">
        <v>284</v>
      </c>
      <c r="D161" s="167">
        <v>0</v>
      </c>
    </row>
    <row r="162" spans="1:4">
      <c r="A162" s="140">
        <f t="shared" si="4"/>
        <v>23</v>
      </c>
      <c r="B162" s="146" t="s">
        <v>267</v>
      </c>
      <c r="C162" s="129" t="s">
        <v>285</v>
      </c>
      <c r="D162" s="167">
        <v>0</v>
      </c>
    </row>
    <row r="163" spans="1:4">
      <c r="A163" s="140">
        <f t="shared" si="4"/>
        <v>24</v>
      </c>
      <c r="B163" s="146" t="s">
        <v>267</v>
      </c>
      <c r="C163" s="129" t="s">
        <v>286</v>
      </c>
      <c r="D163" s="167">
        <v>0</v>
      </c>
    </row>
    <row r="164" spans="1:4">
      <c r="A164" s="140">
        <f t="shared" si="4"/>
        <v>25</v>
      </c>
      <c r="B164" s="146" t="s">
        <v>267</v>
      </c>
      <c r="C164" s="129" t="s">
        <v>287</v>
      </c>
      <c r="D164" s="167">
        <v>0</v>
      </c>
    </row>
    <row r="165" spans="1:4">
      <c r="A165" s="140">
        <f t="shared" si="4"/>
        <v>26</v>
      </c>
      <c r="B165" s="146" t="s">
        <v>267</v>
      </c>
      <c r="C165" s="129" t="s">
        <v>288</v>
      </c>
      <c r="D165" s="167">
        <v>0</v>
      </c>
    </row>
    <row r="166" spans="1:4">
      <c r="A166" s="140">
        <f t="shared" si="4"/>
        <v>27</v>
      </c>
      <c r="B166" s="146" t="s">
        <v>267</v>
      </c>
      <c r="C166" s="129" t="s">
        <v>289</v>
      </c>
      <c r="D166" s="167">
        <v>0</v>
      </c>
    </row>
    <row r="167" spans="1:4">
      <c r="A167" s="140">
        <f t="shared" si="4"/>
        <v>28</v>
      </c>
      <c r="B167" s="146" t="s">
        <v>267</v>
      </c>
      <c r="C167" s="129" t="s">
        <v>290</v>
      </c>
      <c r="D167" s="167">
        <v>0</v>
      </c>
    </row>
    <row r="168" spans="1:4">
      <c r="A168" s="140">
        <f t="shared" si="4"/>
        <v>29</v>
      </c>
      <c r="B168" s="146" t="s">
        <v>267</v>
      </c>
      <c r="C168" s="129" t="s">
        <v>291</v>
      </c>
      <c r="D168" s="167">
        <v>0</v>
      </c>
    </row>
    <row r="169" spans="1:4">
      <c r="A169" s="140">
        <f t="shared" si="4"/>
        <v>30</v>
      </c>
      <c r="B169" s="146" t="s">
        <v>267</v>
      </c>
      <c r="C169" s="129" t="s">
        <v>292</v>
      </c>
      <c r="D169" s="167">
        <v>0</v>
      </c>
    </row>
    <row r="170" spans="1:4">
      <c r="A170" s="140">
        <f t="shared" si="4"/>
        <v>31</v>
      </c>
      <c r="B170" s="146" t="s">
        <v>267</v>
      </c>
      <c r="C170" s="129" t="s">
        <v>293</v>
      </c>
      <c r="D170" s="167">
        <v>0</v>
      </c>
    </row>
    <row r="171" spans="1:4">
      <c r="A171" s="140">
        <f t="shared" si="4"/>
        <v>32</v>
      </c>
      <c r="B171" s="146" t="s">
        <v>267</v>
      </c>
      <c r="C171" s="129" t="s">
        <v>294</v>
      </c>
      <c r="D171" s="167">
        <v>0</v>
      </c>
    </row>
    <row r="172" spans="1:4">
      <c r="A172" s="140">
        <f t="shared" si="4"/>
        <v>33</v>
      </c>
      <c r="B172" s="146" t="s">
        <v>267</v>
      </c>
      <c r="C172" s="129" t="s">
        <v>295</v>
      </c>
      <c r="D172" s="167">
        <v>0</v>
      </c>
    </row>
    <row r="173" spans="1:4">
      <c r="A173" s="140">
        <f t="shared" si="4"/>
        <v>34</v>
      </c>
      <c r="B173" s="146" t="s">
        <v>267</v>
      </c>
      <c r="C173" s="129" t="s">
        <v>296</v>
      </c>
      <c r="D173" s="167">
        <v>0</v>
      </c>
    </row>
    <row r="174" spans="1:4">
      <c r="A174" s="140">
        <f t="shared" si="4"/>
        <v>35</v>
      </c>
      <c r="B174" s="146" t="s">
        <v>267</v>
      </c>
      <c r="C174" s="129" t="s">
        <v>297</v>
      </c>
      <c r="D174" s="167">
        <v>0</v>
      </c>
    </row>
    <row r="175" spans="1:4">
      <c r="A175" s="140">
        <f t="shared" si="4"/>
        <v>36</v>
      </c>
      <c r="B175" s="146" t="s">
        <v>267</v>
      </c>
      <c r="C175" s="129" t="s">
        <v>298</v>
      </c>
      <c r="D175" s="167">
        <v>0</v>
      </c>
    </row>
    <row r="176" spans="1:4">
      <c r="A176" s="140">
        <f t="shared" si="4"/>
        <v>37</v>
      </c>
      <c r="B176" s="146" t="s">
        <v>267</v>
      </c>
      <c r="C176" s="129" t="s">
        <v>299</v>
      </c>
      <c r="D176" s="167">
        <v>0</v>
      </c>
    </row>
    <row r="177" spans="1:4">
      <c r="A177" s="140">
        <f>+A176+1</f>
        <v>38</v>
      </c>
      <c r="B177" s="615" t="s">
        <v>348</v>
      </c>
      <c r="C177" s="616"/>
      <c r="D177" s="617">
        <f>+SUM(D141:D176)</f>
        <v>753488.28</v>
      </c>
    </row>
    <row r="178" spans="1:4" ht="8.25" customHeight="1">
      <c r="A178" s="140"/>
      <c r="B178" s="618"/>
      <c r="C178" s="619"/>
      <c r="D178" s="610"/>
    </row>
    <row r="179" spans="1:4">
      <c r="A179" s="140">
        <f>+A177+1</f>
        <v>39</v>
      </c>
      <c r="B179" s="157" t="s">
        <v>300</v>
      </c>
      <c r="C179" s="126"/>
      <c r="D179" s="620"/>
    </row>
    <row r="180" spans="1:4">
      <c r="A180" s="140">
        <f>+A179+1</f>
        <v>40</v>
      </c>
      <c r="B180" s="146" t="s">
        <v>301</v>
      </c>
      <c r="C180" s="129" t="s">
        <v>302</v>
      </c>
      <c r="D180" s="586">
        <v>17445224.109999999</v>
      </c>
    </row>
    <row r="181" spans="1:4">
      <c r="A181" s="140">
        <f t="shared" ref="A181:A195" si="5">+A180+1</f>
        <v>41</v>
      </c>
      <c r="B181" s="146" t="s">
        <v>303</v>
      </c>
      <c r="C181" s="129" t="s">
        <v>304</v>
      </c>
      <c r="D181" s="586">
        <v>3921482.45</v>
      </c>
    </row>
    <row r="182" spans="1:4">
      <c r="A182" s="140">
        <f t="shared" si="5"/>
        <v>42</v>
      </c>
      <c r="B182" s="146" t="s">
        <v>305</v>
      </c>
      <c r="C182" s="129" t="s">
        <v>306</v>
      </c>
      <c r="D182" s="586">
        <v>-2270408.89</v>
      </c>
    </row>
    <row r="183" spans="1:4">
      <c r="A183" s="140">
        <f t="shared" si="5"/>
        <v>43</v>
      </c>
      <c r="B183" s="146" t="s">
        <v>307</v>
      </c>
      <c r="C183" s="129" t="s">
        <v>308</v>
      </c>
      <c r="D183" s="586">
        <v>793902.24</v>
      </c>
    </row>
    <row r="184" spans="1:4">
      <c r="A184" s="140">
        <f t="shared" si="5"/>
        <v>44</v>
      </c>
      <c r="B184" s="146" t="s">
        <v>309</v>
      </c>
      <c r="C184" s="129" t="s">
        <v>310</v>
      </c>
      <c r="D184" s="167">
        <f>2408015.99</f>
        <v>2408015.9900000002</v>
      </c>
    </row>
    <row r="185" spans="1:4">
      <c r="A185" s="140">
        <f t="shared" si="5"/>
        <v>45</v>
      </c>
      <c r="B185" s="146" t="s">
        <v>311</v>
      </c>
      <c r="C185" s="129" t="s">
        <v>312</v>
      </c>
      <c r="D185" s="586">
        <v>1012535.19</v>
      </c>
    </row>
    <row r="186" spans="1:4">
      <c r="A186" s="140">
        <f t="shared" si="5"/>
        <v>46</v>
      </c>
      <c r="B186" s="146" t="s">
        <v>313</v>
      </c>
      <c r="C186" s="129" t="s">
        <v>314</v>
      </c>
      <c r="D186" s="586">
        <v>3665091.88</v>
      </c>
    </row>
    <row r="187" spans="1:4">
      <c r="A187" s="140">
        <f t="shared" si="5"/>
        <v>47</v>
      </c>
      <c r="B187" s="146" t="s">
        <v>315</v>
      </c>
      <c r="C187" s="129" t="s">
        <v>316</v>
      </c>
      <c r="D187" s="586">
        <v>1852029.12</v>
      </c>
    </row>
    <row r="188" spans="1:4">
      <c r="A188" s="140">
        <f t="shared" si="5"/>
        <v>48</v>
      </c>
      <c r="B188" s="146" t="s">
        <v>317</v>
      </c>
      <c r="C188" s="129" t="s">
        <v>318</v>
      </c>
      <c r="D188" s="621">
        <v>1359067.1400000001</v>
      </c>
    </row>
    <row r="189" spans="1:4">
      <c r="A189" s="140">
        <f t="shared" si="5"/>
        <v>49</v>
      </c>
      <c r="B189" s="146" t="s">
        <v>319</v>
      </c>
      <c r="C189" s="129" t="s">
        <v>320</v>
      </c>
      <c r="D189" s="622">
        <v>601317.06000000006</v>
      </c>
    </row>
    <row r="190" spans="1:4">
      <c r="A190" s="140">
        <f t="shared" si="5"/>
        <v>50</v>
      </c>
      <c r="B190" s="146" t="s">
        <v>141</v>
      </c>
      <c r="C190" s="129" t="s">
        <v>321</v>
      </c>
      <c r="D190" s="586">
        <v>220053.47</v>
      </c>
    </row>
    <row r="191" spans="1:4">
      <c r="A191" s="140">
        <f t="shared" si="5"/>
        <v>51</v>
      </c>
      <c r="B191" s="146" t="s">
        <v>322</v>
      </c>
      <c r="C191" s="134" t="s">
        <v>323</v>
      </c>
      <c r="D191" s="586">
        <v>2865916</v>
      </c>
    </row>
    <row r="192" spans="1:4">
      <c r="A192" s="140">
        <f t="shared" si="5"/>
        <v>52</v>
      </c>
      <c r="B192" s="146" t="s">
        <v>99</v>
      </c>
      <c r="C192" s="129" t="s">
        <v>324</v>
      </c>
      <c r="D192" s="623">
        <v>0</v>
      </c>
    </row>
    <row r="193" spans="1:4">
      <c r="A193" s="140">
        <f t="shared" si="5"/>
        <v>53</v>
      </c>
      <c r="B193" s="169" t="s">
        <v>325</v>
      </c>
      <c r="C193" s="170"/>
      <c r="D193" s="171">
        <f>SUM(D180:D192)</f>
        <v>33874225.759999998</v>
      </c>
    </row>
    <row r="194" spans="1:4">
      <c r="A194" s="140">
        <f t="shared" si="5"/>
        <v>54</v>
      </c>
      <c r="B194" s="172" t="s">
        <v>327</v>
      </c>
      <c r="C194" s="173"/>
      <c r="D194" s="174">
        <f>D189</f>
        <v>601317.06000000006</v>
      </c>
    </row>
    <row r="195" spans="1:4">
      <c r="A195" s="140">
        <f t="shared" si="5"/>
        <v>55</v>
      </c>
      <c r="B195" s="175" t="s">
        <v>331</v>
      </c>
      <c r="C195" s="176"/>
      <c r="D195" s="177">
        <f>D193-D194</f>
        <v>33272908.699999999</v>
      </c>
    </row>
    <row r="196" spans="1:4">
      <c r="A196" s="178"/>
      <c r="B196" s="179"/>
      <c r="C196" s="180"/>
      <c r="D196" s="181"/>
    </row>
  </sheetData>
  <mergeCells count="10">
    <mergeCell ref="B77:B78"/>
    <mergeCell ref="C77:C78"/>
    <mergeCell ref="B138:B139"/>
    <mergeCell ref="C138:C139"/>
    <mergeCell ref="A1:B1"/>
    <mergeCell ref="B8:B9"/>
    <mergeCell ref="C8:C9"/>
    <mergeCell ref="A2:D2"/>
    <mergeCell ref="A3:D3"/>
    <mergeCell ref="A4:D4"/>
  </mergeCells>
  <printOptions horizontalCentered="1"/>
  <pageMargins left="0.75" right="0.75" top="0.75" bottom="0.25" header="0.5" footer="0.5"/>
  <pageSetup scale="64" firstPageNumber="9" fitToHeight="3" orientation="portrait" useFirstPageNumber="1" r:id="rId1"/>
  <headerFooter alignWithMargins="0">
    <oddHeader>&amp;R&amp;"Arial,Regular"&amp;10Attachment O Work Paper
Page &amp;P of 20</oddHeader>
  </headerFooter>
  <rowBreaks count="2" manualBreakCount="2">
    <brk id="75" max="3" man="1"/>
    <brk id="13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Page 1 - PIS</vt:lpstr>
      <vt:lpstr>Page 2 - Accum Depr</vt:lpstr>
      <vt:lpstr>Page 3 - CWIP</vt:lpstr>
      <vt:lpstr>Page 4 - ADIT</vt:lpstr>
      <vt:lpstr>Page 5 - Net Prefunded AFUDC</vt:lpstr>
      <vt:lpstr>Page 6 - PHFU</vt:lpstr>
      <vt:lpstr>Page 7 - M&amp;S</vt:lpstr>
      <vt:lpstr>Page 8 - Prepayments</vt:lpstr>
      <vt:lpstr>Page 9-11 - Funct</vt:lpstr>
      <vt:lpstr>Page 12 - A&amp;G Exp</vt:lpstr>
      <vt:lpstr>Page 13 - Depr Exp</vt:lpstr>
      <vt:lpstr>Page 14 - Prop Tax</vt:lpstr>
      <vt:lpstr>Page 15 - Invest Tax</vt:lpstr>
      <vt:lpstr>Page 16 - FERC Acct 561</vt:lpstr>
      <vt:lpstr>Page 17 - Labor Ratios</vt:lpstr>
      <vt:lpstr>Page 18 - Equity</vt:lpstr>
      <vt:lpstr>Page 19 - Elec Debt</vt:lpstr>
      <vt:lpstr>Page 20 - Revenues</vt:lpstr>
      <vt:lpstr>Page 20A - FERC 454 Recon</vt:lpstr>
      <vt:lpstr>Page 21a - Income Tax RateCalc </vt:lpstr>
      <vt:lpstr>Page 21b - Income Tax Rate Calc</vt:lpstr>
      <vt:lpstr>Attachment GG Projects</vt:lpstr>
      <vt:lpstr>'Page 17 - Labor Ratios'!Print_Area</vt:lpstr>
      <vt:lpstr>'Page 18 - Equity'!Print_Area</vt:lpstr>
      <vt:lpstr>'Page 19 - Elec Debt'!Print_Area</vt:lpstr>
      <vt:lpstr>'Page 4 - ADIT'!Print_Area</vt:lpstr>
      <vt:lpstr>'Page 8 - Prepayments'!Print_Area</vt:lpstr>
      <vt:lpstr>'Page 9-11 - Funct'!Print_Area</vt:lpstr>
      <vt:lpstr>'Page 9-11 - Funct'!Print_Titles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ama2</dc:creator>
  <cp:lastModifiedBy>Kyle Sem</cp:lastModifiedBy>
  <cp:lastPrinted>2012-06-01T20:06:43Z</cp:lastPrinted>
  <dcterms:created xsi:type="dcterms:W3CDTF">2009-10-01T13:58:58Z</dcterms:created>
  <dcterms:modified xsi:type="dcterms:W3CDTF">2012-06-01T20:14:56Z</dcterms:modified>
</cp:coreProperties>
</file>