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311" windowWidth="19230" windowHeight="6285" tabRatio="974" firstSheet="11" activeTab="18"/>
  </bookViews>
  <sheets>
    <sheet name="Page 1 - PIS" sheetId="1" r:id="rId1"/>
    <sheet name="Page 2 - Accum Depr" sheetId="2" r:id="rId2"/>
    <sheet name="Page 3 - CWIP" sheetId="3" r:id="rId3"/>
    <sheet name="Page 4 - ADIT" sheetId="4" r:id="rId4"/>
    <sheet name="Page 5 - Net Prefunded AFUDC" sheetId="5" r:id="rId5"/>
    <sheet name="Page 6 - PHFU" sheetId="6" r:id="rId6"/>
    <sheet name="Page 7 - M&amp;S" sheetId="7" r:id="rId7"/>
    <sheet name="Page 8 - Prepayments" sheetId="8" r:id="rId8"/>
    <sheet name="Page 9-11 - Funct" sheetId="9" r:id="rId9"/>
    <sheet name="Page 12 - A&amp;G Exp" sheetId="10" r:id="rId10"/>
    <sheet name="Page 13 - Depr Exp" sheetId="11" r:id="rId11"/>
    <sheet name="Page 14 - Prop Tax" sheetId="12" r:id="rId12"/>
    <sheet name="Page 15 - Invest Tax" sheetId="13" r:id="rId13"/>
    <sheet name="Page 16 - FERC Acct 561" sheetId="14" r:id="rId14"/>
    <sheet name="Page 17 - Labor Ratios" sheetId="15" r:id="rId15"/>
    <sheet name="Page 18 - Equity" sheetId="16" r:id="rId16"/>
    <sheet name="Page 19 - Elec Debt" sheetId="17" r:id="rId17"/>
    <sheet name="Page 20 - Revenues" sheetId="18" r:id="rId18"/>
    <sheet name="Attachment GG Projects" sheetId="19" r:id="rId19"/>
  </sheets>
  <externalReferences>
    <externalReference r:id="rId22"/>
    <externalReference r:id="rId23"/>
  </externalReferences>
  <definedNames>
    <definedName name="\P" localSheetId="2">#REF!</definedName>
    <definedName name="\P" localSheetId="4">#REF!</definedName>
    <definedName name="\P">#REF!</definedName>
    <definedName name="__HH_F">'[1]factors:memo'!$G$36:$N$82</definedName>
    <definedName name="_Order1" hidden="1">255</definedName>
    <definedName name="_PG1" localSheetId="2">#REF!</definedName>
    <definedName name="_PG1" localSheetId="4">#REF!</definedName>
    <definedName name="_PG1">#REF!</definedName>
    <definedName name="_PG2" localSheetId="2">#REF!</definedName>
    <definedName name="_PG2" localSheetId="4">#REF!</definedName>
    <definedName name="_PG2">#REF!</definedName>
    <definedName name="_PR1" localSheetId="12">#REF!</definedName>
    <definedName name="_PR1" localSheetId="2">#REF!</definedName>
    <definedName name="_PR1" localSheetId="4">#REF!</definedName>
    <definedName name="_PR1">#REF!</definedName>
    <definedName name="_PR2" localSheetId="12">#REF!</definedName>
    <definedName name="_PR2" localSheetId="2">#REF!</definedName>
    <definedName name="_PR2" localSheetId="4">#REF!</definedName>
    <definedName name="_PR2">#REF!</definedName>
    <definedName name="_PR3" localSheetId="12">#REF!</definedName>
    <definedName name="_PR3" localSheetId="2">#REF!</definedName>
    <definedName name="_PR3" localSheetId="4">#REF!</definedName>
    <definedName name="_PR3">#REF!</definedName>
    <definedName name="Amount" localSheetId="2">#REF!</definedName>
    <definedName name="Amount" localSheetId="4">#REF!</definedName>
    <definedName name="Amount">#REF!</definedName>
    <definedName name="CCOSS_Data" localSheetId="12">#REF!</definedName>
    <definedName name="CCOSS_Data" localSheetId="2">#REF!</definedName>
    <definedName name="CCOSS_Data" localSheetId="4">#REF!</definedName>
    <definedName name="CCOSS_Data">#REF!</definedName>
    <definedName name="D__M" localSheetId="12">#REF!</definedName>
    <definedName name="D__M" localSheetId="2">#REF!</definedName>
    <definedName name="D__M" localSheetId="4">#REF!</definedName>
    <definedName name="D__M">#REF!</definedName>
    <definedName name="DB" localSheetId="2">#REF!</definedName>
    <definedName name="DB" localSheetId="4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 localSheetId="2">#REF!</definedName>
    <definedName name="Federal" localSheetId="4">#REF!</definedName>
    <definedName name="Federal">#REF!</definedName>
    <definedName name="FERC" localSheetId="2">#REF!</definedName>
    <definedName name="FERC" localSheetId="4">#REF!</definedName>
    <definedName name="FERC">#REF!</definedName>
    <definedName name="K2_WBEVMODE" hidden="1">0</definedName>
    <definedName name="PNT" localSheetId="2">#REF!</definedName>
    <definedName name="PNT" localSheetId="4">#REF!</definedName>
    <definedName name="PNT">#REF!</definedName>
    <definedName name="PRINT" localSheetId="2">#REF!</definedName>
    <definedName name="PRINT" localSheetId="4">#REF!</definedName>
    <definedName name="PRINT">#REF!</definedName>
    <definedName name="_xlnm.Print_Area" localSheetId="14">'Page 17 - Labor Ratios'!$A$1:$F$30</definedName>
    <definedName name="_xlnm.Print_Area" localSheetId="15">'Page 18 - Equity'!$A$1:$P$32</definedName>
    <definedName name="_xlnm.Print_Area" localSheetId="16">'Page 19 - Elec Debt'!$A$1:$R$40</definedName>
    <definedName name="_xlnm.Print_Area" localSheetId="3">'Page 4 - ADIT'!$A$1:$F$20</definedName>
    <definedName name="_xlnm.Print_Area" localSheetId="7">'Page 8 - Prepayments'!$A$1:$D$27</definedName>
    <definedName name="_xlnm.Print_Area" localSheetId="8">'Page 9-11 - Funct'!$A$1:$D$197</definedName>
    <definedName name="_xlnm.Print_Titles" localSheetId="8">'Page 9-11 - Funct'!$1:$6</definedName>
    <definedName name="Print_Titles_MI" localSheetId="2">#REF!</definedName>
    <definedName name="Print_Titles_MI" localSheetId="4">#REF!</definedName>
    <definedName name="Print_Titles_MI">#REF!</definedName>
    <definedName name="PRNT" localSheetId="2">#REF!</definedName>
    <definedName name="PRNT" localSheetId="4">#REF!</definedName>
    <definedName name="PRNT">#REF!</definedName>
    <definedName name="TOTAL" localSheetId="12">#REF!</definedName>
    <definedName name="TOTAL" localSheetId="2">#REF!</definedName>
    <definedName name="TOTAL" localSheetId="4">#REF!</definedName>
    <definedName name="TOTAL">#REF!</definedName>
    <definedName name="TOTAL2" localSheetId="12">#REF!</definedName>
    <definedName name="TOTAL2" localSheetId="2">#REF!</definedName>
    <definedName name="TOTAL2" localSheetId="4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<sst xmlns="http://schemas.openxmlformats.org/spreadsheetml/2006/main" count="1613" uniqueCount="597">
  <si>
    <t>Otter Tail Power Company</t>
  </si>
  <si>
    <t>Analysis of Accumulated Depreciation &amp; Depreciation Expense</t>
  </si>
  <si>
    <t>(A)</t>
  </si>
  <si>
    <t>(B)</t>
  </si>
  <si>
    <t>(C)</t>
  </si>
  <si>
    <t>(D)</t>
  </si>
  <si>
    <t>(E)</t>
  </si>
  <si>
    <t>(G)</t>
  </si>
  <si>
    <t>(F)</t>
  </si>
  <si>
    <t>Line</t>
  </si>
  <si>
    <t>Unclassified</t>
  </si>
  <si>
    <t>No.</t>
  </si>
  <si>
    <t>Production</t>
  </si>
  <si>
    <t>Transmission</t>
  </si>
  <si>
    <t>Distribution</t>
  </si>
  <si>
    <t>General</t>
  </si>
  <si>
    <t>Intangible</t>
  </si>
  <si>
    <t>Reserve</t>
  </si>
  <si>
    <t>Total</t>
  </si>
  <si>
    <t>December 2009</t>
  </si>
  <si>
    <t>January 2010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</si>
  <si>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</si>
  <si>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</si>
  <si>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</si>
  <si>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</si>
  <si>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</si>
  <si>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</si>
  <si>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</si>
  <si>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</si>
  <si>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</si>
  <si>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</si>
  <si>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</si>
  <si>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13-Month Average</t>
  </si>
  <si>
    <t>Plant Account Balances</t>
  </si>
  <si>
    <t>(H)</t>
  </si>
  <si>
    <t>(I)</t>
  </si>
  <si>
    <t>(J)</t>
  </si>
  <si>
    <t>FERC</t>
  </si>
  <si>
    <t>January</t>
  </si>
  <si>
    <t>Description</t>
  </si>
  <si>
    <t>Plant Held for Future Use</t>
  </si>
  <si>
    <t>Accumulated Deferred Income Tax</t>
  </si>
  <si>
    <t>Budget Year 2010</t>
  </si>
  <si>
    <t>Line No.</t>
  </si>
  <si>
    <t>Balance Per Books</t>
  </si>
  <si>
    <t>Change</t>
  </si>
  <si>
    <t>Account 282 ADIT - Utility operations</t>
  </si>
  <si>
    <t>Account 283 ADIT Other utility operations</t>
  </si>
  <si>
    <t>Account 283.10 ADIT Big Stone</t>
  </si>
  <si>
    <t>Account 190 Accumulated Deferred Income Taxes  - Utility</t>
  </si>
  <si>
    <t>Forecast Inventory Balances</t>
  </si>
  <si>
    <t>Materials and Supplies</t>
  </si>
  <si>
    <t>End of Month</t>
  </si>
  <si>
    <t>All Other</t>
  </si>
  <si>
    <t>Total M&amp;S</t>
  </si>
  <si>
    <t>-Transmission</t>
  </si>
  <si>
    <t>-Distribution</t>
  </si>
  <si>
    <t xml:space="preserve">  Total</t>
  </si>
  <si>
    <t>Prepayments</t>
  </si>
  <si>
    <t>Monthly Change</t>
  </si>
  <si>
    <t>Prepaid Insurance and Interest                 FERC 165</t>
  </si>
  <si>
    <t>Depreciation Expense</t>
  </si>
  <si>
    <t>Minnesota</t>
  </si>
  <si>
    <t>North Dakota</t>
  </si>
  <si>
    <t>South Dakota</t>
  </si>
  <si>
    <t xml:space="preserve">  Steam (Excl Un Tr &amp; Ort)</t>
  </si>
  <si>
    <t xml:space="preserve">  Hydro</t>
  </si>
  <si>
    <t xml:space="preserve">  Other - I.C.</t>
  </si>
  <si>
    <t xml:space="preserve">  Other - Wind</t>
  </si>
  <si>
    <t xml:space="preserve">    Total Production</t>
  </si>
  <si>
    <t xml:space="preserve">  Transmission</t>
  </si>
  <si>
    <t xml:space="preserve">  Distribution</t>
  </si>
  <si>
    <t xml:space="preserve">  General (Excl Transp 392,390.2 &amp; WHSE</t>
  </si>
  <si>
    <t xml:space="preserve">  390.3,393,394.1 &amp; CAP A&amp;G)</t>
  </si>
  <si>
    <t xml:space="preserve">  Fleet Service Center; (1)</t>
  </si>
  <si>
    <t xml:space="preserve">  Central Stores Clearing; (1)</t>
  </si>
  <si>
    <t xml:space="preserve">  Airplane; (1)</t>
  </si>
  <si>
    <t xml:space="preserve">     Total General</t>
  </si>
  <si>
    <t xml:space="preserve">     Total</t>
  </si>
  <si>
    <t>Budget Year Ending December 31, 2010</t>
  </si>
  <si>
    <t xml:space="preserve"> 12 Month Ended 12/31/10</t>
  </si>
  <si>
    <t>Labor Ratios</t>
  </si>
  <si>
    <t>Function Labor</t>
  </si>
  <si>
    <t>Amount</t>
  </si>
  <si>
    <t>Portion of  Total</t>
  </si>
  <si>
    <t xml:space="preserve"> </t>
  </si>
  <si>
    <t>Customer Accounts</t>
  </si>
  <si>
    <t>Customer Service &amp; Information, &amp; Sales</t>
  </si>
  <si>
    <t xml:space="preserve">    Subtotal</t>
  </si>
  <si>
    <t>Budget 2009</t>
  </si>
  <si>
    <t>Budget 2010</t>
  </si>
  <si>
    <t>Less: Regional Market Labor</t>
  </si>
  <si>
    <t>Total Production</t>
  </si>
  <si>
    <t>Embedded Cost of Debt Capital</t>
  </si>
  <si>
    <r>
      <t xml:space="preserve">Average Thirteen Monthly Balances Year Ending </t>
    </r>
    <r>
      <rPr>
        <b/>
        <sz val="10"/>
        <rFont val="Arial"/>
        <family val="2"/>
      </rPr>
      <t xml:space="preserve">December 31, </t>
    </r>
    <r>
      <rPr>
        <b/>
        <sz val="10"/>
        <color indexed="10"/>
        <rFont val="Arial"/>
        <family val="2"/>
      </rPr>
      <t>2010</t>
    </r>
  </si>
  <si>
    <t>(K)</t>
  </si>
  <si>
    <t>(L)</t>
  </si>
  <si>
    <t>(M)</t>
  </si>
  <si>
    <t>(N)</t>
  </si>
  <si>
    <t>(O)</t>
  </si>
  <si>
    <t>(P)</t>
  </si>
  <si>
    <t>(Q)</t>
  </si>
  <si>
    <t>Rate</t>
  </si>
  <si>
    <t>Avrerage</t>
  </si>
  <si>
    <t>Interest</t>
  </si>
  <si>
    <t>of</t>
  </si>
  <si>
    <t>Monthly</t>
  </si>
  <si>
    <t>Cost</t>
  </si>
  <si>
    <t>Principal Amounts Outstanding</t>
  </si>
  <si>
    <t>Balances</t>
  </si>
  <si>
    <r>
      <t xml:space="preserve">Year </t>
    </r>
    <r>
      <rPr>
        <b/>
        <sz val="10"/>
        <color indexed="10"/>
        <rFont val="Arial"/>
        <family val="2"/>
      </rPr>
      <t>2010</t>
    </r>
  </si>
  <si>
    <t>Debentures</t>
  </si>
  <si>
    <t>6.70% Series For 2011</t>
  </si>
  <si>
    <t>5.778 % Series 2017 Cascade</t>
  </si>
  <si>
    <t>5.95% Unsecured Series A 2017 Senior Notes</t>
  </si>
  <si>
    <t>6.15% Unsecured Series B 2022 Senior Notes</t>
  </si>
  <si>
    <t>6.370% Unsecured Series C 2027 Senior Notes</t>
  </si>
  <si>
    <t>6.470% Series D 2037 Unsecured Senior Notes</t>
  </si>
  <si>
    <t>2009 Luverne Issuance</t>
  </si>
  <si>
    <t>Variable</t>
  </si>
  <si>
    <t>Intercompany Debt (Formerly $3.60 Dividend Series)</t>
  </si>
  <si>
    <t>Intercompany Debt (Formerly $4.40 Dividend Series)</t>
  </si>
  <si>
    <t>Intercompany Debt (Formerly $4.65 Dividend Series)</t>
  </si>
  <si>
    <t>Intercompany Debt (Formerly $6.75 Dividend Series)</t>
  </si>
  <si>
    <t xml:space="preserve">  Total Debentures</t>
  </si>
  <si>
    <t>Pollution Control Revenue Bonds</t>
  </si>
  <si>
    <t>4.65% series 2017 PCR Bonds (BSP)</t>
  </si>
  <si>
    <t>4.85% Series 2022 PCR Bonds (Coyote)</t>
  </si>
  <si>
    <t>AJ Rate Series of 2012</t>
  </si>
  <si>
    <t>Varies</t>
  </si>
  <si>
    <t xml:space="preserve">    Total Poll Control </t>
  </si>
  <si>
    <t>Loss/Gain  on Reacquired Debt</t>
  </si>
  <si>
    <t>Total Long-Term Debt Capital</t>
  </si>
  <si>
    <t>Common Equity</t>
  </si>
  <si>
    <t>Title</t>
  </si>
  <si>
    <t>Contributed Capital</t>
  </si>
  <si>
    <t xml:space="preserve">    Current Year Capital Contributions </t>
  </si>
  <si>
    <t>Common Stock Balance</t>
  </si>
  <si>
    <t>Retained Earnings -</t>
  </si>
  <si>
    <t xml:space="preserve">   Beginning Balance   </t>
  </si>
  <si>
    <t>End of Month Balance</t>
  </si>
  <si>
    <t>Other Comprehensive Income</t>
  </si>
  <si>
    <t>Total Electric Common Equity</t>
  </si>
  <si>
    <t xml:space="preserve">   Net Income</t>
  </si>
  <si>
    <t xml:space="preserve">   Dividends</t>
  </si>
  <si>
    <t xml:space="preserve">   Other</t>
  </si>
  <si>
    <t>Accounts</t>
  </si>
  <si>
    <t xml:space="preserve">   Station Equipment</t>
  </si>
  <si>
    <t xml:space="preserve">   Radio Load Control Equipment</t>
  </si>
  <si>
    <t>Steam Power Generation:</t>
  </si>
  <si>
    <t xml:space="preserve">   Supervision and Engineering</t>
  </si>
  <si>
    <t>401 - 500</t>
  </si>
  <si>
    <t xml:space="preserve">   Fuel</t>
  </si>
  <si>
    <t>401 - 501</t>
  </si>
  <si>
    <t xml:space="preserve">   Steam Expense</t>
  </si>
  <si>
    <t>401 - 502</t>
  </si>
  <si>
    <t xml:space="preserve">   Electrical Expense</t>
  </si>
  <si>
    <t>401 - 505</t>
  </si>
  <si>
    <t xml:space="preserve">   Miscellaneous Expense</t>
  </si>
  <si>
    <t>401 - 506</t>
  </si>
  <si>
    <t xml:space="preserve">   Rent</t>
  </si>
  <si>
    <t>401 - 507</t>
  </si>
  <si>
    <t>Maintenance:</t>
  </si>
  <si>
    <t>402 - 510</t>
  </si>
  <si>
    <t xml:space="preserve">   Structures</t>
  </si>
  <si>
    <t>402 - 511</t>
  </si>
  <si>
    <t xml:space="preserve">   Boiler</t>
  </si>
  <si>
    <t>402 - 512</t>
  </si>
  <si>
    <t xml:space="preserve">   Electric</t>
  </si>
  <si>
    <t>402 - 513</t>
  </si>
  <si>
    <t xml:space="preserve">   Miscellaneous</t>
  </si>
  <si>
    <t>402 - 514</t>
  </si>
  <si>
    <t>Hydro:</t>
  </si>
  <si>
    <t>401 - 535</t>
  </si>
  <si>
    <t xml:space="preserve">   Electric Expense</t>
  </si>
  <si>
    <t>401 - 538</t>
  </si>
  <si>
    <t>401 - 539</t>
  </si>
  <si>
    <t xml:space="preserve">   Supervision &amp; Engineering</t>
  </si>
  <si>
    <t>402 - 541</t>
  </si>
  <si>
    <t>402 - 542</t>
  </si>
  <si>
    <t xml:space="preserve">   Reservoirs - Dams</t>
  </si>
  <si>
    <t>402 - 543</t>
  </si>
  <si>
    <t>402 - 544</t>
  </si>
  <si>
    <t>402 - 545</t>
  </si>
  <si>
    <t>IC:</t>
  </si>
  <si>
    <t>401 - 546</t>
  </si>
  <si>
    <t>401 - 547</t>
  </si>
  <si>
    <t xml:space="preserve">   Generation Expense</t>
  </si>
  <si>
    <t>401 - 548</t>
  </si>
  <si>
    <t>401 - 549</t>
  </si>
  <si>
    <t xml:space="preserve">   Rents</t>
  </si>
  <si>
    <t>401 - 550</t>
  </si>
  <si>
    <t>402 - 551</t>
  </si>
  <si>
    <t>402 - 552</t>
  </si>
  <si>
    <t xml:space="preserve">   Generating and Electric</t>
  </si>
  <si>
    <t>402 - 553</t>
  </si>
  <si>
    <t>402 - 554</t>
  </si>
  <si>
    <t>Other Power Supply Expenses:</t>
  </si>
  <si>
    <t xml:space="preserve">   System Control and Dispatch</t>
  </si>
  <si>
    <t>401 - 556</t>
  </si>
  <si>
    <t xml:space="preserve">   Other Expenses</t>
  </si>
  <si>
    <t>401 - 557</t>
  </si>
  <si>
    <t>401 - 560</t>
  </si>
  <si>
    <t xml:space="preserve">   Load Dispatching</t>
  </si>
  <si>
    <t>401 - 561</t>
  </si>
  <si>
    <t xml:space="preserve">   Station Expense</t>
  </si>
  <si>
    <t>401 - 562</t>
  </si>
  <si>
    <t xml:space="preserve">   Overhead Lines</t>
  </si>
  <si>
    <t>401 - 563</t>
  </si>
  <si>
    <t xml:space="preserve">   Transmission of Electricity by Others</t>
  </si>
  <si>
    <t>401 - 565</t>
  </si>
  <si>
    <t>401 - 566</t>
  </si>
  <si>
    <t>401 - 567</t>
  </si>
  <si>
    <t>402 - 568</t>
  </si>
  <si>
    <t xml:space="preserve">   Computer Hardware, Software, etc</t>
  </si>
  <si>
    <t>402 - 569</t>
  </si>
  <si>
    <t>402 - 570</t>
  </si>
  <si>
    <t xml:space="preserve">   Overhead System</t>
  </si>
  <si>
    <t>402 - 571</t>
  </si>
  <si>
    <t xml:space="preserve">   Underground Lines</t>
  </si>
  <si>
    <t>402 - 572</t>
  </si>
  <si>
    <t xml:space="preserve">   Maintenance of Miscellaneous Plant</t>
  </si>
  <si>
    <t>402 - 573</t>
  </si>
  <si>
    <t xml:space="preserve">   Day-Ahead &amp; Real-Time and Transmission Market Expense</t>
  </si>
  <si>
    <t>401 - 575</t>
  </si>
  <si>
    <t xml:space="preserve">   Computer Software</t>
  </si>
  <si>
    <t>402 - 576</t>
  </si>
  <si>
    <t>Distribution Expense:</t>
  </si>
  <si>
    <t xml:space="preserve">   Operation, Supervision &amp; Engineering</t>
  </si>
  <si>
    <t>401 - 580</t>
  </si>
  <si>
    <t>401 - 581</t>
  </si>
  <si>
    <t xml:space="preserve">   Station Expenses</t>
  </si>
  <si>
    <t>401 - 582</t>
  </si>
  <si>
    <t xml:space="preserve">   Line Expenses</t>
  </si>
  <si>
    <t>401 - 583</t>
  </si>
  <si>
    <t xml:space="preserve">   Underground Line Expenses</t>
  </si>
  <si>
    <t>401 - 584</t>
  </si>
  <si>
    <t xml:space="preserve">   Streetlighting &amp; Signal System</t>
  </si>
  <si>
    <t>401 - 585</t>
  </si>
  <si>
    <t xml:space="preserve">     Not Used</t>
  </si>
  <si>
    <t>401 - 586.01</t>
  </si>
  <si>
    <t>401 - 586.02</t>
  </si>
  <si>
    <t>401 - 586.03</t>
  </si>
  <si>
    <t>401 - 586.04</t>
  </si>
  <si>
    <t>401 - 586.05</t>
  </si>
  <si>
    <t>401 - 586.06</t>
  </si>
  <si>
    <t>401 - 586.07</t>
  </si>
  <si>
    <t xml:space="preserve">   Meter Expenses:</t>
  </si>
  <si>
    <t>401 - 586</t>
  </si>
  <si>
    <t xml:space="preserve">   Other Distribution Expenses</t>
  </si>
  <si>
    <t>401 - 587</t>
  </si>
  <si>
    <t xml:space="preserve">   Miscellaneous Distribution Expenses</t>
  </si>
  <si>
    <t>401 - 588</t>
  </si>
  <si>
    <t>401 - 589</t>
  </si>
  <si>
    <t xml:space="preserve">   Maintenance, Supervision &amp; Engineering</t>
  </si>
  <si>
    <t>402 - 590</t>
  </si>
  <si>
    <t xml:space="preserve">   Maintenance of Station Equipment</t>
  </si>
  <si>
    <t>402 - 592</t>
  </si>
  <si>
    <t xml:space="preserve">   Maintenance of Overhead Lines</t>
  </si>
  <si>
    <t>402 - 593</t>
  </si>
  <si>
    <t xml:space="preserve">   Maintenance of Underground Lines</t>
  </si>
  <si>
    <t>402 - 594</t>
  </si>
  <si>
    <t xml:space="preserve">   Maintenance of Line Transformers</t>
  </si>
  <si>
    <t>402 - 595</t>
  </si>
  <si>
    <t xml:space="preserve">   Maintenance of Streetlighting &amp; Signal</t>
  </si>
  <si>
    <t>402 - 596</t>
  </si>
  <si>
    <t xml:space="preserve">   Maintenance of Meters:</t>
  </si>
  <si>
    <t>402 - 597.01</t>
  </si>
  <si>
    <t>402 - 597.02</t>
  </si>
  <si>
    <t>402 - 597.03</t>
  </si>
  <si>
    <t xml:space="preserve">   Maintenance of Property in A/C 371</t>
  </si>
  <si>
    <t>402 - 598</t>
  </si>
  <si>
    <t>Customer Accounting:</t>
  </si>
  <si>
    <t xml:space="preserve">   Supervision</t>
  </si>
  <si>
    <t>401 - 901</t>
  </si>
  <si>
    <t xml:space="preserve">   Meter Reading Expenses</t>
  </si>
  <si>
    <t>401 - 902</t>
  </si>
  <si>
    <t xml:space="preserve">   Customer Records &amp; Collection Expense</t>
  </si>
  <si>
    <t>401 - 903</t>
  </si>
  <si>
    <t xml:space="preserve">   Uncollectible Accounts</t>
  </si>
  <si>
    <t>401 - 904</t>
  </si>
  <si>
    <t xml:space="preserve">   Miscellaneous Expenses</t>
  </si>
  <si>
    <t>401 - 905</t>
  </si>
  <si>
    <t>Customer Service and Information Expense:</t>
  </si>
  <si>
    <t>401 - 907</t>
  </si>
  <si>
    <t xml:space="preserve">   Customer Assistance Expenses</t>
  </si>
  <si>
    <t xml:space="preserve">     Salary</t>
  </si>
  <si>
    <t>401 - 908</t>
  </si>
  <si>
    <t>401 - 908.2</t>
  </si>
  <si>
    <t>401 - 908.3</t>
  </si>
  <si>
    <t>401 - 908.4</t>
  </si>
  <si>
    <t>401 - 908.11</t>
  </si>
  <si>
    <t>401 - 908.12</t>
  </si>
  <si>
    <t>401 - 908.13</t>
  </si>
  <si>
    <t xml:space="preserve">     Conservation Investment Program - SD</t>
  </si>
  <si>
    <t>401 - 908.16</t>
  </si>
  <si>
    <t xml:space="preserve">     Conservation Investment Program - ND</t>
  </si>
  <si>
    <t>401 - 908.17</t>
  </si>
  <si>
    <t xml:space="preserve">     Conservation Investment Program - MN</t>
  </si>
  <si>
    <t>401 - 908.18</t>
  </si>
  <si>
    <t>401 - 908.22</t>
  </si>
  <si>
    <t>401 - 908.23</t>
  </si>
  <si>
    <t xml:space="preserve">     Info &amp; Instr Advertising Expense</t>
  </si>
  <si>
    <t>401 - 909</t>
  </si>
  <si>
    <t xml:space="preserve">     Miscellaneous Expenses</t>
  </si>
  <si>
    <t>401 - 910</t>
  </si>
  <si>
    <t>Sales Expenses:</t>
  </si>
  <si>
    <t xml:space="preserve">   Supervisory Labor and Expenses</t>
  </si>
  <si>
    <t>401 - 911</t>
  </si>
  <si>
    <t xml:space="preserve">   Minnesota Economic Development</t>
  </si>
  <si>
    <t>401 - 912</t>
  </si>
  <si>
    <t xml:space="preserve">   North Dakota Economic Development</t>
  </si>
  <si>
    <t xml:space="preserve">   South Dakota Economic Development</t>
  </si>
  <si>
    <t xml:space="preserve">   Labor - Sales &amp; Demonstrations</t>
  </si>
  <si>
    <t>401 - 912.04</t>
  </si>
  <si>
    <t xml:space="preserve">   Expenses - Sales &amp; Demonstrations</t>
  </si>
  <si>
    <t xml:space="preserve">   Not Used</t>
  </si>
  <si>
    <t>401 - 912.10</t>
  </si>
  <si>
    <t>401 - 912.11 &amp;12</t>
  </si>
  <si>
    <t>401 - 912.13</t>
  </si>
  <si>
    <t>401 - 912.14</t>
  </si>
  <si>
    <t>401 - 912.20</t>
  </si>
  <si>
    <t>401 - 912.21 &amp; .22</t>
  </si>
  <si>
    <t>401 - 912.23</t>
  </si>
  <si>
    <t>401 - 912.24</t>
  </si>
  <si>
    <t>401 - 912.30</t>
  </si>
  <si>
    <t>401 - 912.32</t>
  </si>
  <si>
    <t>401 - 912.33</t>
  </si>
  <si>
    <t>401 - 912.34</t>
  </si>
  <si>
    <t xml:space="preserve">   Advertising</t>
  </si>
  <si>
    <t>401 - 913</t>
  </si>
  <si>
    <t xml:space="preserve">   Communciations Services</t>
  </si>
  <si>
    <t>401 - 916</t>
  </si>
  <si>
    <t>401 - 916.02</t>
  </si>
  <si>
    <t>401 - 916.03</t>
  </si>
  <si>
    <t>401 - 916.04</t>
  </si>
  <si>
    <t>401 - 916.08</t>
  </si>
  <si>
    <t>401 - 916.10</t>
  </si>
  <si>
    <t>401 - 916.11</t>
  </si>
  <si>
    <t>401 - 916.12</t>
  </si>
  <si>
    <t>401 - 916.13</t>
  </si>
  <si>
    <t>401 - 916.20</t>
  </si>
  <si>
    <t>401 - 916.21</t>
  </si>
  <si>
    <t>401 - 916.22</t>
  </si>
  <si>
    <t>401 - 916.23</t>
  </si>
  <si>
    <t>401 - 916.30</t>
  </si>
  <si>
    <t>401 - 916.31</t>
  </si>
  <si>
    <t>401 - 916.32</t>
  </si>
  <si>
    <t>401 - 916.33</t>
  </si>
  <si>
    <t>Operating Expenses - Admin &amp; General:</t>
  </si>
  <si>
    <t xml:space="preserve">   Salaries, Office Supplies &amp; Expenses</t>
  </si>
  <si>
    <t>401 - 920</t>
  </si>
  <si>
    <t xml:space="preserve">   Various Admin &amp; General Expenses</t>
  </si>
  <si>
    <t>401 - 921</t>
  </si>
  <si>
    <t xml:space="preserve">   Capitalized Admin &amp; General Expenses</t>
  </si>
  <si>
    <t>401 - 922</t>
  </si>
  <si>
    <t xml:space="preserve">   Outside Services Employed</t>
  </si>
  <si>
    <t>401 - 923</t>
  </si>
  <si>
    <t xml:space="preserve">   Property Insurance</t>
  </si>
  <si>
    <t>401 - 924</t>
  </si>
  <si>
    <t xml:space="preserve">   Injuries &amp; Damages</t>
  </si>
  <si>
    <t>401 - 925</t>
  </si>
  <si>
    <t xml:space="preserve">   Employee Pensions &amp; Benefits</t>
  </si>
  <si>
    <t>401 - 926</t>
  </si>
  <si>
    <t xml:space="preserve">   Regulatory Commission Expenses</t>
  </si>
  <si>
    <t>401 - 928</t>
  </si>
  <si>
    <t xml:space="preserve">   Miscellaneous General Expenses</t>
  </si>
  <si>
    <t>401 - 930</t>
  </si>
  <si>
    <t xml:space="preserve">   Informational Advertising</t>
  </si>
  <si>
    <t>401 - 930.01</t>
  </si>
  <si>
    <t>401 - 931</t>
  </si>
  <si>
    <t xml:space="preserve">   Maintenance Expenses</t>
  </si>
  <si>
    <t>402 - 935</t>
  </si>
  <si>
    <t>402 - 935.06</t>
  </si>
  <si>
    <t>Subtotal</t>
  </si>
  <si>
    <t>Statement Amounts</t>
  </si>
  <si>
    <t>Add: Regulatory Commission Expense removed from Depreciation</t>
  </si>
  <si>
    <t>Less: 930.01 (Included in 930.0)</t>
  </si>
  <si>
    <t>Labor &amp; Travel Expenses</t>
  </si>
  <si>
    <t>Repair Parts&amp; Supplies</t>
  </si>
  <si>
    <t>Maintenance of Load Management Switches</t>
  </si>
  <si>
    <t>Total Operating Expenses - Admin &amp; General</t>
  </si>
  <si>
    <t>Investment Tax Credit</t>
  </si>
  <si>
    <t>Accout 255</t>
  </si>
  <si>
    <t>Current Year ITC Amortization</t>
  </si>
  <si>
    <t xml:space="preserve">North Dakota Wind ITC </t>
  </si>
  <si>
    <t>Account 283 Subtotal</t>
  </si>
  <si>
    <t>Simple Average Calculation</t>
  </si>
  <si>
    <t>Total Utility Accumulated Deferred Income Taxes Per Books</t>
  </si>
  <si>
    <t>Total Steam Power Generation</t>
  </si>
  <si>
    <t>Total Maintenance</t>
  </si>
  <si>
    <t>Total Hydro</t>
  </si>
  <si>
    <t>Total IC</t>
  </si>
  <si>
    <t>Total Other Power Supply Expenses</t>
  </si>
  <si>
    <t>Transmission:</t>
  </si>
  <si>
    <t>Total Distribution Expense</t>
  </si>
  <si>
    <t>Total Customer Accounting</t>
  </si>
  <si>
    <t>Total Customer Service and Information Expense</t>
  </si>
  <si>
    <t>Total Sales Expense</t>
  </si>
  <si>
    <t>Total Other</t>
  </si>
  <si>
    <t>Other:</t>
  </si>
  <si>
    <t>General &amp; Intangible</t>
  </si>
  <si>
    <t>CapX 2020 CWIP 13-Month Average</t>
  </si>
  <si>
    <t>CAPX 2020 Bemidji</t>
  </si>
  <si>
    <t>CAPX 2020 Fargo</t>
  </si>
  <si>
    <t>CAPX 2020 Brookings</t>
  </si>
  <si>
    <t>(103487)</t>
  </si>
  <si>
    <t>(103488)</t>
  </si>
  <si>
    <t>(103489)</t>
  </si>
  <si>
    <t>For the 13 Months Ended December 31, 2010</t>
  </si>
  <si>
    <t>2010 Simple Average Calculation</t>
  </si>
  <si>
    <t>Operating and Maintenance Expense</t>
  </si>
  <si>
    <r>
      <t xml:space="preserve">Budget Year Ending </t>
    </r>
    <r>
      <rPr>
        <b/>
        <sz val="10"/>
        <rFont val="Arial"/>
        <family val="2"/>
      </rPr>
      <t>December 31,</t>
    </r>
    <r>
      <rPr>
        <b/>
        <sz val="10"/>
        <color indexed="10"/>
        <rFont val="Arial"/>
        <family val="2"/>
      </rPr>
      <t xml:space="preserve"> 2010</t>
    </r>
  </si>
  <si>
    <t>Net Prefunded AFUDC on CWIP</t>
  </si>
  <si>
    <t>Project</t>
  </si>
  <si>
    <t>Total Transmission O&amp;M for Attachment O</t>
  </si>
  <si>
    <t xml:space="preserve">                  Total Transmission</t>
  </si>
  <si>
    <t xml:space="preserve">                  Less: FERC 575 &amp; 576</t>
  </si>
  <si>
    <t>Administrative &amp; General Expense</t>
  </si>
  <si>
    <t>Administrative &amp; General Expenses</t>
  </si>
  <si>
    <t>FERC Annual Fees:</t>
  </si>
  <si>
    <t>Filing Fees</t>
  </si>
  <si>
    <t>(1)</t>
  </si>
  <si>
    <t>Above the Line Allocation Percentage</t>
  </si>
  <si>
    <t>(2)</t>
  </si>
  <si>
    <t>EPRI &amp; Regulatory Commission Expense &amp; Non-safety Ad:</t>
  </si>
  <si>
    <t>Regulatory Commission Expenses</t>
  </si>
  <si>
    <t>(3)</t>
  </si>
  <si>
    <t>Less: FERC Annual Fees</t>
  </si>
  <si>
    <t>Plus: Informational Advertising</t>
  </si>
  <si>
    <t>Regulatory Commission Expense removed from Depreciation</t>
  </si>
  <si>
    <t>External Services - FERC Transmission Legal Fees</t>
  </si>
  <si>
    <t>Total A&amp;G Expenses</t>
  </si>
  <si>
    <t>(2)  Most recent actual year</t>
  </si>
  <si>
    <t>(3)  Exhibit KAS-3 Pages 9-11</t>
  </si>
  <si>
    <t>BU</t>
  </si>
  <si>
    <t>CC</t>
  </si>
  <si>
    <t>Sub</t>
  </si>
  <si>
    <t>Activity</t>
  </si>
  <si>
    <t>Misc</t>
  </si>
  <si>
    <t>100</t>
  </si>
  <si>
    <t>010</t>
  </si>
  <si>
    <t>0570</t>
  </si>
  <si>
    <t>5101</t>
  </si>
  <si>
    <t>2500</t>
  </si>
  <si>
    <t>0980</t>
  </si>
  <si>
    <t>000000</t>
  </si>
  <si>
    <t>030</t>
  </si>
  <si>
    <t>0210</t>
  </si>
  <si>
    <t>5100</t>
  </si>
  <si>
    <t>1100</t>
  </si>
  <si>
    <t>0690</t>
  </si>
  <si>
    <t>0720</t>
  </si>
  <si>
    <t>0850</t>
  </si>
  <si>
    <t>1690</t>
  </si>
  <si>
    <t>0520</t>
  </si>
  <si>
    <t>Meals</t>
  </si>
  <si>
    <t>2600</t>
  </si>
  <si>
    <t>Travel</t>
  </si>
  <si>
    <t>5103</t>
  </si>
  <si>
    <t>0000</t>
  </si>
  <si>
    <t>External Services</t>
  </si>
  <si>
    <t>0670</t>
  </si>
  <si>
    <t>5110</t>
  </si>
  <si>
    <t>1000</t>
  </si>
  <si>
    <t>0600</t>
  </si>
  <si>
    <t>Filing Fees and Assessments</t>
  </si>
  <si>
    <t>0760</t>
  </si>
  <si>
    <t>5106</t>
  </si>
  <si>
    <t>2000</t>
  </si>
  <si>
    <t xml:space="preserve">Total </t>
  </si>
  <si>
    <t>Less: Corporate Amounts</t>
  </si>
  <si>
    <t>(1)  2010 Budget COSS W/P B-5</t>
  </si>
  <si>
    <t>Forecast</t>
  </si>
  <si>
    <t>Item</t>
  </si>
  <si>
    <t>Account</t>
  </si>
  <si>
    <t>Sub-Acct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</si>
  <si>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</si>
  <si>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</si>
  <si>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</si>
  <si>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</si>
  <si>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</si>
  <si>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</si>
  <si>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</si>
  <si>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</si>
  <si>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</si>
  <si>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</si>
  <si>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</si>
  <si>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Property Taxes</t>
  </si>
  <si>
    <t>1020 Hoot Lake Plant</t>
  </si>
  <si>
    <t>1040 Ortonville</t>
  </si>
  <si>
    <t>1100 Big Stone Plant</t>
  </si>
  <si>
    <t>Total Coyote</t>
  </si>
  <si>
    <t>1200 Coyote Plant</t>
  </si>
  <si>
    <t>1200 ND Conversion Tax</t>
  </si>
  <si>
    <t>1310 Hoot Lake Hydro</t>
  </si>
  <si>
    <t>1320 Wright Hydro</t>
  </si>
  <si>
    <t>1330 Pisgah Hydro</t>
  </si>
  <si>
    <t>1340 Dayton Hollow Hydro</t>
  </si>
  <si>
    <t>1350 Taplin Gorge Hydro</t>
  </si>
  <si>
    <t>1380 Bemidji Hydro</t>
  </si>
  <si>
    <t>1400 Jamestown CT</t>
  </si>
  <si>
    <t>1410 Lake Preston CT</t>
  </si>
  <si>
    <t>1430 Fergus Control Center Unit #1</t>
  </si>
  <si>
    <t>1440 Solway Combustion Turbine</t>
  </si>
  <si>
    <t>Total BSP II</t>
  </si>
  <si>
    <t>1500 BSP II</t>
  </si>
  <si>
    <t>1500 Big Stone Wet Scrubber</t>
  </si>
  <si>
    <t>1600 Langdon</t>
  </si>
  <si>
    <t>1610 Ashtabula</t>
  </si>
  <si>
    <t>1620 Luverne</t>
  </si>
  <si>
    <t>T&amp;D and General Assets</t>
  </si>
  <si>
    <t>CAPX2020</t>
  </si>
  <si>
    <t>Others</t>
  </si>
  <si>
    <t>Wind</t>
  </si>
  <si>
    <t>Environmental</t>
  </si>
  <si>
    <t>0000 Total</t>
  </si>
  <si>
    <t>1980 Central Stores</t>
  </si>
  <si>
    <t>1990 Transportation</t>
  </si>
  <si>
    <t>Non-Utility Property</t>
  </si>
  <si>
    <t>Total Less Non-Utility Property Taxes</t>
  </si>
  <si>
    <t>0360</t>
  </si>
  <si>
    <t>5107</t>
  </si>
  <si>
    <t>0530</t>
  </si>
  <si>
    <t>5612</t>
  </si>
  <si>
    <t>020</t>
  </si>
  <si>
    <t>0300</t>
  </si>
  <si>
    <t>1110</t>
  </si>
  <si>
    <t>2100</t>
  </si>
  <si>
    <t>5611</t>
  </si>
  <si>
    <t>0540</t>
  </si>
  <si>
    <t>1495</t>
  </si>
  <si>
    <t>1580</t>
  </si>
  <si>
    <t>1120</t>
  </si>
  <si>
    <t>5102</t>
  </si>
  <si>
    <t>5105</t>
  </si>
  <si>
    <t>4000</t>
  </si>
  <si>
    <t>5109</t>
  </si>
  <si>
    <t>5116</t>
  </si>
  <si>
    <t>5240</t>
  </si>
  <si>
    <t>3000</t>
  </si>
  <si>
    <t>0460</t>
  </si>
  <si>
    <t>Year</t>
  </si>
  <si>
    <t>Acct</t>
  </si>
  <si>
    <t>Acty</t>
  </si>
  <si>
    <t>Proj</t>
  </si>
  <si>
    <t>Co</t>
  </si>
  <si>
    <t>0310</t>
  </si>
  <si>
    <t>1500</t>
  </si>
  <si>
    <t>5615</t>
  </si>
  <si>
    <t>0320</t>
  </si>
  <si>
    <t>5617</t>
  </si>
  <si>
    <r>
      <t xml:space="preserve"> Less: </t>
    </r>
    <r>
      <rPr>
        <sz val="10"/>
        <rFont val="Arial"/>
        <family val="2"/>
      </rPr>
      <t>FERC Acct 5615 &amp; 5617</t>
    </r>
  </si>
  <si>
    <t>Total FERC Acct 561</t>
  </si>
  <si>
    <t>Totals</t>
  </si>
  <si>
    <t>Comp</t>
  </si>
  <si>
    <t>(1)  Not included in Attachment O calculation.</t>
  </si>
  <si>
    <t>FERC Account 561</t>
  </si>
  <si>
    <t>Revenues</t>
  </si>
  <si>
    <t>ITA Deficiency Payments</t>
  </si>
  <si>
    <t>Wheeling</t>
  </si>
  <si>
    <t>MISO Tariff Revenue</t>
  </si>
  <si>
    <t>4110</t>
  </si>
  <si>
    <t>4540</t>
  </si>
  <si>
    <t>Rent from Electric Property:</t>
  </si>
  <si>
    <t>Less: Wheeling</t>
  </si>
  <si>
    <t>Less: Schedule 1 &amp; 2 Revenue</t>
  </si>
  <si>
    <t>Other Electric Revenue:</t>
  </si>
  <si>
    <t>Total Other Electric Revenue</t>
  </si>
  <si>
    <t>Total Other Electric Revenue w/o Wheeling</t>
  </si>
  <si>
    <t>(1)  Schedule 1 &amp; 2 revenue is approximately 35% per System Operations</t>
  </si>
  <si>
    <t>Less: Other Plant Related Taxes</t>
  </si>
  <si>
    <t xml:space="preserve">   Total Property Taxes</t>
  </si>
  <si>
    <t>Project (103487)</t>
  </si>
  <si>
    <t>MTEP No. 279</t>
  </si>
  <si>
    <t>Project (103488)</t>
  </si>
  <si>
    <t>MTEP No. 286</t>
  </si>
  <si>
    <t>Project (103489)</t>
  </si>
  <si>
    <t>MTEP No. 1203</t>
  </si>
  <si>
    <t>Project (103897)</t>
  </si>
  <si>
    <t>MTEP No. 1462</t>
  </si>
  <si>
    <t>Note:</t>
  </si>
  <si>
    <t>FERC 456 does not include any budgeted Schedule 26 revenue in 2010.</t>
  </si>
  <si>
    <t>13-Month Average CWIP and Plant Balances for GG Projects</t>
  </si>
  <si>
    <t>(2) Projected in-service date of December 2009.</t>
  </si>
  <si>
    <t>Total Depreciation Expense</t>
  </si>
  <si>
    <t>13-Month Average Accumulated Depreciation and Net Plant for GG Projects</t>
  </si>
  <si>
    <t>13-Month Net Plant Balance</t>
  </si>
  <si>
    <t>13-Month Average A/D</t>
  </si>
  <si>
    <t>Accumulated</t>
  </si>
  <si>
    <t>Depreciation</t>
  </si>
  <si>
    <t>Rugby - G380</t>
  </si>
  <si>
    <t>Project (103868)</t>
  </si>
  <si>
    <t>Spiritwood - G645</t>
  </si>
  <si>
    <t>MTEP No. 2750</t>
  </si>
  <si>
    <t>(2) Projected in-service date of January 2010.</t>
  </si>
  <si>
    <t>(1) CWIP Project Balances less any Prefunded AFUDC.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</si>
</sst>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m/dd/yy_)"/>
    <numFmt numFmtId="167" formatCode="hh:mm\ AM/PM_)"/>
    <numFmt numFmtId="168" formatCode="dd\-mmm\-yy_)"/>
    <numFmt numFmtId="169" formatCode="#,##0;\-#,##0;&quot;-&quot;"/>
    <numFmt numFmtId="170" formatCode="#,##0.00&quot;£&quot;_);\(#,##0.00&quot;£&quot;\)"/>
    <numFmt numFmtId="171" formatCode="mm/dd/yy"/>
    <numFmt numFmtId="172" formatCode="0.000%"/>
    <numFmt numFmtId="173" formatCode="0.000000_)"/>
    <numFmt numFmtId="174" formatCode="0_)"/>
    <numFmt numFmtId="175" formatCode="_(* #,##0.0_);_(* \(#,##0.0\);_(* &quot;-&quot;??_);_(@_)"/>
    <numFmt numFmtId="176" formatCode="_(* #,##0.000_);_(* \(#,##0.000\);_(* &quot;-&quot;??_);_(@_)"/>
    <numFmt numFmtId="177" formatCode="#,##0.0000000_);\(#,##0.0000000\)"/>
  </numFmts>
  <fonts count="68">
    <font>
      <sz val="12"/>
      <name val="Arial MT"/>
      <family val="0"/>
    </font>
    <font>
      <sz val="11"/>
      <color indexed="8"/>
      <name val="Calibri"/>
      <family val="2"/>
    </font>
    <font>
      <b/>
      <sz val="10"/>
      <name val="Arial MT"/>
      <family val="0"/>
    </font>
    <font>
      <sz val="10"/>
      <name val="Arial MT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  <family val="0"/>
    </font>
    <font>
      <sz val="10"/>
      <name val="TimesNewRomanPS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M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MT"/>
      <family val="0"/>
    </font>
    <font>
      <sz val="12"/>
      <color indexed="8"/>
      <name val="Arial"/>
      <family val="2"/>
    </font>
    <font>
      <sz val="12"/>
      <color indexed="8"/>
      <name val="Arial MT"/>
      <family val="0"/>
    </font>
    <font>
      <b/>
      <sz val="12"/>
      <color indexed="8"/>
      <name val="TimesNewRomanPS"/>
      <family val="0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 MT"/>
      <family val="0"/>
    </font>
    <font>
      <sz val="12"/>
      <color theme="1"/>
      <name val="Arial"/>
      <family val="2"/>
    </font>
    <font>
      <sz val="12"/>
      <color theme="1"/>
      <name val="Arial MT"/>
      <family val="0"/>
    </font>
    <font>
      <b/>
      <sz val="12"/>
      <color theme="1"/>
      <name val="TimesNewRomanPS"/>
      <family val="0"/>
    </font>
    <font>
      <sz val="12"/>
      <color theme="1"/>
      <name val="TimesNewRomanP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double"/>
    </border>
    <border>
      <left/>
      <right style="thin"/>
      <top/>
      <bottom style="double"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/>
    </border>
    <border>
      <left/>
      <right style="thin">
        <color indexed="8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169" fontId="7" fillId="0" borderId="0" applyFill="0" applyBorder="0" applyAlignment="0">
      <protection/>
    </xf>
    <xf numFmtId="0" fontId="47" fillId="27" borderId="1" applyNumberFormat="0" applyAlignment="0" applyProtection="0"/>
    <xf numFmtId="0" fontId="48" fillId="28" borderId="2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14" fillId="0" borderId="0" applyNumberFormat="0" applyAlignment="0"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0" borderId="0" applyNumberFormat="0" applyAlignment="0"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38" fontId="16" fillId="30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10" fontId="16" fillId="32" borderId="8" applyNumberFormat="0" applyBorder="0" applyAlignment="0" applyProtection="0"/>
    <xf numFmtId="0" fontId="56" fillId="0" borderId="9" applyNumberFormat="0" applyFill="0" applyAlignment="0" applyProtection="0"/>
    <xf numFmtId="0" fontId="57" fillId="33" borderId="0" applyNumberFormat="0" applyBorder="0" applyAlignment="0" applyProtection="0"/>
    <xf numFmtId="17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39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4" borderId="10" applyNumberFormat="0" applyFont="0" applyAlignment="0" applyProtection="0"/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71" fontId="18" fillId="0" borderId="0" applyNumberFormat="0" applyFill="0" applyBorder="0" applyAlignment="0" applyProtection="0"/>
    <xf numFmtId="40" fontId="19" fillId="0" borderId="0" applyBorder="0">
      <alignment horizontal="right"/>
      <protection/>
    </xf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</cellStyleXfs>
  <cellXfs count="7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" fontId="3" fillId="0" borderId="21" xfId="0" applyNumberFormat="1" applyFont="1" applyBorder="1" applyAlignment="1" quotePrefix="1">
      <alignment/>
    </xf>
    <xf numFmtId="164" fontId="3" fillId="0" borderId="0" xfId="43" applyNumberFormat="1" applyFont="1" applyBorder="1" applyAlignment="1">
      <alignment/>
    </xf>
    <xf numFmtId="164" fontId="3" fillId="0" borderId="0" xfId="43" applyNumberFormat="1" applyFont="1" applyAlignment="1">
      <alignment/>
    </xf>
    <xf numFmtId="164" fontId="3" fillId="0" borderId="22" xfId="43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 quotePrefix="1">
      <alignment/>
    </xf>
    <xf numFmtId="0" fontId="3" fillId="0" borderId="21" xfId="0" applyFont="1" applyBorder="1" applyAlignment="1">
      <alignment/>
    </xf>
    <xf numFmtId="164" fontId="3" fillId="0" borderId="15" xfId="43" applyNumberFormat="1" applyFont="1" applyBorder="1" applyAlignment="1">
      <alignment/>
    </xf>
    <xf numFmtId="164" fontId="3" fillId="0" borderId="16" xfId="43" applyNumberFormat="1" applyFont="1" applyBorder="1" applyAlignment="1">
      <alignment/>
    </xf>
    <xf numFmtId="0" fontId="3" fillId="0" borderId="18" xfId="0" applyFont="1" applyBorder="1" applyAlignment="1">
      <alignment/>
    </xf>
    <xf numFmtId="164" fontId="3" fillId="0" borderId="19" xfId="43" applyNumberFormat="1" applyFont="1" applyBorder="1" applyAlignment="1">
      <alignment/>
    </xf>
    <xf numFmtId="164" fontId="3" fillId="0" borderId="20" xfId="43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43" applyNumberFormat="1" applyFont="1" applyBorder="1" applyAlignment="1">
      <alignment horizontal="center"/>
    </xf>
    <xf numFmtId="0" fontId="49" fillId="0" borderId="0" xfId="79" applyFont="1" applyAlignment="1">
      <alignment horizontal="center"/>
      <protection/>
    </xf>
    <xf numFmtId="0" fontId="49" fillId="0" borderId="0" xfId="79" applyFont="1" applyProtection="1">
      <alignment/>
      <protection locked="0"/>
    </xf>
    <xf numFmtId="0" fontId="49" fillId="0" borderId="0" xfId="79" applyFont="1">
      <alignment/>
      <protection/>
    </xf>
    <xf numFmtId="0" fontId="5" fillId="0" borderId="0" xfId="79" applyFont="1">
      <alignment/>
      <protection/>
    </xf>
    <xf numFmtId="166" fontId="49" fillId="0" borderId="0" xfId="79" applyNumberFormat="1" applyFont="1" applyAlignment="1" applyProtection="1">
      <alignment horizontal="left"/>
      <protection locked="0"/>
    </xf>
    <xf numFmtId="0" fontId="49" fillId="0" borderId="0" xfId="79" applyFont="1" applyBorder="1" applyProtection="1">
      <alignment/>
      <protection locked="0"/>
    </xf>
    <xf numFmtId="0" fontId="49" fillId="0" borderId="0" xfId="79" applyFont="1" applyBorder="1">
      <alignment/>
      <protection/>
    </xf>
    <xf numFmtId="0" fontId="62" fillId="0" borderId="24" xfId="79" applyFont="1" applyBorder="1">
      <alignment/>
      <protection/>
    </xf>
    <xf numFmtId="0" fontId="49" fillId="0" borderId="25" xfId="79" applyFont="1" applyBorder="1" applyAlignment="1">
      <alignment horizontal="center"/>
      <protection/>
    </xf>
    <xf numFmtId="0" fontId="49" fillId="0" borderId="26" xfId="79" applyFont="1" applyBorder="1">
      <alignment/>
      <protection/>
    </xf>
    <xf numFmtId="0" fontId="49" fillId="0" borderId="27" xfId="79" applyFont="1" applyBorder="1" applyAlignment="1">
      <alignment horizontal="center"/>
      <protection/>
    </xf>
    <xf numFmtId="37" fontId="49" fillId="0" borderId="26" xfId="79" applyNumberFormat="1" applyFont="1" applyBorder="1" applyProtection="1">
      <alignment/>
      <protection locked="0"/>
    </xf>
    <xf numFmtId="0" fontId="49" fillId="0" borderId="28" xfId="79" applyFont="1" applyBorder="1">
      <alignment/>
      <protection/>
    </xf>
    <xf numFmtId="37" fontId="49" fillId="0" borderId="0" xfId="79" applyNumberFormat="1" applyFont="1" applyProtection="1">
      <alignment/>
      <protection/>
    </xf>
    <xf numFmtId="37" fontId="49" fillId="0" borderId="0" xfId="79" applyNumberFormat="1" applyFont="1" applyBorder="1">
      <alignment/>
      <protection/>
    </xf>
    <xf numFmtId="0" fontId="49" fillId="0" borderId="0" xfId="79" applyFont="1" applyFill="1">
      <alignment/>
      <protection/>
    </xf>
    <xf numFmtId="164" fontId="49" fillId="0" borderId="0" xfId="47" applyNumberFormat="1" applyFont="1" applyBorder="1" applyAlignment="1">
      <alignment/>
    </xf>
    <xf numFmtId="0" fontId="49" fillId="0" borderId="0" xfId="79" applyFont="1" applyBorder="1" applyAlignment="1">
      <alignment horizontal="left" indent="2"/>
      <protection/>
    </xf>
    <xf numFmtId="164" fontId="49" fillId="0" borderId="0" xfId="79" applyNumberFormat="1" applyFont="1" applyBorder="1">
      <alignment/>
      <protection/>
    </xf>
    <xf numFmtId="14" fontId="62" fillId="0" borderId="24" xfId="79" applyNumberFormat="1" applyFont="1" applyBorder="1" applyAlignment="1" applyProtection="1">
      <alignment horizontal="center"/>
      <protection locked="0"/>
    </xf>
    <xf numFmtId="0" fontId="49" fillId="0" borderId="0" xfId="79" applyFont="1" applyAlignment="1">
      <alignment/>
      <protection/>
    </xf>
    <xf numFmtId="0" fontId="49" fillId="0" borderId="29" xfId="79" applyFont="1" applyBorder="1" applyAlignment="1">
      <alignment horizontal="center"/>
      <protection/>
    </xf>
    <xf numFmtId="37" fontId="49" fillId="0" borderId="30" xfId="79" applyNumberFormat="1" applyFont="1" applyBorder="1" applyProtection="1">
      <alignment/>
      <protection/>
    </xf>
    <xf numFmtId="0" fontId="62" fillId="0" borderId="24" xfId="79" applyFont="1" applyBorder="1" applyAlignment="1" applyProtection="1">
      <alignment horizontal="center"/>
      <protection locked="0"/>
    </xf>
    <xf numFmtId="37" fontId="49" fillId="0" borderId="19" xfId="79" applyNumberFormat="1" applyFont="1" applyBorder="1">
      <alignment/>
      <protection/>
    </xf>
    <xf numFmtId="0" fontId="49" fillId="0" borderId="0" xfId="80" applyFont="1" applyAlignment="1">
      <alignment horizontal="center"/>
      <protection/>
    </xf>
    <xf numFmtId="0" fontId="49" fillId="0" borderId="0" xfId="80" applyFont="1">
      <alignment/>
      <protection/>
    </xf>
    <xf numFmtId="0" fontId="49" fillId="0" borderId="0" xfId="80" applyFont="1" applyAlignment="1">
      <alignment horizontal="right"/>
      <protection/>
    </xf>
    <xf numFmtId="0" fontId="49" fillId="0" borderId="0" xfId="80" applyFont="1" applyAlignment="1" applyProtection="1">
      <alignment horizontal="right"/>
      <protection/>
    </xf>
    <xf numFmtId="168" fontId="49" fillId="0" borderId="0" xfId="80" applyNumberFormat="1" applyFont="1" applyAlignment="1" applyProtection="1">
      <alignment horizontal="left"/>
      <protection/>
    </xf>
    <xf numFmtId="0" fontId="49" fillId="0" borderId="0" xfId="80" applyFont="1" applyFill="1" applyAlignment="1">
      <alignment horizontal="center"/>
      <protection/>
    </xf>
    <xf numFmtId="0" fontId="49" fillId="0" borderId="0" xfId="80" applyFont="1" applyFill="1">
      <alignment/>
      <protection/>
    </xf>
    <xf numFmtId="0" fontId="62" fillId="0" borderId="0" xfId="80" applyFont="1">
      <alignment/>
      <protection/>
    </xf>
    <xf numFmtId="0" fontId="49" fillId="0" borderId="29" xfId="80" applyFont="1" applyBorder="1">
      <alignment/>
      <protection/>
    </xf>
    <xf numFmtId="0" fontId="49" fillId="0" borderId="29" xfId="80" applyFont="1" applyFill="1" applyBorder="1" applyAlignment="1">
      <alignment horizontal="center"/>
      <protection/>
    </xf>
    <xf numFmtId="0" fontId="49" fillId="0" borderId="31" xfId="80" applyFont="1" applyBorder="1" applyAlignment="1">
      <alignment horizontal="center" wrapText="1"/>
      <protection/>
    </xf>
    <xf numFmtId="0" fontId="49" fillId="0" borderId="25" xfId="80" applyFont="1" applyBorder="1" applyAlignment="1">
      <alignment horizontal="center"/>
      <protection/>
    </xf>
    <xf numFmtId="0" fontId="49" fillId="0" borderId="27" xfId="80" applyFont="1" applyBorder="1" applyAlignment="1">
      <alignment horizontal="center"/>
      <protection/>
    </xf>
    <xf numFmtId="0" fontId="62" fillId="0" borderId="0" xfId="80" applyFont="1" applyFill="1">
      <alignment/>
      <protection/>
    </xf>
    <xf numFmtId="37" fontId="49" fillId="0" borderId="0" xfId="80" applyNumberFormat="1" applyFont="1">
      <alignment/>
      <protection/>
    </xf>
    <xf numFmtId="0" fontId="49" fillId="0" borderId="28" xfId="80" applyFont="1" applyBorder="1">
      <alignment/>
      <protection/>
    </xf>
    <xf numFmtId="0" fontId="49" fillId="0" borderId="32" xfId="80" applyFont="1" applyBorder="1" applyAlignment="1">
      <alignment horizontal="center"/>
      <protection/>
    </xf>
    <xf numFmtId="0" fontId="49" fillId="0" borderId="0" xfId="80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right"/>
      <protection locked="0"/>
    </xf>
    <xf numFmtId="168" fontId="49" fillId="0" borderId="0" xfId="0" applyNumberFormat="1" applyFont="1" applyAlignment="1" applyProtection="1">
      <alignment horizontal="left"/>
      <protection locked="0"/>
    </xf>
    <xf numFmtId="0" fontId="49" fillId="0" borderId="0" xfId="0" applyFont="1" applyFill="1" applyAlignment="1">
      <alignment/>
    </xf>
    <xf numFmtId="0" fontId="49" fillId="0" borderId="0" xfId="0" applyFont="1" applyAlignment="1" applyProtection="1">
      <alignment horizontal="centerContinuous"/>
      <protection locked="0"/>
    </xf>
    <xf numFmtId="0" fontId="49" fillId="0" borderId="0" xfId="0" applyFont="1" applyFill="1" applyAlignment="1">
      <alignment horizontal="centerContinuous"/>
    </xf>
    <xf numFmtId="0" fontId="62" fillId="0" borderId="0" xfId="0" applyFont="1" applyFill="1" applyAlignment="1">
      <alignment/>
    </xf>
    <xf numFmtId="0" fontId="49" fillId="0" borderId="0" xfId="0" applyFont="1" applyAlignment="1" applyProtection="1">
      <alignment horizontal="center"/>
      <protection/>
    </xf>
    <xf numFmtId="0" fontId="49" fillId="0" borderId="8" xfId="0" applyFont="1" applyBorder="1" applyAlignment="1">
      <alignment horizontal="center" wrapText="1"/>
    </xf>
    <xf numFmtId="0" fontId="62" fillId="0" borderId="33" xfId="0" applyFont="1" applyBorder="1" applyAlignment="1" applyProtection="1">
      <alignment/>
      <protection locked="0"/>
    </xf>
    <xf numFmtId="0" fontId="62" fillId="0" borderId="4" xfId="0" applyFont="1" applyFill="1" applyBorder="1" applyAlignment="1" applyProtection="1">
      <alignment horizontal="center"/>
      <protection locked="0"/>
    </xf>
    <xf numFmtId="0" fontId="62" fillId="0" borderId="34" xfId="0" applyFont="1" applyFill="1" applyBorder="1" applyAlignment="1" applyProtection="1">
      <alignment horizontal="center"/>
      <protection locked="0"/>
    </xf>
    <xf numFmtId="0" fontId="49" fillId="0" borderId="23" xfId="0" applyFont="1" applyBorder="1" applyAlignment="1">
      <alignment horizontal="center"/>
    </xf>
    <xf numFmtId="0" fontId="62" fillId="0" borderId="21" xfId="0" applyFont="1" applyBorder="1" applyAlignment="1" applyProtection="1">
      <alignment/>
      <protection locked="0"/>
    </xf>
    <xf numFmtId="0" fontId="49" fillId="0" borderId="0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0" borderId="21" xfId="0" applyFont="1" applyBorder="1" applyAlignment="1" applyProtection="1">
      <alignment/>
      <protection locked="0"/>
    </xf>
    <xf numFmtId="37" fontId="63" fillId="35" borderId="0" xfId="0" applyNumberFormat="1" applyFont="1" applyFill="1" applyAlignment="1" applyProtection="1">
      <alignment/>
      <protection locked="0"/>
    </xf>
    <xf numFmtId="37" fontId="49" fillId="0" borderId="22" xfId="0" applyNumberFormat="1" applyFont="1" applyFill="1" applyBorder="1" applyAlignment="1" applyProtection="1">
      <alignment/>
      <protection locked="0"/>
    </xf>
    <xf numFmtId="37" fontId="63" fillId="35" borderId="29" xfId="0" applyNumberFormat="1" applyFont="1" applyFill="1" applyBorder="1" applyAlignment="1" applyProtection="1">
      <alignment/>
      <protection locked="0"/>
    </xf>
    <xf numFmtId="37" fontId="49" fillId="0" borderId="20" xfId="0" applyNumberFormat="1" applyFont="1" applyFill="1" applyBorder="1" applyAlignment="1" applyProtection="1">
      <alignment/>
      <protection/>
    </xf>
    <xf numFmtId="37" fontId="62" fillId="0" borderId="0" xfId="0" applyNumberFormat="1" applyFont="1" applyFill="1" applyBorder="1" applyAlignment="1" applyProtection="1">
      <alignment/>
      <protection locked="0"/>
    </xf>
    <xf numFmtId="0" fontId="49" fillId="0" borderId="21" xfId="0" applyFont="1" applyBorder="1" applyAlignment="1">
      <alignment/>
    </xf>
    <xf numFmtId="37" fontId="49" fillId="0" borderId="0" xfId="0" applyNumberFormat="1" applyFont="1" applyFill="1" applyBorder="1" applyAlignment="1" applyProtection="1">
      <alignment/>
      <protection/>
    </xf>
    <xf numFmtId="37" fontId="49" fillId="0" borderId="22" xfId="0" applyNumberFormat="1" applyFont="1" applyFill="1" applyBorder="1" applyAlignment="1" applyProtection="1">
      <alignment/>
      <protection/>
    </xf>
    <xf numFmtId="37" fontId="63" fillId="35" borderId="0" xfId="0" applyNumberFormat="1" applyFont="1" applyFill="1" applyBorder="1" applyAlignment="1" applyProtection="1">
      <alignment/>
      <protection locked="0"/>
    </xf>
    <xf numFmtId="37" fontId="49" fillId="0" borderId="0" xfId="0" applyNumberFormat="1" applyFont="1" applyFill="1" applyBorder="1" applyAlignment="1" applyProtection="1">
      <alignment/>
      <protection locked="0"/>
    </xf>
    <xf numFmtId="37" fontId="49" fillId="0" borderId="29" xfId="0" applyNumberFormat="1" applyFont="1" applyFill="1" applyBorder="1" applyAlignment="1" applyProtection="1">
      <alignment/>
      <protection locked="0"/>
    </xf>
    <xf numFmtId="37" fontId="49" fillId="0" borderId="35" xfId="0" applyNumberFormat="1" applyFont="1" applyFill="1" applyBorder="1" applyAlignment="1" applyProtection="1">
      <alignment/>
      <protection locked="0"/>
    </xf>
    <xf numFmtId="37" fontId="49" fillId="0" borderId="29" xfId="0" applyNumberFormat="1" applyFont="1" applyFill="1" applyBorder="1" applyAlignment="1" applyProtection="1">
      <alignment/>
      <protection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 applyProtection="1">
      <alignment/>
      <protection locked="0"/>
    </xf>
    <xf numFmtId="37" fontId="49" fillId="0" borderId="19" xfId="0" applyNumberFormat="1" applyFont="1" applyFill="1" applyBorder="1" applyAlignment="1" applyProtection="1">
      <alignment/>
      <protection/>
    </xf>
    <xf numFmtId="37" fontId="49" fillId="0" borderId="20" xfId="0" applyNumberFormat="1" applyFont="1" applyFill="1" applyBorder="1" applyAlignment="1" applyProtection="1">
      <alignment/>
      <protection locked="0"/>
    </xf>
    <xf numFmtId="37" fontId="49" fillId="0" borderId="0" xfId="0" applyNumberFormat="1" applyFont="1" applyAlignment="1">
      <alignment/>
    </xf>
    <xf numFmtId="0" fontId="49" fillId="0" borderId="0" xfId="79" applyFont="1" applyAlignment="1">
      <alignment horizontal="centerContinuous"/>
      <protection/>
    </xf>
    <xf numFmtId="0" fontId="49" fillId="0" borderId="13" xfId="79" applyFont="1" applyBorder="1" applyAlignment="1">
      <alignment horizontal="center"/>
      <protection/>
    </xf>
    <xf numFmtId="0" fontId="49" fillId="0" borderId="14" xfId="79" applyFont="1" applyBorder="1">
      <alignment/>
      <protection/>
    </xf>
    <xf numFmtId="0" fontId="49" fillId="0" borderId="17" xfId="79" applyFont="1" applyBorder="1" applyAlignment="1">
      <alignment horizontal="center"/>
      <protection/>
    </xf>
    <xf numFmtId="0" fontId="62" fillId="0" borderId="18" xfId="79" applyFont="1" applyBorder="1">
      <alignment/>
      <protection/>
    </xf>
    <xf numFmtId="0" fontId="62" fillId="0" borderId="19" xfId="79" applyFont="1" applyBorder="1" applyAlignment="1">
      <alignment horizontal="center"/>
      <protection/>
    </xf>
    <xf numFmtId="0" fontId="62" fillId="0" borderId="20" xfId="79" applyFont="1" applyBorder="1" applyAlignment="1">
      <alignment horizontal="center"/>
      <protection/>
    </xf>
    <xf numFmtId="0" fontId="49" fillId="0" borderId="23" xfId="79" applyFont="1" applyBorder="1" applyAlignment="1">
      <alignment horizontal="center"/>
      <protection/>
    </xf>
    <xf numFmtId="0" fontId="49" fillId="0" borderId="21" xfId="79" applyFont="1" applyBorder="1">
      <alignment/>
      <protection/>
    </xf>
    <xf numFmtId="37" fontId="49" fillId="0" borderId="22" xfId="79" applyNumberFormat="1" applyFont="1" applyBorder="1">
      <alignment/>
      <protection/>
    </xf>
    <xf numFmtId="37" fontId="49" fillId="0" borderId="20" xfId="79" applyNumberFormat="1" applyFont="1" applyBorder="1">
      <alignment/>
      <protection/>
    </xf>
    <xf numFmtId="0" fontId="49" fillId="0" borderId="22" xfId="79" applyFont="1" applyBorder="1">
      <alignment/>
      <protection/>
    </xf>
    <xf numFmtId="0" fontId="62" fillId="0" borderId="21" xfId="79" applyFont="1" applyBorder="1">
      <alignment/>
      <protection/>
    </xf>
    <xf numFmtId="164" fontId="62" fillId="36" borderId="14" xfId="49" applyNumberFormat="1" applyFont="1" applyFill="1" applyBorder="1" applyAlignment="1" applyProtection="1">
      <alignment/>
      <protection locked="0"/>
    </xf>
    <xf numFmtId="0" fontId="49" fillId="0" borderId="22" xfId="79" applyFont="1" applyBorder="1" applyProtection="1">
      <alignment/>
      <protection locked="0"/>
    </xf>
    <xf numFmtId="164" fontId="49" fillId="0" borderId="18" xfId="49" applyNumberFormat="1" applyFont="1" applyBorder="1" applyAlignment="1" applyProtection="1">
      <alignment/>
      <protection locked="0"/>
    </xf>
    <xf numFmtId="0" fontId="49" fillId="0" borderId="20" xfId="79" applyFont="1" applyBorder="1" applyProtection="1">
      <alignment/>
      <protection locked="0"/>
    </xf>
    <xf numFmtId="0" fontId="49" fillId="0" borderId="18" xfId="79" applyFont="1" applyBorder="1">
      <alignment/>
      <protection/>
    </xf>
    <xf numFmtId="0" fontId="49" fillId="0" borderId="19" xfId="79" applyFont="1" applyBorder="1">
      <alignment/>
      <protection/>
    </xf>
    <xf numFmtId="0" fontId="49" fillId="0" borderId="20" xfId="79" applyFont="1" applyBorder="1">
      <alignment/>
      <protection/>
    </xf>
    <xf numFmtId="0" fontId="49" fillId="0" borderId="0" xfId="79" applyFont="1" applyAlignment="1" applyProtection="1">
      <alignment horizontal="right"/>
      <protection locked="0"/>
    </xf>
    <xf numFmtId="168" fontId="49" fillId="0" borderId="0" xfId="79" applyNumberFormat="1" applyFont="1" applyAlignment="1" applyProtection="1">
      <alignment horizontal="left"/>
      <protection locked="0"/>
    </xf>
    <xf numFmtId="0" fontId="49" fillId="0" borderId="0" xfId="79" applyFont="1" applyAlignment="1" applyProtection="1">
      <alignment horizontal="center"/>
      <protection/>
    </xf>
    <xf numFmtId="0" fontId="49" fillId="0" borderId="0" xfId="79" applyFont="1" applyFill="1" applyAlignment="1">
      <alignment horizontal="center"/>
      <protection/>
    </xf>
    <xf numFmtId="0" fontId="49" fillId="0" borderId="36" xfId="79" applyFont="1" applyBorder="1">
      <alignment/>
      <protection/>
    </xf>
    <xf numFmtId="0" fontId="49" fillId="0" borderId="25" xfId="79" applyFont="1" applyFill="1" applyBorder="1">
      <alignment/>
      <protection/>
    </xf>
    <xf numFmtId="0" fontId="49" fillId="0" borderId="32" xfId="79" applyFont="1" applyBorder="1" applyAlignment="1">
      <alignment horizontal="center" wrapText="1"/>
      <protection/>
    </xf>
    <xf numFmtId="0" fontId="62" fillId="0" borderId="30" xfId="79" applyFont="1" applyBorder="1" applyAlignment="1" applyProtection="1">
      <alignment wrapText="1"/>
      <protection locked="0"/>
    </xf>
    <xf numFmtId="0" fontId="62" fillId="0" borderId="32" xfId="79" applyFont="1" applyFill="1" applyBorder="1" applyAlignment="1" applyProtection="1">
      <alignment horizontal="center" wrapText="1"/>
      <protection locked="0"/>
    </xf>
    <xf numFmtId="0" fontId="49" fillId="0" borderId="36" xfId="79" applyFont="1" applyBorder="1" applyProtection="1">
      <alignment/>
      <protection locked="0"/>
    </xf>
    <xf numFmtId="0" fontId="49" fillId="0" borderId="25" xfId="79" applyFont="1" applyFill="1" applyBorder="1" applyProtection="1">
      <alignment/>
      <protection locked="0"/>
    </xf>
    <xf numFmtId="37" fontId="49" fillId="0" borderId="27" xfId="79" applyNumberFormat="1" applyFont="1" applyFill="1" applyBorder="1" applyProtection="1">
      <alignment/>
      <protection locked="0"/>
    </xf>
    <xf numFmtId="10" fontId="49" fillId="0" borderId="27" xfId="79" applyNumberFormat="1" applyFont="1" applyFill="1" applyBorder="1" applyProtection="1">
      <alignment/>
      <protection locked="0"/>
    </xf>
    <xf numFmtId="37" fontId="49" fillId="0" borderId="27" xfId="79" applyNumberFormat="1" applyFont="1" applyFill="1" applyBorder="1" applyProtection="1">
      <alignment/>
      <protection/>
    </xf>
    <xf numFmtId="10" fontId="49" fillId="0" borderId="27" xfId="79" applyNumberFormat="1" applyFont="1" applyFill="1" applyBorder="1" applyProtection="1">
      <alignment/>
      <protection/>
    </xf>
    <xf numFmtId="0" fontId="49" fillId="0" borderId="27" xfId="79" applyFont="1" applyFill="1" applyBorder="1">
      <alignment/>
      <protection/>
    </xf>
    <xf numFmtId="37" fontId="49" fillId="0" borderId="25" xfId="79" applyNumberFormat="1" applyFont="1" applyFill="1" applyBorder="1" applyProtection="1">
      <alignment/>
      <protection locked="0"/>
    </xf>
    <xf numFmtId="10" fontId="49" fillId="0" borderId="37" xfId="79" applyNumberFormat="1" applyFont="1" applyFill="1" applyBorder="1" applyProtection="1">
      <alignment/>
      <protection locked="0"/>
    </xf>
    <xf numFmtId="0" fontId="49" fillId="0" borderId="32" xfId="79" applyFont="1" applyBorder="1" applyAlignment="1">
      <alignment horizontal="center"/>
      <protection/>
    </xf>
    <xf numFmtId="0" fontId="49" fillId="0" borderId="30" xfId="79" applyFont="1" applyBorder="1">
      <alignment/>
      <protection/>
    </xf>
    <xf numFmtId="0" fontId="49" fillId="0" borderId="38" xfId="79" applyFont="1" applyFill="1" applyBorder="1">
      <alignment/>
      <protection/>
    </xf>
    <xf numFmtId="0" fontId="49" fillId="0" borderId="30" xfId="79" applyFont="1" applyFill="1" applyBorder="1">
      <alignment/>
      <protection/>
    </xf>
    <xf numFmtId="0" fontId="49" fillId="0" borderId="28" xfId="79" applyFont="1" applyFill="1" applyBorder="1">
      <alignment/>
      <protection/>
    </xf>
    <xf numFmtId="0" fontId="49" fillId="0" borderId="0" xfId="79" applyFont="1" applyFill="1" applyBorder="1">
      <alignment/>
      <protection/>
    </xf>
    <xf numFmtId="0" fontId="49" fillId="0" borderId="26" xfId="79" applyFont="1" applyBorder="1" applyAlignment="1">
      <alignment horizontal="left" indent="1"/>
      <protection/>
    </xf>
    <xf numFmtId="10" fontId="49" fillId="0" borderId="25" xfId="79" applyNumberFormat="1" applyFont="1" applyFill="1" applyBorder="1" applyProtection="1">
      <alignment/>
      <protection/>
    </xf>
    <xf numFmtId="10" fontId="49" fillId="0" borderId="25" xfId="79" applyNumberFormat="1" applyFont="1" applyFill="1" applyBorder="1" applyProtection="1">
      <alignment/>
      <protection locked="0"/>
    </xf>
    <xf numFmtId="5" fontId="49" fillId="0" borderId="25" xfId="79" applyNumberFormat="1" applyFont="1" applyFill="1" applyBorder="1">
      <alignment/>
      <protection/>
    </xf>
    <xf numFmtId="0" fontId="49" fillId="0" borderId="26" xfId="79" applyFont="1" applyBorder="1" applyAlignment="1">
      <alignment horizontal="left"/>
      <protection/>
    </xf>
    <xf numFmtId="0" fontId="20" fillId="0" borderId="0" xfId="0" applyFont="1" applyAlignment="1" applyProtection="1">
      <alignment/>
      <protection locked="0"/>
    </xf>
    <xf numFmtId="0" fontId="6" fillId="0" borderId="0" xfId="0" applyFont="1" applyAlignment="1" quotePrefix="1">
      <alignment horizontal="right"/>
    </xf>
    <xf numFmtId="167" fontId="20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168" fontId="13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1" xfId="0" applyFont="1" applyBorder="1" applyAlignment="1">
      <alignment/>
    </xf>
    <xf numFmtId="172" fontId="6" fillId="0" borderId="31" xfId="0" applyNumberFormat="1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 quotePrefix="1">
      <alignment horizontal="center"/>
      <protection locked="0"/>
    </xf>
    <xf numFmtId="0" fontId="6" fillId="0" borderId="39" xfId="0" applyFont="1" applyBorder="1" applyAlignment="1">
      <alignment/>
    </xf>
    <xf numFmtId="172" fontId="21" fillId="0" borderId="32" xfId="0" applyNumberFormat="1" applyFont="1" applyBorder="1" applyAlignment="1" applyProtection="1">
      <alignment/>
      <protection locked="0"/>
    </xf>
    <xf numFmtId="5" fontId="13" fillId="0" borderId="31" xfId="0" applyNumberFormat="1" applyFont="1" applyBorder="1" applyAlignment="1" applyProtection="1">
      <alignment/>
      <protection locked="0"/>
    </xf>
    <xf numFmtId="5" fontId="21" fillId="0" borderId="31" xfId="0" applyNumberFormat="1" applyFont="1" applyBorder="1" applyAlignment="1" applyProtection="1">
      <alignment/>
      <protection locked="0"/>
    </xf>
    <xf numFmtId="0" fontId="5" fillId="0" borderId="39" xfId="0" applyFont="1" applyBorder="1" applyAlignment="1" applyProtection="1" quotePrefix="1">
      <alignment/>
      <protection locked="0"/>
    </xf>
    <xf numFmtId="37" fontId="12" fillId="0" borderId="31" xfId="0" applyNumberFormat="1" applyFont="1" applyFill="1" applyBorder="1" applyAlignment="1" applyProtection="1">
      <alignment/>
      <protection locked="0"/>
    </xf>
    <xf numFmtId="37" fontId="5" fillId="0" borderId="31" xfId="0" applyNumberFormat="1" applyFont="1" applyFill="1" applyBorder="1" applyAlignment="1" applyProtection="1">
      <alignment/>
      <protection locked="0"/>
    </xf>
    <xf numFmtId="0" fontId="5" fillId="0" borderId="28" xfId="0" applyFont="1" applyBorder="1" applyAlignment="1" applyProtection="1" quotePrefix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37" fontId="6" fillId="0" borderId="25" xfId="0" applyNumberFormat="1" applyFont="1" applyFill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37" fontId="6" fillId="0" borderId="31" xfId="0" applyNumberFormat="1" applyFont="1" applyFill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 locked="0"/>
    </xf>
    <xf numFmtId="172" fontId="5" fillId="0" borderId="31" xfId="0" applyNumberFormat="1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/>
      <protection locked="0"/>
    </xf>
    <xf numFmtId="172" fontId="13" fillId="0" borderId="25" xfId="0" applyNumberFormat="1" applyFont="1" applyBorder="1" applyAlignment="1" applyProtection="1">
      <alignment/>
      <protection locked="0"/>
    </xf>
    <xf numFmtId="5" fontId="6" fillId="0" borderId="25" xfId="0" applyNumberFormat="1" applyFont="1" applyBorder="1" applyAlignment="1" applyProtection="1">
      <alignment/>
      <protection locked="0"/>
    </xf>
    <xf numFmtId="173" fontId="13" fillId="0" borderId="31" xfId="0" applyNumberFormat="1" applyFont="1" applyBorder="1" applyAlignment="1" applyProtection="1">
      <alignment horizontal="right"/>
      <protection locked="0"/>
    </xf>
    <xf numFmtId="5" fontId="6" fillId="0" borderId="31" xfId="0" applyNumberFormat="1" applyFont="1" applyBorder="1" applyAlignment="1" applyProtection="1">
      <alignment/>
      <protection locked="0"/>
    </xf>
    <xf numFmtId="0" fontId="6" fillId="0" borderId="25" xfId="0" applyFont="1" applyBorder="1" applyAlignment="1">
      <alignment/>
    </xf>
    <xf numFmtId="0" fontId="13" fillId="0" borderId="25" xfId="0" applyFont="1" applyBorder="1" applyAlignment="1">
      <alignment/>
    </xf>
    <xf numFmtId="5" fontId="13" fillId="0" borderId="25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8" xfId="0" applyFont="1" applyBorder="1" applyAlignment="1" quotePrefix="1">
      <alignment horizontal="center"/>
    </xf>
    <xf numFmtId="37" fontId="5" fillId="0" borderId="41" xfId="0" applyNumberFormat="1" applyFont="1" applyBorder="1" applyAlignment="1" applyProtection="1">
      <alignment/>
      <protection locked="0"/>
    </xf>
    <xf numFmtId="37" fontId="5" fillId="0" borderId="42" xfId="0" applyNumberFormat="1" applyFont="1" applyBorder="1" applyAlignment="1" applyProtection="1">
      <alignment/>
      <protection locked="0"/>
    </xf>
    <xf numFmtId="37" fontId="5" fillId="0" borderId="43" xfId="0" applyNumberFormat="1" applyFont="1" applyBorder="1" applyAlignment="1" applyProtection="1">
      <alignment/>
      <protection locked="0"/>
    </xf>
    <xf numFmtId="37" fontId="5" fillId="0" borderId="8" xfId="0" applyNumberFormat="1" applyFont="1" applyBorder="1" applyAlignment="1" applyProtection="1">
      <alignment/>
      <protection locked="0"/>
    </xf>
    <xf numFmtId="0" fontId="5" fillId="0" borderId="17" xfId="0" applyFont="1" applyBorder="1" applyAlignment="1" quotePrefix="1">
      <alignment horizontal="center"/>
    </xf>
    <xf numFmtId="37" fontId="5" fillId="0" borderId="38" xfId="0" applyNumberFormat="1" applyFont="1" applyBorder="1" applyAlignment="1">
      <alignment/>
    </xf>
    <xf numFmtId="37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25" xfId="0" applyFont="1" applyBorder="1" applyAlignment="1" applyProtection="1">
      <alignment/>
      <protection locked="0"/>
    </xf>
    <xf numFmtId="5" fontId="6" fillId="0" borderId="24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5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168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centerContinuous"/>
    </xf>
    <xf numFmtId="37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>
      <alignment horizontal="centerContinuous"/>
    </xf>
    <xf numFmtId="0" fontId="7" fillId="0" borderId="31" xfId="0" applyFont="1" applyBorder="1" applyAlignment="1">
      <alignment horizontal="center" wrapText="1"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0" fontId="7" fillId="0" borderId="39" xfId="0" applyFont="1" applyBorder="1" applyAlignment="1" applyProtection="1">
      <alignment/>
      <protection locked="0"/>
    </xf>
    <xf numFmtId="37" fontId="12" fillId="0" borderId="31" xfId="0" applyNumberFormat="1" applyFont="1" applyBorder="1" applyAlignment="1" applyProtection="1">
      <alignment/>
      <protection locked="0"/>
    </xf>
    <xf numFmtId="37" fontId="5" fillId="0" borderId="31" xfId="0" applyNumberFormat="1" applyFont="1" applyBorder="1" applyAlignment="1" applyProtection="1">
      <alignment/>
      <protection locked="0"/>
    </xf>
    <xf numFmtId="37" fontId="7" fillId="0" borderId="31" xfId="0" applyNumberFormat="1" applyFont="1" applyBorder="1" applyAlignment="1" applyProtection="1">
      <alignment/>
      <protection locked="0"/>
    </xf>
    <xf numFmtId="37" fontId="20" fillId="0" borderId="31" xfId="0" applyNumberFormat="1" applyFont="1" applyBorder="1" applyAlignment="1" applyProtection="1">
      <alignment/>
      <protection locked="0"/>
    </xf>
    <xf numFmtId="0" fontId="21" fillId="0" borderId="39" xfId="0" applyFont="1" applyBorder="1" applyAlignment="1" applyProtection="1">
      <alignment/>
      <protection locked="0"/>
    </xf>
    <xf numFmtId="37" fontId="21" fillId="0" borderId="31" xfId="0" applyNumberFormat="1" applyFont="1" applyBorder="1" applyAlignment="1" applyProtection="1">
      <alignment/>
      <protection locked="0"/>
    </xf>
    <xf numFmtId="7" fontId="21" fillId="0" borderId="39" xfId="0" applyNumberFormat="1" applyFont="1" applyBorder="1" applyAlignment="1" applyProtection="1">
      <alignment/>
      <protection locked="0"/>
    </xf>
    <xf numFmtId="37" fontId="7" fillId="0" borderId="31" xfId="0" applyNumberFormat="1" applyFont="1" applyBorder="1" applyAlignment="1" applyProtection="1">
      <alignment/>
      <protection/>
    </xf>
    <xf numFmtId="37" fontId="12" fillId="0" borderId="31" xfId="0" applyNumberFormat="1" applyFont="1" applyBorder="1" applyAlignment="1" applyProtection="1">
      <alignment/>
      <protection/>
    </xf>
    <xf numFmtId="37" fontId="5" fillId="0" borderId="31" xfId="0" applyNumberFormat="1" applyFont="1" applyBorder="1" applyAlignment="1" applyProtection="1">
      <alignment/>
      <protection/>
    </xf>
    <xf numFmtId="37" fontId="12" fillId="0" borderId="31" xfId="0" applyNumberFormat="1" applyFont="1" applyFill="1" applyBorder="1" applyAlignment="1" applyProtection="1">
      <alignment/>
      <protection/>
    </xf>
    <xf numFmtId="0" fontId="7" fillId="0" borderId="32" xfId="0" applyFont="1" applyBorder="1" applyAlignment="1">
      <alignment horizontal="center"/>
    </xf>
    <xf numFmtId="164" fontId="7" fillId="0" borderId="0" xfId="49" applyNumberFormat="1" applyFont="1" applyAlignment="1">
      <alignment/>
    </xf>
    <xf numFmtId="164" fontId="12" fillId="0" borderId="0" xfId="49" applyNumberFormat="1" applyFont="1" applyFill="1" applyAlignment="1">
      <alignment/>
    </xf>
    <xf numFmtId="0" fontId="7" fillId="0" borderId="0" xfId="0" applyFont="1" applyAlignment="1" quotePrefix="1">
      <alignment/>
    </xf>
    <xf numFmtId="0" fontId="21" fillId="0" borderId="0" xfId="0" applyFont="1" applyAlignment="1">
      <alignment/>
    </xf>
    <xf numFmtId="0" fontId="49" fillId="0" borderId="36" xfId="79" applyFont="1" applyBorder="1" applyAlignment="1">
      <alignment horizontal="center" wrapText="1"/>
      <protection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9" fillId="0" borderId="21" xfId="0" applyFont="1" applyBorder="1" applyAlignment="1" applyProtection="1">
      <alignment horizontal="left"/>
      <protection locked="0"/>
    </xf>
    <xf numFmtId="0" fontId="62" fillId="0" borderId="0" xfId="79" applyFont="1" applyBorder="1">
      <alignment/>
      <protection/>
    </xf>
    <xf numFmtId="0" fontId="49" fillId="0" borderId="0" xfId="79" applyFont="1" applyBorder="1" applyAlignment="1">
      <alignment horizontal="left" indent="1"/>
      <protection/>
    </xf>
    <xf numFmtId="0" fontId="5" fillId="0" borderId="0" xfId="79" applyFont="1" applyAlignment="1">
      <alignment horizontal="center"/>
      <protection/>
    </xf>
    <xf numFmtId="37" fontId="49" fillId="0" borderId="30" xfId="79" applyNumberFormat="1" applyFont="1" applyBorder="1" applyProtection="1">
      <alignment/>
      <protection/>
    </xf>
    <xf numFmtId="0" fontId="6" fillId="0" borderId="8" xfId="79" applyFont="1" applyBorder="1" applyAlignment="1">
      <alignment horizontal="center" wrapText="1"/>
      <protection/>
    </xf>
    <xf numFmtId="0" fontId="5" fillId="0" borderId="17" xfId="79" applyFont="1" applyBorder="1">
      <alignment/>
      <protection/>
    </xf>
    <xf numFmtId="164" fontId="49" fillId="0" borderId="23" xfId="47" applyNumberFormat="1" applyFont="1" applyBorder="1" applyAlignment="1">
      <alignment/>
    </xf>
    <xf numFmtId="164" fontId="49" fillId="0" borderId="17" xfId="47" applyNumberFormat="1" applyFont="1" applyBorder="1" applyAlignment="1">
      <alignment/>
    </xf>
    <xf numFmtId="37" fontId="49" fillId="0" borderId="44" xfId="79" applyNumberFormat="1" applyFont="1" applyBorder="1" applyProtection="1">
      <alignment/>
      <protection locked="0"/>
    </xf>
    <xf numFmtId="37" fontId="49" fillId="0" borderId="22" xfId="0" applyNumberFormat="1" applyFont="1" applyBorder="1" applyAlignment="1" applyProtection="1">
      <alignment/>
      <protection locked="0"/>
    </xf>
    <xf numFmtId="37" fontId="49" fillId="0" borderId="32" xfId="79" applyNumberFormat="1" applyFont="1" applyBorder="1" applyProtection="1">
      <alignment/>
      <protection locked="0"/>
    </xf>
    <xf numFmtId="37" fontId="49" fillId="0" borderId="45" xfId="79" applyNumberFormat="1" applyFont="1" applyBorder="1" applyProtection="1">
      <alignment/>
      <protection locked="0"/>
    </xf>
    <xf numFmtId="37" fontId="49" fillId="0" borderId="36" xfId="79" applyNumberFormat="1" applyFont="1" applyBorder="1" applyProtection="1">
      <alignment/>
      <protection locked="0"/>
    </xf>
    <xf numFmtId="37" fontId="49" fillId="0" borderId="25" xfId="79" applyNumberFormat="1" applyFont="1" applyBorder="1" applyProtection="1">
      <alignment/>
      <protection locked="0"/>
    </xf>
    <xf numFmtId="0" fontId="49" fillId="0" borderId="16" xfId="79" applyFont="1" applyBorder="1" applyProtection="1">
      <alignment/>
      <protection locked="0"/>
    </xf>
    <xf numFmtId="0" fontId="49" fillId="0" borderId="26" xfId="79" applyFont="1" applyBorder="1">
      <alignment/>
      <protection/>
    </xf>
    <xf numFmtId="37" fontId="49" fillId="0" borderId="37" xfId="79" applyNumberFormat="1" applyFont="1" applyFill="1" applyBorder="1" applyProtection="1">
      <alignment/>
      <protection locked="0"/>
    </xf>
    <xf numFmtId="37" fontId="49" fillId="0" borderId="27" xfId="79" applyNumberFormat="1" applyFont="1" applyFill="1" applyBorder="1" applyProtection="1">
      <alignment/>
      <protection/>
    </xf>
    <xf numFmtId="10" fontId="49" fillId="0" borderId="27" xfId="79" applyNumberFormat="1" applyFont="1" applyFill="1" applyBorder="1" applyProtection="1">
      <alignment/>
      <protection/>
    </xf>
    <xf numFmtId="10" fontId="49" fillId="0" borderId="27" xfId="79" applyNumberFormat="1" applyFont="1" applyFill="1" applyBorder="1" applyProtection="1">
      <alignment/>
      <protection locked="0"/>
    </xf>
    <xf numFmtId="37" fontId="49" fillId="0" borderId="46" xfId="79" applyNumberFormat="1" applyFont="1" applyFill="1" applyBorder="1" applyProtection="1">
      <alignment/>
      <protection locked="0"/>
    </xf>
    <xf numFmtId="10" fontId="49" fillId="0" borderId="46" xfId="79" applyNumberFormat="1" applyFont="1" applyFill="1" applyBorder="1" applyProtection="1">
      <alignment/>
      <protection locked="0"/>
    </xf>
    <xf numFmtId="0" fontId="49" fillId="0" borderId="27" xfId="79" applyFont="1" applyBorder="1" applyAlignment="1">
      <alignment horizontal="left" indent="1"/>
      <protection/>
    </xf>
    <xf numFmtId="172" fontId="49" fillId="0" borderId="31" xfId="0" applyNumberFormat="1" applyFont="1" applyBorder="1" applyAlignment="1" applyProtection="1">
      <alignment horizontal="center"/>
      <protection locked="0"/>
    </xf>
    <xf numFmtId="172" fontId="49" fillId="0" borderId="25" xfId="0" applyNumberFormat="1" applyFont="1" applyBorder="1" applyAlignment="1" applyProtection="1">
      <alignment horizontal="center"/>
      <protection locked="0"/>
    </xf>
    <xf numFmtId="10" fontId="49" fillId="0" borderId="25" xfId="0" applyNumberFormat="1" applyFont="1" applyBorder="1" applyAlignment="1" applyProtection="1">
      <alignment horizontal="center"/>
      <protection locked="0"/>
    </xf>
    <xf numFmtId="37" fontId="49" fillId="0" borderId="25" xfId="0" applyNumberFormat="1" applyFont="1" applyBorder="1" applyAlignment="1" applyProtection="1">
      <alignment horizontal="center"/>
      <protection locked="0"/>
    </xf>
    <xf numFmtId="172" fontId="62" fillId="0" borderId="27" xfId="0" applyNumberFormat="1" applyFont="1" applyBorder="1" applyAlignment="1" applyProtection="1">
      <alignment horizontal="center"/>
      <protection locked="0"/>
    </xf>
    <xf numFmtId="172" fontId="62" fillId="0" borderId="8" xfId="0" applyNumberFormat="1" applyFont="1" applyBorder="1" applyAlignment="1" applyProtection="1">
      <alignment horizontal="center"/>
      <protection locked="0"/>
    </xf>
    <xf numFmtId="37" fontId="49" fillId="0" borderId="27" xfId="79" applyNumberFormat="1" applyFont="1" applyFill="1" applyBorder="1">
      <alignment/>
      <protection/>
    </xf>
    <xf numFmtId="0" fontId="3" fillId="0" borderId="0" xfId="83" applyFont="1">
      <alignment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3" fillId="0" borderId="13" xfId="83" applyFont="1" applyBorder="1" applyAlignment="1">
      <alignment horizontal="center"/>
      <protection/>
    </xf>
    <xf numFmtId="17" fontId="3" fillId="0" borderId="21" xfId="83" applyNumberFormat="1" applyFont="1" applyBorder="1" quotePrefix="1">
      <alignment/>
      <protection/>
    </xf>
    <xf numFmtId="164" fontId="3" fillId="0" borderId="0" xfId="53" applyNumberFormat="1" applyFont="1" applyBorder="1" applyAlignment="1">
      <alignment/>
    </xf>
    <xf numFmtId="164" fontId="3" fillId="0" borderId="0" xfId="54" applyNumberFormat="1" applyFont="1" applyAlignment="1">
      <alignment/>
    </xf>
    <xf numFmtId="164" fontId="3" fillId="0" borderId="22" xfId="53" applyNumberFormat="1" applyFont="1" applyBorder="1" applyAlignment="1">
      <alignment/>
    </xf>
    <xf numFmtId="0" fontId="3" fillId="0" borderId="23" xfId="83" applyFont="1" applyBorder="1" applyAlignment="1">
      <alignment horizontal="center"/>
      <protection/>
    </xf>
    <xf numFmtId="0" fontId="3" fillId="0" borderId="21" xfId="83" applyFont="1" applyBorder="1" quotePrefix="1">
      <alignment/>
      <protection/>
    </xf>
    <xf numFmtId="0" fontId="3" fillId="0" borderId="21" xfId="83" applyFont="1" applyBorder="1">
      <alignment/>
      <protection/>
    </xf>
    <xf numFmtId="0" fontId="3" fillId="0" borderId="18" xfId="83" applyFont="1" applyBorder="1">
      <alignment/>
      <protection/>
    </xf>
    <xf numFmtId="164" fontId="3" fillId="0" borderId="19" xfId="53" applyNumberFormat="1" applyFont="1" applyBorder="1" applyAlignment="1">
      <alignment/>
    </xf>
    <xf numFmtId="164" fontId="3" fillId="0" borderId="20" xfId="53" applyNumberFormat="1" applyFont="1" applyBorder="1" applyAlignment="1">
      <alignment/>
    </xf>
    <xf numFmtId="0" fontId="3" fillId="0" borderId="15" xfId="83" applyFont="1" applyBorder="1" applyAlignment="1">
      <alignment horizontal="center"/>
      <protection/>
    </xf>
    <xf numFmtId="0" fontId="3" fillId="0" borderId="0" xfId="83" applyFont="1" applyBorder="1" applyAlignment="1">
      <alignment horizontal="center"/>
      <protection/>
    </xf>
    <xf numFmtId="164" fontId="3" fillId="0" borderId="0" xfId="53" applyNumberFormat="1" applyFont="1" applyBorder="1" applyAlignment="1">
      <alignment horizontal="center"/>
    </xf>
    <xf numFmtId="0" fontId="62" fillId="0" borderId="21" xfId="79" applyFont="1" applyBorder="1">
      <alignment/>
      <protection/>
    </xf>
    <xf numFmtId="0" fontId="3" fillId="0" borderId="8" xfId="83" applyFont="1" applyBorder="1" applyAlignment="1">
      <alignment horizontal="center" wrapText="1"/>
      <protection/>
    </xf>
    <xf numFmtId="0" fontId="2" fillId="0" borderId="33" xfId="83" applyFont="1" applyBorder="1">
      <alignment/>
      <protection/>
    </xf>
    <xf numFmtId="0" fontId="2" fillId="0" borderId="4" xfId="83" applyFont="1" applyBorder="1" applyAlignment="1">
      <alignment horizontal="center"/>
      <protection/>
    </xf>
    <xf numFmtId="0" fontId="2" fillId="0" borderId="4" xfId="83" applyFont="1" applyBorder="1" applyAlignment="1">
      <alignment horizontal="center" wrapText="1"/>
      <protection/>
    </xf>
    <xf numFmtId="0" fontId="2" fillId="0" borderId="34" xfId="83" applyFont="1" applyBorder="1" applyAlignment="1">
      <alignment horizontal="center"/>
      <protection/>
    </xf>
    <xf numFmtId="0" fontId="49" fillId="0" borderId="0" xfId="78" applyFont="1" applyAlignment="1">
      <alignment horizontal="center"/>
      <protection/>
    </xf>
    <xf numFmtId="0" fontId="49" fillId="0" borderId="0" xfId="78" applyFont="1">
      <alignment/>
      <protection/>
    </xf>
    <xf numFmtId="0" fontId="49" fillId="0" borderId="13" xfId="78" applyFont="1" applyBorder="1" applyAlignment="1">
      <alignment horizontal="center"/>
      <protection/>
    </xf>
    <xf numFmtId="0" fontId="62" fillId="0" borderId="15" xfId="78" applyFont="1" applyBorder="1" applyAlignment="1">
      <alignment horizontal="center"/>
      <protection/>
    </xf>
    <xf numFmtId="0" fontId="62" fillId="0" borderId="16" xfId="78" applyFont="1" applyBorder="1" applyAlignment="1">
      <alignment horizontal="center"/>
      <protection/>
    </xf>
    <xf numFmtId="0" fontId="49" fillId="0" borderId="23" xfId="78" applyFont="1" applyBorder="1" applyAlignment="1">
      <alignment horizontal="center"/>
      <protection/>
    </xf>
    <xf numFmtId="0" fontId="62" fillId="0" borderId="21" xfId="78" applyFont="1" applyBorder="1" applyAlignment="1">
      <alignment horizontal="center"/>
      <protection/>
    </xf>
    <xf numFmtId="0" fontId="62" fillId="0" borderId="0" xfId="78" applyFont="1" applyBorder="1" applyAlignment="1">
      <alignment horizontal="center"/>
      <protection/>
    </xf>
    <xf numFmtId="0" fontId="62" fillId="0" borderId="22" xfId="78" applyFont="1" applyBorder="1" applyAlignment="1">
      <alignment horizontal="center"/>
      <protection/>
    </xf>
    <xf numFmtId="0" fontId="49" fillId="0" borderId="17" xfId="78" applyFont="1" applyBorder="1" applyAlignment="1">
      <alignment horizontal="center" wrapText="1"/>
      <protection/>
    </xf>
    <xf numFmtId="0" fontId="62" fillId="0" borderId="19" xfId="78" applyFont="1" applyBorder="1" applyAlignment="1" quotePrefix="1">
      <alignment horizontal="center" wrapText="1"/>
      <protection/>
    </xf>
    <xf numFmtId="0" fontId="62" fillId="0" borderId="20" xfId="78" applyFont="1" applyBorder="1" applyAlignment="1">
      <alignment horizontal="center"/>
      <protection/>
    </xf>
    <xf numFmtId="3" fontId="49" fillId="0" borderId="15" xfId="78" applyNumberFormat="1" applyFont="1" applyBorder="1">
      <alignment/>
      <protection/>
    </xf>
    <xf numFmtId="0" fontId="49" fillId="0" borderId="0" xfId="78" applyFont="1" applyBorder="1">
      <alignment/>
      <protection/>
    </xf>
    <xf numFmtId="0" fontId="49" fillId="0" borderId="23" xfId="78" applyFont="1" applyBorder="1" applyAlignment="1">
      <alignment horizontal="center"/>
      <protection/>
    </xf>
    <xf numFmtId="0" fontId="49" fillId="0" borderId="21" xfId="78" applyFont="1" applyBorder="1" quotePrefix="1">
      <alignment/>
      <protection/>
    </xf>
    <xf numFmtId="3" fontId="49" fillId="0" borderId="0" xfId="78" applyNumberFormat="1" applyFont="1" applyBorder="1">
      <alignment/>
      <protection/>
    </xf>
    <xf numFmtId="0" fontId="49" fillId="0" borderId="0" xfId="78" applyFont="1" applyBorder="1" applyAlignment="1">
      <alignment horizontal="center"/>
      <protection/>
    </xf>
    <xf numFmtId="0" fontId="49" fillId="0" borderId="21" xfId="78" applyFont="1" applyBorder="1">
      <alignment/>
      <protection/>
    </xf>
    <xf numFmtId="0" fontId="62" fillId="0" borderId="21" xfId="78" applyFont="1" applyBorder="1" applyAlignment="1">
      <alignment horizontal="left" indent="1"/>
      <protection/>
    </xf>
    <xf numFmtId="0" fontId="49" fillId="0" borderId="17" xfId="78" applyFont="1" applyBorder="1" applyAlignment="1">
      <alignment horizontal="center"/>
      <protection/>
    </xf>
    <xf numFmtId="0" fontId="49" fillId="0" borderId="19" xfId="78" applyFont="1" applyBorder="1">
      <alignment/>
      <protection/>
    </xf>
    <xf numFmtId="0" fontId="49" fillId="0" borderId="20" xfId="78" applyFont="1" applyBorder="1">
      <alignment/>
      <protection/>
    </xf>
    <xf numFmtId="164" fontId="2" fillId="36" borderId="16" xfId="43" applyNumberFormat="1" applyFont="1" applyFill="1" applyBorder="1" applyAlignment="1">
      <alignment/>
    </xf>
    <xf numFmtId="164" fontId="2" fillId="36" borderId="15" xfId="43" applyNumberFormat="1" applyFont="1" applyFill="1" applyBorder="1" applyAlignment="1">
      <alignment/>
    </xf>
    <xf numFmtId="164" fontId="3" fillId="36" borderId="15" xfId="43" applyNumberFormat="1" applyFont="1" applyFill="1" applyBorder="1" applyAlignment="1">
      <alignment/>
    </xf>
    <xf numFmtId="164" fontId="2" fillId="36" borderId="15" xfId="53" applyNumberFormat="1" applyFont="1" applyFill="1" applyBorder="1" applyAlignment="1">
      <alignment/>
    </xf>
    <xf numFmtId="164" fontId="2" fillId="36" borderId="16" xfId="53" applyNumberFormat="1" applyFont="1" applyFill="1" applyBorder="1" applyAlignment="1">
      <alignment/>
    </xf>
    <xf numFmtId="37" fontId="62" fillId="36" borderId="25" xfId="79" applyNumberFormat="1" applyFont="1" applyFill="1" applyBorder="1" applyProtection="1">
      <alignment/>
      <protection locked="0"/>
    </xf>
    <xf numFmtId="37" fontId="49" fillId="0" borderId="22" xfId="79" applyNumberFormat="1" applyFont="1" applyFill="1" applyBorder="1">
      <alignment/>
      <protection/>
    </xf>
    <xf numFmtId="164" fontId="49" fillId="0" borderId="47" xfId="49" applyNumberFormat="1" applyFont="1" applyBorder="1" applyAlignment="1" applyProtection="1">
      <alignment/>
      <protection locked="0"/>
    </xf>
    <xf numFmtId="0" fontId="2" fillId="0" borderId="21" xfId="83" applyFont="1" applyBorder="1" applyAlignment="1">
      <alignment horizontal="left" indent="1"/>
      <protection/>
    </xf>
    <xf numFmtId="0" fontId="2" fillId="0" borderId="21" xfId="0" applyFont="1" applyBorder="1" applyAlignment="1">
      <alignment horizontal="left" indent="1"/>
    </xf>
    <xf numFmtId="0" fontId="62" fillId="0" borderId="14" xfId="78" applyFont="1" applyBorder="1" applyAlignment="1">
      <alignment horizontal="center"/>
      <protection/>
    </xf>
    <xf numFmtId="0" fontId="62" fillId="0" borderId="18" xfId="78" applyFont="1" applyBorder="1">
      <alignment/>
      <protection/>
    </xf>
    <xf numFmtId="17" fontId="49" fillId="0" borderId="14" xfId="78" applyNumberFormat="1" applyFont="1" applyBorder="1" quotePrefix="1">
      <alignment/>
      <protection/>
    </xf>
    <xf numFmtId="0" fontId="49" fillId="0" borderId="18" xfId="78" applyFont="1" applyBorder="1">
      <alignment/>
      <protection/>
    </xf>
    <xf numFmtId="0" fontId="49" fillId="0" borderId="21" xfId="79" applyFont="1" applyBorder="1" quotePrefix="1">
      <alignment/>
      <protection/>
    </xf>
    <xf numFmtId="0" fontId="49" fillId="0" borderId="30" xfId="80" applyFont="1" applyBorder="1">
      <alignment/>
      <protection/>
    </xf>
    <xf numFmtId="0" fontId="49" fillId="0" borderId="29" xfId="80" applyFont="1" applyBorder="1">
      <alignment/>
      <protection/>
    </xf>
    <xf numFmtId="0" fontId="49" fillId="0" borderId="38" xfId="80" applyFont="1" applyBorder="1">
      <alignment/>
      <protection/>
    </xf>
    <xf numFmtId="0" fontId="49" fillId="0" borderId="0" xfId="80" applyFont="1" applyFill="1" applyAlignment="1">
      <alignment horizontal="center"/>
      <protection/>
    </xf>
    <xf numFmtId="37" fontId="49" fillId="0" borderId="48" xfId="80" applyNumberFormat="1" applyFont="1" applyFill="1" applyBorder="1" applyProtection="1">
      <alignment/>
      <protection/>
    </xf>
    <xf numFmtId="3" fontId="49" fillId="0" borderId="22" xfId="78" applyNumberFormat="1" applyFont="1" applyBorder="1">
      <alignment/>
      <protection/>
    </xf>
    <xf numFmtId="3" fontId="49" fillId="0" borderId="19" xfId="78" applyNumberFormat="1" applyFont="1" applyBorder="1">
      <alignment/>
      <protection/>
    </xf>
    <xf numFmtId="3" fontId="49" fillId="0" borderId="20" xfId="78" applyNumberFormat="1" applyFont="1" applyBorder="1">
      <alignment/>
      <protection/>
    </xf>
    <xf numFmtId="0" fontId="49" fillId="0" borderId="36" xfId="80" applyFont="1" applyBorder="1" quotePrefix="1">
      <alignment/>
      <protection/>
    </xf>
    <xf numFmtId="0" fontId="49" fillId="0" borderId="26" xfId="80" applyFont="1" applyBorder="1" quotePrefix="1">
      <alignment/>
      <protection/>
    </xf>
    <xf numFmtId="0" fontId="49" fillId="0" borderId="26" xfId="80" applyFont="1" applyBorder="1">
      <alignment/>
      <protection/>
    </xf>
    <xf numFmtId="0" fontId="62" fillId="0" borderId="26" xfId="80" applyFont="1" applyBorder="1" applyAlignment="1">
      <alignment horizontal="left" indent="1"/>
      <protection/>
    </xf>
    <xf numFmtId="0" fontId="62" fillId="0" borderId="38" xfId="80" applyFont="1" applyFill="1" applyBorder="1" applyAlignment="1">
      <alignment horizontal="center" wrapText="1"/>
      <protection/>
    </xf>
    <xf numFmtId="37" fontId="49" fillId="0" borderId="40" xfId="80" applyNumberFormat="1" applyFont="1" applyFill="1" applyBorder="1" applyProtection="1">
      <alignment/>
      <protection/>
    </xf>
    <xf numFmtId="37" fontId="49" fillId="0" borderId="40" xfId="80" applyNumberFormat="1" applyFont="1" applyBorder="1" applyProtection="1">
      <alignment/>
      <protection/>
    </xf>
    <xf numFmtId="37" fontId="62" fillId="36" borderId="48" xfId="80" applyNumberFormat="1" applyFont="1" applyFill="1" applyBorder="1" applyProtection="1">
      <alignment/>
      <protection/>
    </xf>
    <xf numFmtId="0" fontId="62" fillId="0" borderId="49" xfId="80" applyFont="1" applyFill="1" applyBorder="1" applyAlignment="1">
      <alignment horizontal="center" wrapText="1"/>
      <protection/>
    </xf>
    <xf numFmtId="37" fontId="49" fillId="0" borderId="28" xfId="80" applyNumberFormat="1" applyFont="1" applyFill="1" applyBorder="1" applyProtection="1">
      <alignment/>
      <protection/>
    </xf>
    <xf numFmtId="37" fontId="49" fillId="0" borderId="0" xfId="80" applyNumberFormat="1" applyFont="1" applyFill="1" applyBorder="1" applyProtection="1">
      <alignment/>
      <protection/>
    </xf>
    <xf numFmtId="37" fontId="49" fillId="0" borderId="0" xfId="80" applyNumberFormat="1" applyFont="1" applyBorder="1" applyProtection="1">
      <alignment/>
      <protection/>
    </xf>
    <xf numFmtId="37" fontId="62" fillId="0" borderId="0" xfId="80" applyNumberFormat="1" applyFont="1" applyBorder="1" applyProtection="1">
      <alignment/>
      <protection/>
    </xf>
    <xf numFmtId="37" fontId="49" fillId="0" borderId="22" xfId="0" applyNumberFormat="1" applyFont="1" applyFill="1" applyBorder="1" applyAlignment="1" applyProtection="1">
      <alignment/>
      <protection locked="0"/>
    </xf>
    <xf numFmtId="37" fontId="62" fillId="36" borderId="22" xfId="0" applyNumberFormat="1" applyFont="1" applyFill="1" applyBorder="1" applyAlignment="1" applyProtection="1">
      <alignment/>
      <protection locked="0"/>
    </xf>
    <xf numFmtId="37" fontId="49" fillId="0" borderId="35" xfId="0" applyNumberFormat="1" applyFont="1" applyFill="1" applyBorder="1" applyAlignment="1" applyProtection="1">
      <alignment/>
      <protection/>
    </xf>
    <xf numFmtId="0" fontId="62" fillId="0" borderId="30" xfId="80" applyFont="1" applyBorder="1">
      <alignment/>
      <protection/>
    </xf>
    <xf numFmtId="0" fontId="49" fillId="0" borderId="0" xfId="79" applyFont="1" applyAlignment="1">
      <alignment horizontal="center"/>
      <protection/>
    </xf>
    <xf numFmtId="39" fontId="5" fillId="0" borderId="0" xfId="82" applyFont="1" applyAlignment="1" applyProtection="1">
      <alignment horizontal="center"/>
      <protection/>
    </xf>
    <xf numFmtId="37" fontId="5" fillId="0" borderId="0" xfId="82" applyNumberFormat="1" applyFont="1" applyProtection="1">
      <alignment/>
      <protection/>
    </xf>
    <xf numFmtId="39" fontId="5" fillId="0" borderId="0" xfId="82" applyFont="1">
      <alignment/>
      <protection/>
    </xf>
    <xf numFmtId="39" fontId="5" fillId="0" borderId="0" xfId="82" applyFont="1" applyProtection="1">
      <alignment/>
      <protection/>
    </xf>
    <xf numFmtId="39" fontId="5" fillId="0" borderId="0" xfId="82" applyFont="1" applyBorder="1" applyProtection="1">
      <alignment/>
      <protection/>
    </xf>
    <xf numFmtId="39" fontId="6" fillId="0" borderId="0" xfId="82" applyFont="1" applyBorder="1" applyAlignment="1" applyProtection="1">
      <alignment horizontal="centerContinuous"/>
      <protection locked="0"/>
    </xf>
    <xf numFmtId="37" fontId="6" fillId="0" borderId="0" xfId="82" applyNumberFormat="1" applyFont="1" applyBorder="1" applyAlignment="1" applyProtection="1">
      <alignment horizontal="centerContinuous"/>
      <protection/>
    </xf>
    <xf numFmtId="39" fontId="6" fillId="0" borderId="0" xfId="82" applyFont="1" applyProtection="1">
      <alignment/>
      <protection/>
    </xf>
    <xf numFmtId="37" fontId="6" fillId="0" borderId="0" xfId="82" applyNumberFormat="1" applyFont="1" applyAlignment="1" applyProtection="1">
      <alignment horizontal="centerContinuous"/>
      <protection/>
    </xf>
    <xf numFmtId="39" fontId="5" fillId="0" borderId="13" xfId="82" applyFont="1" applyBorder="1" applyAlignment="1" applyProtection="1">
      <alignment horizontal="center"/>
      <protection/>
    </xf>
    <xf numFmtId="37" fontId="6" fillId="0" borderId="13" xfId="82" applyNumberFormat="1" applyFont="1" applyBorder="1" applyAlignment="1" applyProtection="1">
      <alignment horizontal="center"/>
      <protection locked="0"/>
    </xf>
    <xf numFmtId="39" fontId="5" fillId="0" borderId="17" xfId="82" applyFont="1" applyBorder="1" applyAlignment="1" applyProtection="1">
      <alignment horizontal="center"/>
      <protection/>
    </xf>
    <xf numFmtId="37" fontId="6" fillId="0" borderId="17" xfId="82" applyNumberFormat="1" applyFont="1" applyBorder="1" applyAlignment="1" applyProtection="1">
      <alignment horizontal="center"/>
      <protection locked="0"/>
    </xf>
    <xf numFmtId="174" fontId="5" fillId="0" borderId="27" xfId="82" applyNumberFormat="1" applyFont="1" applyBorder="1" applyAlignment="1" applyProtection="1">
      <alignment horizontal="center"/>
      <protection/>
    </xf>
    <xf numFmtId="39" fontId="6" fillId="0" borderId="48" xfId="82" applyFont="1" applyBorder="1" applyProtection="1">
      <alignment/>
      <protection locked="0"/>
    </xf>
    <xf numFmtId="39" fontId="5" fillId="0" borderId="27" xfId="82" applyFont="1" applyBorder="1" applyAlignment="1" applyProtection="1">
      <alignment horizontal="center"/>
      <protection/>
    </xf>
    <xf numFmtId="37" fontId="5" fillId="0" borderId="27" xfId="82" applyNumberFormat="1" applyFont="1" applyBorder="1" applyAlignment="1" applyProtection="1">
      <alignment horizontal="center"/>
      <protection locked="0"/>
    </xf>
    <xf numFmtId="39" fontId="5" fillId="0" borderId="48" xfId="82" applyFont="1" applyBorder="1" applyProtection="1">
      <alignment/>
      <protection locked="0"/>
    </xf>
    <xf numFmtId="39" fontId="5" fillId="0" borderId="27" xfId="82" applyFont="1" applyBorder="1" applyAlignment="1" applyProtection="1">
      <alignment horizontal="center"/>
      <protection locked="0"/>
    </xf>
    <xf numFmtId="37" fontId="12" fillId="0" borderId="27" xfId="82" applyNumberFormat="1" applyFont="1" applyFill="1" applyBorder="1" applyProtection="1">
      <alignment/>
      <protection locked="0"/>
    </xf>
    <xf numFmtId="39" fontId="6" fillId="0" borderId="24" xfId="82" applyFont="1" applyBorder="1" applyProtection="1">
      <alignment/>
      <protection locked="0"/>
    </xf>
    <xf numFmtId="39" fontId="5" fillId="0" borderId="49" xfId="82" applyFont="1" applyBorder="1" applyAlignment="1" applyProtection="1">
      <alignment horizontal="center"/>
      <protection/>
    </xf>
    <xf numFmtId="37" fontId="62" fillId="0" borderId="39" xfId="82" applyNumberFormat="1" applyFont="1" applyFill="1" applyBorder="1" applyProtection="1">
      <alignment/>
      <protection/>
    </xf>
    <xf numFmtId="39" fontId="6" fillId="0" borderId="25" xfId="82" applyFont="1" applyBorder="1" applyProtection="1">
      <alignment/>
      <protection locked="0"/>
    </xf>
    <xf numFmtId="39" fontId="5" fillId="0" borderId="25" xfId="82" applyFont="1" applyBorder="1" applyAlignment="1" applyProtection="1">
      <alignment horizontal="center"/>
      <protection/>
    </xf>
    <xf numFmtId="37" fontId="62" fillId="0" borderId="25" xfId="82" applyNumberFormat="1" applyFont="1" applyFill="1" applyBorder="1" applyProtection="1">
      <alignment/>
      <protection/>
    </xf>
    <xf numFmtId="37" fontId="12" fillId="0" borderId="27" xfId="82" applyNumberFormat="1" applyFont="1" applyFill="1" applyBorder="1" applyProtection="1">
      <alignment/>
      <protection/>
    </xf>
    <xf numFmtId="39" fontId="6" fillId="0" borderId="27" xfId="82" applyFont="1" applyBorder="1" applyAlignment="1" applyProtection="1">
      <alignment horizontal="center"/>
      <protection locked="0"/>
    </xf>
    <xf numFmtId="39" fontId="5" fillId="0" borderId="23" xfId="82" applyFont="1" applyBorder="1" applyAlignment="1" applyProtection="1">
      <alignment horizontal="center"/>
      <protection/>
    </xf>
    <xf numFmtId="37" fontId="12" fillId="0" borderId="23" xfId="82" applyNumberFormat="1" applyFont="1" applyFill="1" applyBorder="1" applyProtection="1">
      <alignment/>
      <protection/>
    </xf>
    <xf numFmtId="39" fontId="5" fillId="0" borderId="48" xfId="82" applyFont="1" applyFill="1" applyBorder="1" applyProtection="1">
      <alignment/>
      <protection locked="0"/>
    </xf>
    <xf numFmtId="39" fontId="5" fillId="0" borderId="23" xfId="82" applyFont="1" applyBorder="1" applyAlignment="1" applyProtection="1">
      <alignment horizontal="center"/>
      <protection locked="0"/>
    </xf>
    <xf numFmtId="37" fontId="12" fillId="0" borderId="23" xfId="82" applyNumberFormat="1" applyFont="1" applyFill="1" applyBorder="1" applyProtection="1">
      <alignment/>
      <protection locked="0"/>
    </xf>
    <xf numFmtId="39" fontId="6" fillId="0" borderId="22" xfId="82" applyFont="1" applyBorder="1" applyProtection="1">
      <alignment/>
      <protection locked="0"/>
    </xf>
    <xf numFmtId="39" fontId="6" fillId="0" borderId="23" xfId="82" applyFont="1" applyBorder="1" applyAlignment="1" applyProtection="1">
      <alignment horizontal="center"/>
      <protection locked="0"/>
    </xf>
    <xf numFmtId="37" fontId="12" fillId="0" borderId="17" xfId="82" applyNumberFormat="1" applyFont="1" applyFill="1" applyBorder="1" applyProtection="1">
      <alignment/>
      <protection locked="0"/>
    </xf>
    <xf numFmtId="174" fontId="5" fillId="0" borderId="26" xfId="82" applyNumberFormat="1" applyFont="1" applyBorder="1" applyAlignment="1" applyProtection="1">
      <alignment horizontal="center"/>
      <protection/>
    </xf>
    <xf numFmtId="39" fontId="5" fillId="0" borderId="49" xfId="82" applyFont="1" applyBorder="1" applyAlignment="1" applyProtection="1">
      <alignment horizontal="center"/>
      <protection locked="0"/>
    </xf>
    <xf numFmtId="37" fontId="12" fillId="0" borderId="50" xfId="82" applyNumberFormat="1" applyFont="1" applyFill="1" applyBorder="1" applyProtection="1">
      <alignment/>
      <protection/>
    </xf>
    <xf numFmtId="39" fontId="5" fillId="0" borderId="14" xfId="82" applyFont="1" applyBorder="1" applyAlignment="1" applyProtection="1">
      <alignment horizontal="center"/>
      <protection/>
    </xf>
    <xf numFmtId="39" fontId="5" fillId="0" borderId="18" xfId="82" applyFont="1" applyBorder="1" applyAlignment="1" applyProtection="1">
      <alignment horizontal="center"/>
      <protection/>
    </xf>
    <xf numFmtId="39" fontId="6" fillId="0" borderId="51" xfId="82" applyFont="1" applyBorder="1" applyProtection="1">
      <alignment/>
      <protection locked="0"/>
    </xf>
    <xf numFmtId="39" fontId="5" fillId="0" borderId="36" xfId="82" applyFont="1" applyBorder="1" applyAlignment="1" applyProtection="1">
      <alignment horizontal="center"/>
      <protection/>
    </xf>
    <xf numFmtId="37" fontId="49" fillId="0" borderId="52" xfId="82" applyNumberFormat="1" applyFont="1" applyFill="1" applyBorder="1" applyAlignment="1" applyProtection="1" quotePrefix="1">
      <alignment horizontal="center"/>
      <protection/>
    </xf>
    <xf numFmtId="39" fontId="5" fillId="0" borderId="53" xfId="82" applyFont="1" applyBorder="1" applyProtection="1">
      <alignment/>
      <protection locked="0"/>
    </xf>
    <xf numFmtId="39" fontId="5" fillId="0" borderId="26" xfId="82" applyFont="1" applyBorder="1" applyAlignment="1" applyProtection="1">
      <alignment horizontal="center"/>
      <protection locked="0"/>
    </xf>
    <xf numFmtId="39" fontId="5" fillId="0" borderId="53" xfId="82" applyFont="1" applyBorder="1" applyProtection="1" quotePrefix="1">
      <alignment/>
      <protection locked="0"/>
    </xf>
    <xf numFmtId="37" fontId="5" fillId="0" borderId="23" xfId="82" applyNumberFormat="1" applyFont="1" applyFill="1" applyBorder="1" applyProtection="1">
      <alignment/>
      <protection locked="0"/>
    </xf>
    <xf numFmtId="37" fontId="12" fillId="0" borderId="23" xfId="82" applyNumberFormat="1" applyFont="1" applyFill="1" applyBorder="1">
      <alignment/>
      <protection/>
    </xf>
    <xf numFmtId="39" fontId="6" fillId="0" borderId="26" xfId="82" applyFont="1" applyBorder="1" applyAlignment="1" applyProtection="1">
      <alignment horizontal="center"/>
      <protection locked="0"/>
    </xf>
    <xf numFmtId="37" fontId="12" fillId="0" borderId="23" xfId="47" applyNumberFormat="1" applyFont="1" applyFill="1" applyBorder="1" applyAlignment="1">
      <alignment/>
    </xf>
    <xf numFmtId="39" fontId="5" fillId="0" borderId="26" xfId="82" applyFont="1" applyBorder="1" applyAlignment="1" applyProtection="1">
      <alignment horizontal="center"/>
      <protection/>
    </xf>
    <xf numFmtId="39" fontId="5" fillId="0" borderId="53" xfId="82" applyFont="1" applyBorder="1" applyAlignment="1" applyProtection="1">
      <alignment horizontal="left" indent="2"/>
      <protection locked="0"/>
    </xf>
    <xf numFmtId="39" fontId="5" fillId="0" borderId="0" xfId="82" applyFont="1" applyBorder="1" applyAlignment="1" applyProtection="1">
      <alignment horizontal="center"/>
      <protection locked="0"/>
    </xf>
    <xf numFmtId="39" fontId="6" fillId="0" borderId="33" xfId="82" applyFont="1" applyBorder="1" applyProtection="1">
      <alignment/>
      <protection locked="0"/>
    </xf>
    <xf numFmtId="39" fontId="6" fillId="0" borderId="4" xfId="82" applyFont="1" applyBorder="1" applyAlignment="1" applyProtection="1">
      <alignment horizontal="center"/>
      <protection locked="0"/>
    </xf>
    <xf numFmtId="37" fontId="62" fillId="0" borderId="34" xfId="82" applyNumberFormat="1" applyFont="1" applyFill="1" applyBorder="1" applyProtection="1">
      <alignment/>
      <protection locked="0"/>
    </xf>
    <xf numFmtId="39" fontId="6" fillId="0" borderId="14" xfId="82" applyFont="1" applyBorder="1" applyProtection="1">
      <alignment/>
      <protection locked="0"/>
    </xf>
    <xf numFmtId="39" fontId="6" fillId="0" borderId="13" xfId="82" applyFont="1" applyBorder="1" applyAlignment="1" applyProtection="1">
      <alignment horizontal="center"/>
      <protection locked="0"/>
    </xf>
    <xf numFmtId="37" fontId="62" fillId="0" borderId="16" xfId="82" applyNumberFormat="1" applyFont="1" applyFill="1" applyBorder="1" applyProtection="1">
      <alignment/>
      <protection locked="0"/>
    </xf>
    <xf numFmtId="39" fontId="6" fillId="0" borderId="53" xfId="82" applyFont="1" applyBorder="1" applyProtection="1">
      <alignment/>
      <protection locked="0"/>
    </xf>
    <xf numFmtId="37" fontId="5" fillId="0" borderId="23" xfId="82" applyNumberFormat="1" applyFont="1" applyFill="1" applyBorder="1" applyAlignment="1" applyProtection="1" quotePrefix="1">
      <alignment horizontal="center"/>
      <protection/>
    </xf>
    <xf numFmtId="39" fontId="5" fillId="0" borderId="54" xfId="82" applyFont="1" applyBorder="1" applyProtection="1">
      <alignment/>
      <protection locked="0"/>
    </xf>
    <xf numFmtId="39" fontId="5" fillId="0" borderId="30" xfId="82" applyFont="1" applyBorder="1" applyAlignment="1" applyProtection="1">
      <alignment horizontal="center"/>
      <protection locked="0"/>
    </xf>
    <xf numFmtId="37" fontId="12" fillId="0" borderId="55" xfId="82" applyNumberFormat="1" applyFont="1" applyFill="1" applyBorder="1" applyProtection="1">
      <alignment/>
      <protection locked="0"/>
    </xf>
    <xf numFmtId="39" fontId="62" fillId="0" borderId="56" xfId="82" applyFont="1" applyBorder="1" applyProtection="1">
      <alignment/>
      <protection/>
    </xf>
    <xf numFmtId="39" fontId="62" fillId="0" borderId="57" xfId="82" applyFont="1" applyBorder="1" applyAlignment="1" applyProtection="1">
      <alignment horizontal="center"/>
      <protection/>
    </xf>
    <xf numFmtId="37" fontId="62" fillId="0" borderId="58" xfId="82" applyNumberFormat="1" applyFont="1" applyFill="1" applyBorder="1" applyProtection="1">
      <alignment/>
      <protection/>
    </xf>
    <xf numFmtId="39" fontId="62" fillId="0" borderId="21" xfId="82" applyFont="1" applyBorder="1" applyProtection="1">
      <alignment/>
      <protection/>
    </xf>
    <xf numFmtId="39" fontId="62" fillId="0" borderId="13" xfId="82" applyFont="1" applyBorder="1" applyAlignment="1" applyProtection="1">
      <alignment horizontal="center"/>
      <protection/>
    </xf>
    <xf numFmtId="37" fontId="62" fillId="0" borderId="22" xfId="82" applyNumberFormat="1" applyFont="1" applyFill="1" applyBorder="1" applyProtection="1">
      <alignment/>
      <protection/>
    </xf>
    <xf numFmtId="39" fontId="5" fillId="0" borderId="26" xfId="82" applyFont="1" applyFill="1" applyBorder="1" applyAlignment="1" applyProtection="1">
      <alignment horizontal="center"/>
      <protection locked="0"/>
    </xf>
    <xf numFmtId="37" fontId="12" fillId="0" borderId="23" xfId="82" applyNumberFormat="1" applyFont="1" applyFill="1" applyBorder="1" applyAlignment="1" applyProtection="1">
      <alignment wrapText="1"/>
      <protection locked="0"/>
    </xf>
    <xf numFmtId="37" fontId="62" fillId="0" borderId="59" xfId="82" applyNumberFormat="1" applyFont="1" applyFill="1" applyBorder="1" applyProtection="1">
      <alignment/>
      <protection/>
    </xf>
    <xf numFmtId="174" fontId="5" fillId="0" borderId="18" xfId="82" applyNumberFormat="1" applyFont="1" applyBorder="1" applyAlignment="1" applyProtection="1">
      <alignment horizontal="center"/>
      <protection/>
    </xf>
    <xf numFmtId="39" fontId="5" fillId="0" borderId="33" xfId="82" applyFont="1" applyBorder="1" applyProtection="1">
      <alignment/>
      <protection/>
    </xf>
    <xf numFmtId="39" fontId="5" fillId="0" borderId="4" xfId="82" applyFont="1" applyBorder="1" applyAlignment="1" applyProtection="1">
      <alignment horizontal="center"/>
      <protection/>
    </xf>
    <xf numFmtId="37" fontId="12" fillId="0" borderId="34" xfId="82" applyNumberFormat="1" applyFont="1" applyFill="1" applyBorder="1" applyProtection="1">
      <alignment/>
      <protection/>
    </xf>
    <xf numFmtId="174" fontId="5" fillId="0" borderId="0" xfId="82" applyNumberFormat="1" applyFont="1" applyBorder="1" applyAlignment="1" applyProtection="1">
      <alignment horizontal="center"/>
      <protection/>
    </xf>
    <xf numFmtId="39" fontId="5" fillId="0" borderId="0" xfId="82" applyFont="1" applyBorder="1" applyAlignment="1" applyProtection="1">
      <alignment horizontal="center"/>
      <protection/>
    </xf>
    <xf numFmtId="37" fontId="12" fillId="0" borderId="0" xfId="82" applyNumberFormat="1" applyFont="1" applyFill="1" applyBorder="1" applyProtection="1">
      <alignment/>
      <protection/>
    </xf>
    <xf numFmtId="37" fontId="12" fillId="0" borderId="60" xfId="82" applyNumberFormat="1" applyFont="1" applyFill="1" applyBorder="1" applyProtection="1">
      <alignment/>
      <protection/>
    </xf>
    <xf numFmtId="37" fontId="12" fillId="0" borderId="61" xfId="82" applyNumberFormat="1" applyFont="1" applyFill="1" applyBorder="1" applyProtection="1">
      <alignment/>
      <protection locked="0"/>
    </xf>
    <xf numFmtId="37" fontId="5" fillId="0" borderId="61" xfId="82" applyNumberFormat="1" applyFont="1" applyFill="1" applyBorder="1" applyProtection="1">
      <alignment/>
      <protection locked="0"/>
    </xf>
    <xf numFmtId="37" fontId="5" fillId="0" borderId="61" xfId="82" applyNumberFormat="1" applyFont="1" applyFill="1" applyBorder="1">
      <alignment/>
      <protection/>
    </xf>
    <xf numFmtId="39" fontId="62" fillId="0" borderId="62" xfId="82" applyFont="1" applyBorder="1" applyProtection="1">
      <alignment/>
      <protection/>
    </xf>
    <xf numFmtId="39" fontId="62" fillId="0" borderId="49" xfId="82" applyFont="1" applyBorder="1" applyAlignment="1" applyProtection="1">
      <alignment horizontal="center"/>
      <protection/>
    </xf>
    <xf numFmtId="37" fontId="62" fillId="0" borderId="63" xfId="82" applyNumberFormat="1" applyFont="1" applyFill="1" applyBorder="1" applyProtection="1">
      <alignment/>
      <protection/>
    </xf>
    <xf numFmtId="39" fontId="62" fillId="0" borderId="64" xfId="82" applyFont="1" applyBorder="1" applyProtection="1">
      <alignment/>
      <protection/>
    </xf>
    <xf numFmtId="39" fontId="62" fillId="0" borderId="25" xfId="82" applyFont="1" applyBorder="1" applyAlignment="1" applyProtection="1">
      <alignment horizontal="center"/>
      <protection/>
    </xf>
    <xf numFmtId="37" fontId="62" fillId="0" borderId="59" xfId="82" applyNumberFormat="1" applyFont="1" applyFill="1" applyBorder="1" applyProtection="1">
      <alignment/>
      <protection/>
    </xf>
    <xf numFmtId="37" fontId="12" fillId="0" borderId="61" xfId="82" applyNumberFormat="1" applyFont="1" applyFill="1" applyBorder="1" applyProtection="1">
      <alignment/>
      <protection/>
    </xf>
    <xf numFmtId="39" fontId="6" fillId="0" borderId="13" xfId="82" applyFont="1" applyBorder="1">
      <alignment/>
      <protection/>
    </xf>
    <xf numFmtId="39" fontId="5" fillId="0" borderId="13" xfId="82" applyFont="1" applyBorder="1">
      <alignment/>
      <protection/>
    </xf>
    <xf numFmtId="37" fontId="5" fillId="0" borderId="13" xfId="82" applyNumberFormat="1" applyFont="1" applyBorder="1">
      <alignment/>
      <protection/>
    </xf>
    <xf numFmtId="39" fontId="5" fillId="0" borderId="17" xfId="82" applyFont="1" applyBorder="1" applyAlignment="1">
      <alignment horizontal="left" indent="1"/>
      <protection/>
    </xf>
    <xf numFmtId="39" fontId="5" fillId="0" borderId="17" xfId="82" applyFont="1" applyBorder="1">
      <alignment/>
      <protection/>
    </xf>
    <xf numFmtId="37" fontId="5" fillId="0" borderId="17" xfId="82" applyNumberFormat="1" applyFont="1" applyBorder="1">
      <alignment/>
      <protection/>
    </xf>
    <xf numFmtId="39" fontId="5" fillId="0" borderId="13" xfId="82" applyFont="1" applyBorder="1" applyAlignment="1">
      <alignment horizontal="center"/>
      <protection/>
    </xf>
    <xf numFmtId="37" fontId="5" fillId="0" borderId="16" xfId="82" applyNumberFormat="1" applyFont="1" applyBorder="1">
      <alignment/>
      <protection/>
    </xf>
    <xf numFmtId="37" fontId="5" fillId="0" borderId="20" xfId="82" applyNumberFormat="1" applyFont="1" applyBorder="1">
      <alignment/>
      <protection/>
    </xf>
    <xf numFmtId="39" fontId="6" fillId="0" borderId="14" xfId="82" applyFont="1" applyBorder="1">
      <alignment/>
      <protection/>
    </xf>
    <xf numFmtId="39" fontId="5" fillId="0" borderId="4" xfId="82" applyFont="1" applyBorder="1">
      <alignment/>
      <protection/>
    </xf>
    <xf numFmtId="37" fontId="6" fillId="36" borderId="16" xfId="82" applyNumberFormat="1" applyFont="1" applyFill="1" applyBorder="1">
      <alignment/>
      <protection/>
    </xf>
    <xf numFmtId="39" fontId="5" fillId="0" borderId="44" xfId="82" applyFont="1" applyBorder="1">
      <alignment/>
      <protection/>
    </xf>
    <xf numFmtId="39" fontId="5" fillId="0" borderId="33" xfId="82" applyFont="1" applyBorder="1">
      <alignment/>
      <protection/>
    </xf>
    <xf numFmtId="39" fontId="5" fillId="0" borderId="4" xfId="82" applyFont="1" applyBorder="1" applyAlignment="1">
      <alignment horizontal="center"/>
      <protection/>
    </xf>
    <xf numFmtId="37" fontId="5" fillId="0" borderId="34" xfId="82" applyNumberFormat="1" applyFont="1" applyBorder="1">
      <alignment/>
      <protection/>
    </xf>
    <xf numFmtId="39" fontId="5" fillId="0" borderId="0" xfId="82" applyFont="1" applyAlignment="1">
      <alignment horizontal="center"/>
      <protection/>
    </xf>
    <xf numFmtId="37" fontId="5" fillId="0" borderId="0" xfId="82" applyNumberFormat="1" applyFont="1">
      <alignment/>
      <protection/>
    </xf>
    <xf numFmtId="39" fontId="5" fillId="0" borderId="0" xfId="82" applyFont="1" applyBorder="1" applyAlignment="1" applyProtection="1">
      <alignment horizontal="center" vertical="center"/>
      <protection/>
    </xf>
    <xf numFmtId="174" fontId="5" fillId="0" borderId="19" xfId="82" applyNumberFormat="1" applyFont="1" applyBorder="1" applyAlignment="1" applyProtection="1">
      <alignment horizontal="center"/>
      <protection/>
    </xf>
    <xf numFmtId="39" fontId="5" fillId="0" borderId="19" xfId="82" applyFont="1" applyBorder="1" applyProtection="1">
      <alignment/>
      <protection/>
    </xf>
    <xf numFmtId="39" fontId="5" fillId="0" borderId="19" xfId="82" applyFont="1" applyBorder="1" applyAlignment="1" applyProtection="1">
      <alignment horizontal="center"/>
      <protection/>
    </xf>
    <xf numFmtId="37" fontId="12" fillId="0" borderId="19" xfId="82" applyNumberFormat="1" applyFont="1" applyFill="1" applyBorder="1" applyProtection="1">
      <alignment/>
      <protection/>
    </xf>
    <xf numFmtId="174" fontId="5" fillId="0" borderId="32" xfId="82" applyNumberFormat="1" applyFont="1" applyBorder="1" applyAlignment="1" applyProtection="1">
      <alignment horizontal="center"/>
      <protection/>
    </xf>
    <xf numFmtId="39" fontId="5" fillId="0" borderId="29" xfId="82" applyFont="1" applyBorder="1" applyProtection="1">
      <alignment/>
      <protection/>
    </xf>
    <xf numFmtId="39" fontId="5" fillId="0" borderId="29" xfId="82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/>
      <protection locked="0"/>
    </xf>
    <xf numFmtId="37" fontId="62" fillId="0" borderId="22" xfId="0" applyNumberFormat="1" applyFont="1" applyFill="1" applyBorder="1" applyAlignment="1" applyProtection="1">
      <alignment/>
      <protection locked="0"/>
    </xf>
    <xf numFmtId="164" fontId="49" fillId="0" borderId="27" xfId="43" applyNumberFormat="1" applyFont="1" applyFill="1" applyBorder="1" applyAlignment="1" applyProtection="1">
      <alignment/>
      <protection locked="0"/>
    </xf>
    <xf numFmtId="5" fontId="6" fillId="36" borderId="65" xfId="0" applyNumberFormat="1" applyFont="1" applyFill="1" applyBorder="1" applyAlignment="1" applyProtection="1">
      <alignment/>
      <protection locked="0"/>
    </xf>
    <xf numFmtId="5" fontId="6" fillId="36" borderId="39" xfId="0" applyNumberFormat="1" applyFont="1" applyFill="1" applyBorder="1" applyAlignment="1" applyProtection="1">
      <alignment/>
      <protection locked="0"/>
    </xf>
    <xf numFmtId="37" fontId="21" fillId="36" borderId="31" xfId="0" applyNumberFormat="1" applyFont="1" applyFill="1" applyBorder="1" applyAlignment="1" applyProtection="1">
      <alignment/>
      <protection locked="0"/>
    </xf>
    <xf numFmtId="37" fontId="12" fillId="0" borderId="20" xfId="82" applyNumberFormat="1" applyFont="1" applyFill="1" applyBorder="1" applyProtection="1">
      <alignment/>
      <protection locked="0"/>
    </xf>
    <xf numFmtId="39" fontId="5" fillId="0" borderId="21" xfId="82" applyFont="1" applyBorder="1" applyProtection="1">
      <alignment/>
      <protection locked="0"/>
    </xf>
    <xf numFmtId="39" fontId="5" fillId="0" borderId="47" xfId="82" applyFont="1" applyBorder="1" applyProtection="1">
      <alignment/>
      <protection locked="0"/>
    </xf>
    <xf numFmtId="37" fontId="12" fillId="0" borderId="22" xfId="82" applyNumberFormat="1" applyFont="1" applyFill="1" applyBorder="1" applyProtection="1">
      <alignment/>
      <protection locked="0"/>
    </xf>
    <xf numFmtId="39" fontId="5" fillId="0" borderId="55" xfId="82" applyFont="1" applyBorder="1" applyAlignment="1" applyProtection="1">
      <alignment horizontal="center"/>
      <protection locked="0"/>
    </xf>
    <xf numFmtId="37" fontId="62" fillId="36" borderId="8" xfId="82" applyNumberFormat="1" applyFont="1" applyFill="1" applyBorder="1" applyProtection="1">
      <alignment/>
      <protection locked="0"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 horizontal="center"/>
    </xf>
    <xf numFmtId="174" fontId="5" fillId="0" borderId="23" xfId="82" applyNumberFormat="1" applyFont="1" applyBorder="1" applyAlignment="1" applyProtection="1">
      <alignment horizontal="center"/>
      <protection/>
    </xf>
    <xf numFmtId="37" fontId="49" fillId="0" borderId="22" xfId="84" applyNumberFormat="1" applyFont="1" applyFill="1" applyBorder="1" applyProtection="1">
      <alignment/>
      <protection locked="0"/>
    </xf>
    <xf numFmtId="37" fontId="49" fillId="0" borderId="22" xfId="82" applyNumberFormat="1" applyFont="1" applyFill="1" applyBorder="1" applyProtection="1">
      <alignment/>
      <protection locked="0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right"/>
    </xf>
    <xf numFmtId="0" fontId="7" fillId="0" borderId="0" xfId="81" applyFont="1" applyFill="1" applyBorder="1" applyAlignment="1">
      <alignment horizontal="center" vertical="center"/>
      <protection/>
    </xf>
    <xf numFmtId="4" fontId="5" fillId="0" borderId="22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4" fontId="5" fillId="0" borderId="20" xfId="0" applyNumberFormat="1" applyFont="1" applyFill="1" applyBorder="1" applyAlignment="1">
      <alignment horizontal="right"/>
    </xf>
    <xf numFmtId="49" fontId="5" fillId="0" borderId="2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/>
    </xf>
    <xf numFmtId="39" fontId="5" fillId="0" borderId="22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" fontId="6" fillId="0" borderId="34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39" fontId="5" fillId="0" borderId="20" xfId="0" applyNumberFormat="1" applyFont="1" applyFill="1" applyBorder="1" applyAlignment="1">
      <alignment horizontal="right"/>
    </xf>
    <xf numFmtId="4" fontId="6" fillId="0" borderId="66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Alignment="1">
      <alignment/>
    </xf>
    <xf numFmtId="9" fontId="5" fillId="0" borderId="20" xfId="87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22" xfId="54" applyFont="1" applyBorder="1" applyAlignment="1">
      <alignment/>
    </xf>
    <xf numFmtId="164" fontId="5" fillId="0" borderId="22" xfId="54" applyNumberFormat="1" applyFont="1" applyBorder="1" applyAlignment="1">
      <alignment/>
    </xf>
    <xf numFmtId="0" fontId="5" fillId="0" borderId="21" xfId="0" applyFont="1" applyBorder="1" applyAlignment="1">
      <alignment horizontal="left" indent="4"/>
    </xf>
    <xf numFmtId="0" fontId="5" fillId="0" borderId="0" xfId="0" applyFont="1" applyBorder="1" applyAlignment="1">
      <alignment horizontal="left" indent="4"/>
    </xf>
    <xf numFmtId="0" fontId="5" fillId="0" borderId="22" xfId="0" applyFont="1" applyBorder="1" applyAlignment="1">
      <alignment/>
    </xf>
    <xf numFmtId="164" fontId="5" fillId="0" borderId="6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22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7" fontId="5" fillId="0" borderId="15" xfId="0" applyNumberFormat="1" applyFont="1" applyFill="1" applyBorder="1" applyAlignment="1" applyProtection="1">
      <alignment/>
      <protection locked="0"/>
    </xf>
    <xf numFmtId="37" fontId="5" fillId="0" borderId="19" xfId="0" applyNumberFormat="1" applyFont="1" applyFill="1" applyBorder="1" applyAlignment="1" applyProtection="1">
      <alignment/>
      <protection locked="0"/>
    </xf>
    <xf numFmtId="37" fontId="5" fillId="0" borderId="16" xfId="0" applyNumberFormat="1" applyFont="1" applyFill="1" applyBorder="1" applyAlignment="1">
      <alignment/>
    </xf>
    <xf numFmtId="37" fontId="5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0" xfId="0" applyFont="1" applyFill="1" applyBorder="1" applyAlignment="1" quotePrefix="1">
      <alignment horizontal="center" wrapText="1"/>
    </xf>
    <xf numFmtId="37" fontId="49" fillId="0" borderId="31" xfId="0" applyNumberFormat="1" applyFont="1" applyFill="1" applyBorder="1" applyAlignment="1" applyProtection="1">
      <alignment/>
      <protection locked="0"/>
    </xf>
    <xf numFmtId="37" fontId="49" fillId="0" borderId="25" xfId="0" applyNumberFormat="1" applyFont="1" applyFill="1" applyBorder="1" applyAlignment="1" applyProtection="1">
      <alignment/>
      <protection locked="0"/>
    </xf>
    <xf numFmtId="37" fontId="62" fillId="0" borderId="25" xfId="0" applyNumberFormat="1" applyFont="1" applyFill="1" applyBorder="1" applyAlignment="1" applyProtection="1">
      <alignment/>
      <protection locked="0"/>
    </xf>
    <xf numFmtId="0" fontId="62" fillId="0" borderId="32" xfId="0" applyFont="1" applyFill="1" applyBorder="1" applyAlignment="1">
      <alignment/>
    </xf>
    <xf numFmtId="37" fontId="62" fillId="0" borderId="39" xfId="0" applyNumberFormat="1" applyFont="1" applyFill="1" applyBorder="1" applyAlignment="1" applyProtection="1">
      <alignment/>
      <protection/>
    </xf>
    <xf numFmtId="37" fontId="62" fillId="0" borderId="31" xfId="0" applyNumberFormat="1" applyFont="1" applyFill="1" applyBorder="1" applyAlignment="1" applyProtection="1">
      <alignment/>
      <protection/>
    </xf>
    <xf numFmtId="0" fontId="5" fillId="0" borderId="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164" fontId="5" fillId="0" borderId="22" xfId="0" applyNumberFormat="1" applyFont="1" applyBorder="1" applyAlignment="1">
      <alignment/>
    </xf>
    <xf numFmtId="164" fontId="7" fillId="0" borderId="20" xfId="0" applyNumberFormat="1" applyFont="1" applyFill="1" applyBorder="1" applyAlignment="1">
      <alignment horizontal="right" vertical="center"/>
    </xf>
    <xf numFmtId="43" fontId="5" fillId="0" borderId="0" xfId="43" applyFont="1" applyAlignment="1">
      <alignment/>
    </xf>
    <xf numFmtId="0" fontId="7" fillId="0" borderId="68" xfId="0" applyFont="1" applyFill="1" applyBorder="1" applyAlignment="1">
      <alignment horizontal="center" vertical="center"/>
    </xf>
    <xf numFmtId="164" fontId="7" fillId="0" borderId="69" xfId="0" applyNumberFormat="1" applyFont="1" applyFill="1" applyBorder="1" applyAlignment="1">
      <alignment horizontal="right" vertical="center"/>
    </xf>
    <xf numFmtId="164" fontId="7" fillId="0" borderId="70" xfId="0" applyNumberFormat="1" applyFont="1" applyFill="1" applyBorder="1" applyAlignment="1">
      <alignment horizontal="right" vertical="center"/>
    </xf>
    <xf numFmtId="164" fontId="5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164" fontId="5" fillId="0" borderId="2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 quotePrefix="1">
      <alignment/>
    </xf>
    <xf numFmtId="164" fontId="5" fillId="0" borderId="20" xfId="43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37" fontId="62" fillId="36" borderId="67" xfId="0" applyNumberFormat="1" applyFont="1" applyFill="1" applyBorder="1" applyAlignment="1" applyProtection="1">
      <alignment/>
      <protection/>
    </xf>
    <xf numFmtId="0" fontId="6" fillId="0" borderId="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15" xfId="0" applyNumberFormat="1" applyFont="1" applyFill="1" applyBorder="1" applyAlignment="1">
      <alignment/>
    </xf>
    <xf numFmtId="164" fontId="5" fillId="0" borderId="0" xfId="43" applyNumberFormat="1" applyFont="1" applyAlignment="1">
      <alignment/>
    </xf>
    <xf numFmtId="164" fontId="5" fillId="0" borderId="0" xfId="43" applyNumberFormat="1" applyFont="1" applyAlignment="1">
      <alignment horizontal="center"/>
    </xf>
    <xf numFmtId="0" fontId="62" fillId="0" borderId="0" xfId="0" applyFont="1" applyBorder="1" applyAlignment="1" applyProtection="1">
      <alignment/>
      <protection locked="0"/>
    </xf>
    <xf numFmtId="0" fontId="62" fillId="0" borderId="0" xfId="0" applyFont="1" applyFill="1" applyBorder="1" applyAlignment="1" applyProtection="1">
      <alignment/>
      <protection locked="0"/>
    </xf>
    <xf numFmtId="164" fontId="5" fillId="0" borderId="16" xfId="43" applyNumberFormat="1" applyFont="1" applyBorder="1" applyAlignment="1">
      <alignment/>
    </xf>
    <xf numFmtId="49" fontId="62" fillId="0" borderId="20" xfId="43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0" xfId="43" applyNumberFormat="1" applyFont="1" applyBorder="1" applyAlignment="1">
      <alignment horizontal="center"/>
    </xf>
    <xf numFmtId="164" fontId="5" fillId="0" borderId="22" xfId="43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64" fontId="5" fillId="0" borderId="67" xfId="43" applyNumberFormat="1" applyFont="1" applyBorder="1" applyAlignment="1">
      <alignment/>
    </xf>
    <xf numFmtId="164" fontId="6" fillId="36" borderId="22" xfId="54" applyNumberFormat="1" applyFont="1" applyFill="1" applyBorder="1" applyAlignment="1">
      <alignment/>
    </xf>
    <xf numFmtId="37" fontId="62" fillId="36" borderId="71" xfId="76" applyNumberFormat="1" applyFont="1" applyFill="1" applyBorder="1" applyProtection="1">
      <alignment/>
      <protection locked="0"/>
    </xf>
    <xf numFmtId="37" fontId="6" fillId="36" borderId="20" xfId="0" applyNumberFormat="1" applyFont="1" applyFill="1" applyBorder="1" applyAlignment="1">
      <alignment/>
    </xf>
    <xf numFmtId="37" fontId="6" fillId="36" borderId="66" xfId="0" applyNumberFormat="1" applyFont="1" applyFill="1" applyBorder="1" applyAlignment="1">
      <alignment/>
    </xf>
    <xf numFmtId="37" fontId="6" fillId="0" borderId="16" xfId="0" applyNumberFormat="1" applyFont="1" applyFill="1" applyBorder="1" applyAlignment="1">
      <alignment/>
    </xf>
    <xf numFmtId="164" fontId="6" fillId="36" borderId="67" xfId="0" applyNumberFormat="1" applyFont="1" applyFill="1" applyBorder="1" applyAlignment="1">
      <alignment/>
    </xf>
    <xf numFmtId="37" fontId="62" fillId="36" borderId="25" xfId="79" applyNumberFormat="1" applyFont="1" applyFill="1" applyBorder="1">
      <alignment/>
      <protection/>
    </xf>
    <xf numFmtId="37" fontId="62" fillId="36" borderId="27" xfId="79" applyNumberFormat="1" applyFont="1" applyFill="1" applyBorder="1" applyProtection="1">
      <alignment/>
      <protection locked="0"/>
    </xf>
    <xf numFmtId="37" fontId="62" fillId="36" borderId="27" xfId="79" applyNumberFormat="1" applyFont="1" applyFill="1" applyBorder="1" applyProtection="1">
      <alignment/>
      <protection/>
    </xf>
    <xf numFmtId="0" fontId="21" fillId="0" borderId="31" xfId="0" applyFont="1" applyBorder="1" applyAlignment="1" applyProtection="1">
      <alignment horizontal="center" wrapText="1"/>
      <protection locked="0"/>
    </xf>
    <xf numFmtId="37" fontId="21" fillId="0" borderId="31" xfId="0" applyNumberFormat="1" applyFont="1" applyFill="1" applyBorder="1" applyAlignment="1" applyProtection="1">
      <alignment/>
      <protection locked="0"/>
    </xf>
    <xf numFmtId="164" fontId="6" fillId="36" borderId="67" xfId="43" applyNumberFormat="1" applyFont="1" applyFill="1" applyBorder="1" applyAlignment="1">
      <alignment/>
    </xf>
    <xf numFmtId="164" fontId="6" fillId="36" borderId="22" xfId="43" applyNumberFormat="1" applyFont="1" applyFill="1" applyBorder="1" applyAlignment="1">
      <alignment/>
    </xf>
    <xf numFmtId="164" fontId="6" fillId="36" borderId="20" xfId="43" applyNumberFormat="1" applyFont="1" applyFill="1" applyBorder="1" applyAlignment="1">
      <alignment/>
    </xf>
    <xf numFmtId="0" fontId="5" fillId="0" borderId="0" xfId="0" applyFont="1" applyAlignment="1" quotePrefix="1">
      <alignment horizontal="center"/>
    </xf>
    <xf numFmtId="0" fontId="62" fillId="0" borderId="19" xfId="78" applyFont="1" applyBorder="1" applyAlignment="1">
      <alignment horizontal="center" wrapText="1"/>
      <protection/>
    </xf>
    <xf numFmtId="0" fontId="62" fillId="0" borderId="0" xfId="78" applyFont="1" applyFill="1" applyBorder="1" applyAlignment="1">
      <alignment horizontal="center"/>
      <protection/>
    </xf>
    <xf numFmtId="0" fontId="62" fillId="0" borderId="19" xfId="78" applyFont="1" applyFill="1" applyBorder="1" applyAlignment="1">
      <alignment horizontal="center" wrapText="1"/>
      <protection/>
    </xf>
    <xf numFmtId="0" fontId="5" fillId="0" borderId="0" xfId="78" applyFont="1" applyAlignment="1">
      <alignment horizontal="center"/>
      <protection/>
    </xf>
    <xf numFmtId="0" fontId="6" fillId="0" borderId="0" xfId="0" applyFont="1" applyAlignment="1">
      <alignment horizontal="center"/>
    </xf>
    <xf numFmtId="164" fontId="49" fillId="0" borderId="0" xfId="43" applyNumberFormat="1" applyFont="1" applyAlignment="1">
      <alignment/>
    </xf>
    <xf numFmtId="3" fontId="49" fillId="0" borderId="22" xfId="78" applyNumberFormat="1" applyFont="1" applyBorder="1" applyAlignment="1">
      <alignment horizontal="center"/>
      <protection/>
    </xf>
    <xf numFmtId="3" fontId="49" fillId="0" borderId="15" xfId="78" applyNumberFormat="1" applyFont="1" applyBorder="1" applyAlignment="1">
      <alignment horizontal="center"/>
      <protection/>
    </xf>
    <xf numFmtId="3" fontId="62" fillId="36" borderId="16" xfId="78" applyNumberFormat="1" applyFont="1" applyFill="1" applyBorder="1" applyAlignment="1">
      <alignment horizontal="center"/>
      <protection/>
    </xf>
    <xf numFmtId="3" fontId="49" fillId="0" borderId="19" xfId="78" applyNumberFormat="1" applyFont="1" applyBorder="1" applyAlignment="1">
      <alignment/>
      <protection/>
    </xf>
    <xf numFmtId="3" fontId="49" fillId="0" borderId="20" xfId="78" applyNumberFormat="1" applyFont="1" applyBorder="1" applyAlignment="1">
      <alignment/>
      <protection/>
    </xf>
    <xf numFmtId="37" fontId="49" fillId="0" borderId="0" xfId="43" applyNumberFormat="1" applyFont="1" applyAlignment="1">
      <alignment horizontal="center"/>
    </xf>
    <xf numFmtId="37" fontId="49" fillId="0" borderId="0" xfId="78" applyNumberFormat="1" applyFont="1" applyAlignment="1">
      <alignment horizontal="center"/>
      <protection/>
    </xf>
    <xf numFmtId="37" fontId="49" fillId="0" borderId="22" xfId="78" applyNumberFormat="1" applyFont="1" applyBorder="1" applyAlignment="1">
      <alignment horizontal="center"/>
      <protection/>
    </xf>
    <xf numFmtId="37" fontId="49" fillId="0" borderId="19" xfId="78" applyNumberFormat="1" applyFont="1" applyBorder="1" applyAlignment="1">
      <alignment horizontal="center"/>
      <protection/>
    </xf>
    <xf numFmtId="37" fontId="49" fillId="0" borderId="20" xfId="78" applyNumberFormat="1" applyFont="1" applyBorder="1" applyAlignment="1">
      <alignment horizontal="center"/>
      <protection/>
    </xf>
    <xf numFmtId="37" fontId="49" fillId="0" borderId="15" xfId="78" applyNumberFormat="1" applyFont="1" applyBorder="1" applyAlignment="1">
      <alignment horizontal="center"/>
      <protection/>
    </xf>
    <xf numFmtId="37" fontId="62" fillId="36" borderId="16" xfId="78" applyNumberFormat="1" applyFont="1" applyFill="1" applyBorder="1" applyAlignment="1">
      <alignment horizontal="center"/>
      <protection/>
    </xf>
    <xf numFmtId="0" fontId="49" fillId="0" borderId="19" xfId="78" applyFont="1" applyBorder="1" applyAlignment="1" quotePrefix="1">
      <alignment horizontal="right"/>
      <protection/>
    </xf>
    <xf numFmtId="0" fontId="49" fillId="0" borderId="0" xfId="78" applyFont="1" quotePrefix="1">
      <alignment/>
      <protection/>
    </xf>
    <xf numFmtId="0" fontId="62" fillId="0" borderId="21" xfId="78" applyFont="1" applyBorder="1" applyAlignment="1">
      <alignment/>
      <protection/>
    </xf>
    <xf numFmtId="3" fontId="62" fillId="36" borderId="15" xfId="78" applyNumberFormat="1" applyFont="1" applyFill="1" applyBorder="1">
      <alignment/>
      <protection/>
    </xf>
    <xf numFmtId="3" fontId="62" fillId="0" borderId="16" xfId="78" applyNumberFormat="1" applyFont="1" applyFill="1" applyBorder="1">
      <alignment/>
      <protection/>
    </xf>
    <xf numFmtId="0" fontId="62" fillId="0" borderId="14" xfId="78" applyFont="1" applyBorder="1" applyAlignment="1">
      <alignment/>
      <protection/>
    </xf>
    <xf numFmtId="0" fontId="62" fillId="0" borderId="33" xfId="78" applyFont="1" applyBorder="1">
      <alignment/>
      <protection/>
    </xf>
    <xf numFmtId="37" fontId="49" fillId="0" borderId="4" xfId="78" applyNumberFormat="1" applyFont="1" applyBorder="1">
      <alignment/>
      <protection/>
    </xf>
    <xf numFmtId="37" fontId="49" fillId="0" borderId="4" xfId="78" applyNumberFormat="1" applyFont="1" applyBorder="1" applyAlignment="1">
      <alignment horizontal="right"/>
      <protection/>
    </xf>
    <xf numFmtId="37" fontId="49" fillId="0" borderId="34" xfId="78" applyNumberFormat="1" applyFont="1" applyFill="1" applyBorder="1">
      <alignment/>
      <protection/>
    </xf>
    <xf numFmtId="37" fontId="49" fillId="0" borderId="0" xfId="78" applyNumberFormat="1" applyFont="1" applyBorder="1">
      <alignment/>
      <protection/>
    </xf>
    <xf numFmtId="37" fontId="62" fillId="0" borderId="22" xfId="78" applyNumberFormat="1" applyFont="1" applyFill="1" applyBorder="1">
      <alignment/>
      <protection/>
    </xf>
    <xf numFmtId="37" fontId="62" fillId="36" borderId="72" xfId="78" applyNumberFormat="1" applyFont="1" applyFill="1" applyBorder="1">
      <alignment/>
      <protection/>
    </xf>
    <xf numFmtId="37" fontId="49" fillId="0" borderId="67" xfId="78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37" fontId="62" fillId="36" borderId="4" xfId="78" applyNumberFormat="1" applyFont="1" applyFill="1" applyBorder="1">
      <alignment/>
      <protection/>
    </xf>
    <xf numFmtId="0" fontId="2" fillId="0" borderId="0" xfId="83" applyFont="1" applyAlignment="1">
      <alignment horizontal="center"/>
      <protection/>
    </xf>
    <xf numFmtId="0" fontId="6" fillId="0" borderId="0" xfId="78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62" fillId="0" borderId="0" xfId="78" applyFont="1" applyAlignment="1">
      <alignment horizontal="center"/>
      <protection/>
    </xf>
    <xf numFmtId="0" fontId="62" fillId="0" borderId="0" xfId="79" applyFont="1" applyBorder="1" applyAlignment="1" applyProtection="1">
      <alignment horizontal="center"/>
      <protection locked="0"/>
    </xf>
    <xf numFmtId="0" fontId="62" fillId="0" borderId="4" xfId="79" applyFont="1" applyBorder="1" applyAlignment="1">
      <alignment horizontal="center"/>
      <protection/>
    </xf>
    <xf numFmtId="0" fontId="62" fillId="0" borderId="34" xfId="79" applyFont="1" applyBorder="1" applyAlignment="1">
      <alignment horizontal="center"/>
      <protection/>
    </xf>
    <xf numFmtId="0" fontId="62" fillId="0" borderId="0" xfId="79" applyFont="1" applyBorder="1" applyAlignment="1">
      <alignment horizontal="center"/>
      <protection/>
    </xf>
    <xf numFmtId="0" fontId="62" fillId="0" borderId="0" xfId="79" applyFont="1" applyFill="1" applyBorder="1" applyAlignment="1">
      <alignment horizontal="center"/>
      <protection/>
    </xf>
    <xf numFmtId="0" fontId="62" fillId="0" borderId="0" xfId="80" applyFont="1" applyBorder="1" applyAlignment="1">
      <alignment horizontal="center"/>
      <protection/>
    </xf>
    <xf numFmtId="0" fontId="64" fillId="0" borderId="0" xfId="80" applyFont="1" applyAlignment="1">
      <alignment horizontal="center"/>
      <protection/>
    </xf>
    <xf numFmtId="0" fontId="62" fillId="0" borderId="0" xfId="80" applyFont="1" applyFill="1" applyBorder="1" applyAlignment="1">
      <alignment horizontal="center"/>
      <protection/>
    </xf>
    <xf numFmtId="39" fontId="6" fillId="0" borderId="13" xfId="82" applyFont="1" applyBorder="1" applyAlignment="1" applyProtection="1">
      <alignment horizontal="center"/>
      <protection locked="0"/>
    </xf>
    <xf numFmtId="39" fontId="6" fillId="0" borderId="17" xfId="82" applyFont="1" applyBorder="1" applyAlignment="1" applyProtection="1">
      <alignment horizontal="center"/>
      <protection locked="0"/>
    </xf>
    <xf numFmtId="39" fontId="6" fillId="0" borderId="14" xfId="82" applyFont="1" applyBorder="1" applyAlignment="1" applyProtection="1">
      <alignment horizontal="center"/>
      <protection/>
    </xf>
    <xf numFmtId="39" fontId="6" fillId="0" borderId="18" xfId="82" applyFont="1" applyBorder="1" applyAlignment="1" applyProtection="1">
      <alignment horizontal="center"/>
      <protection/>
    </xf>
    <xf numFmtId="39" fontId="6" fillId="0" borderId="13" xfId="82" applyFont="1" applyBorder="1" applyAlignment="1" applyProtection="1">
      <alignment horizontal="center"/>
      <protection/>
    </xf>
    <xf numFmtId="39" fontId="6" fillId="0" borderId="17" xfId="82" applyFont="1" applyBorder="1" applyAlignment="1" applyProtection="1">
      <alignment horizontal="center"/>
      <protection/>
    </xf>
    <xf numFmtId="39" fontId="5" fillId="0" borderId="0" xfId="82" applyFont="1" applyProtection="1">
      <alignment/>
      <protection/>
    </xf>
    <xf numFmtId="39" fontId="6" fillId="0" borderId="0" xfId="82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62" fillId="0" borderId="0" xfId="0" applyFont="1" applyAlignment="1">
      <alignment horizontal="center"/>
    </xf>
    <xf numFmtId="0" fontId="5" fillId="0" borderId="0" xfId="77" applyFont="1" applyBorder="1" applyAlignment="1">
      <alignment/>
      <protection/>
    </xf>
    <xf numFmtId="39" fontId="5" fillId="0" borderId="0" xfId="82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/>
      <protection locked="0"/>
    </xf>
    <xf numFmtId="0" fontId="65" fillId="0" borderId="0" xfId="0" applyFont="1" applyAlignment="1">
      <alignment horizontal="center"/>
    </xf>
    <xf numFmtId="0" fontId="62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66" fillId="0" borderId="0" xfId="79" applyFont="1" applyAlignment="1">
      <alignment horizontal="center"/>
      <protection/>
    </xf>
    <xf numFmtId="0" fontId="62" fillId="0" borderId="24" xfId="79" applyFont="1" applyFill="1" applyBorder="1" applyAlignment="1" applyProtection="1">
      <alignment horizontal="center"/>
      <protection locked="0"/>
    </xf>
    <xf numFmtId="0" fontId="67" fillId="0" borderId="39" xfId="79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49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opied" xfId="55"/>
    <cellStyle name="COSS" xfId="56"/>
    <cellStyle name="Currency" xfId="57"/>
    <cellStyle name="Currency [0]" xfId="58"/>
    <cellStyle name="Currency 2" xfId="59"/>
    <cellStyle name="Date" xfId="60"/>
    <cellStyle name="Entered" xfId="61"/>
    <cellStyle name="Explanatory Text" xfId="62"/>
    <cellStyle name="Good" xfId="63"/>
    <cellStyle name="Grey" xfId="64"/>
    <cellStyle name="Header1" xfId="65"/>
    <cellStyle name="Header2" xfId="66"/>
    <cellStyle name="Heading 1" xfId="67"/>
    <cellStyle name="Heading 2" xfId="68"/>
    <cellStyle name="Heading 3" xfId="69"/>
    <cellStyle name="Heading 4" xfId="70"/>
    <cellStyle name="Input" xfId="71"/>
    <cellStyle name="Input [yellow]" xfId="72"/>
    <cellStyle name="Linked Cell" xfId="73"/>
    <cellStyle name="Neutral" xfId="74"/>
    <cellStyle name="Normal - Style1" xfId="75"/>
    <cellStyle name="Normal 11" xfId="76"/>
    <cellStyle name="Normal 13" xfId="77"/>
    <cellStyle name="Normal 2" xfId="78"/>
    <cellStyle name="Normal 3" xfId="79"/>
    <cellStyle name="Normal 4" xfId="80"/>
    <cellStyle name="Normal 4 2" xfId="81"/>
    <cellStyle name="Normal 5" xfId="82"/>
    <cellStyle name="Normal 6" xfId="83"/>
    <cellStyle name="Normal 7" xfId="84"/>
    <cellStyle name="Note" xfId="85"/>
    <cellStyle name="Output" xfId="86"/>
    <cellStyle name="Percent" xfId="87"/>
    <cellStyle name="Percent [2]" xfId="88"/>
    <cellStyle name="Percent 2" xfId="89"/>
    <cellStyle name="Percent 3" xfId="90"/>
    <cellStyle name="RevList" xfId="91"/>
    <cellStyle name="Subtotal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st%20of%20Service%20Studies\1997\Misc\DepnAlloc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S\Revenue_Requirements\COSS\2009\2010%20Budget\2010%20Budget%20-%20Completed\d_1_10b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0.03155595339373422</v>
          </cell>
          <cell r="H36">
            <v>0.44975449</v>
          </cell>
          <cell r="I36">
            <v>0.0313016956857172</v>
          </cell>
          <cell r="J36">
            <v>0.09549155</v>
          </cell>
          <cell r="K36">
            <v>0.006645953526016935</v>
          </cell>
          <cell r="L36">
            <v>0.001346199999999964</v>
          </cell>
          <cell r="M36">
            <v>9.369187783341835E-05</v>
          </cell>
        </row>
        <row r="37">
          <cell r="G37">
            <v>0.008639555185741284</v>
          </cell>
          <cell r="H37">
            <v>0.45684072</v>
          </cell>
          <cell r="I37">
            <v>0.009045285620355796</v>
          </cell>
          <cell r="J37">
            <v>0.10681036</v>
          </cell>
          <cell r="K37">
            <v>0.00211480757103488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0.09434140720855527</v>
          </cell>
          <cell r="M38">
            <v>0.0029934702334854296</v>
          </cell>
        </row>
        <row r="43">
          <cell r="G43">
            <v>0.18763902662435747</v>
          </cell>
          <cell r="H43">
            <v>0.38110752</v>
          </cell>
          <cell r="I43">
            <v>0.13150473715669542</v>
          </cell>
          <cell r="J43">
            <v>0.07302791</v>
          </cell>
          <cell r="K43">
            <v>0.025198967760207955</v>
          </cell>
          <cell r="L43">
            <v>0.002076980000000006</v>
          </cell>
          <cell r="M43">
            <v>0.0007166814996978124</v>
          </cell>
        </row>
        <row r="44">
          <cell r="G44">
            <v>0.03700501870327568</v>
          </cell>
          <cell r="H44">
            <v>0.39601946</v>
          </cell>
          <cell r="I44">
            <v>0.02856413339067676</v>
          </cell>
          <cell r="J44">
            <v>0.07999723</v>
          </cell>
          <cell r="K44">
            <v>0.005770048645095998</v>
          </cell>
          <cell r="L44">
            <v>0.010937549999999963</v>
          </cell>
          <cell r="M44">
            <v>0.0007889047603044445</v>
          </cell>
        </row>
        <row r="45">
          <cell r="G45">
            <v>0.12636103011790398</v>
          </cell>
          <cell r="H45">
            <v>0.45366447</v>
          </cell>
          <cell r="I45">
            <v>0.12766544711804123</v>
          </cell>
          <cell r="J45">
            <v>0.09435604</v>
          </cell>
          <cell r="K45">
            <v>0.026552676772081764</v>
          </cell>
          <cell r="L45">
            <v>0.0029503200000000618</v>
          </cell>
          <cell r="M45">
            <v>0.0008302477863018616</v>
          </cell>
        </row>
        <row r="46">
          <cell r="G46">
            <v>0.0987167047474648</v>
          </cell>
          <cell r="H46">
            <v>0.44572828</v>
          </cell>
          <cell r="I46">
            <v>0.09534622937855367</v>
          </cell>
          <cell r="J46">
            <v>0.09277035</v>
          </cell>
          <cell r="K46">
            <v>0.019844608178392238</v>
          </cell>
          <cell r="L46">
            <v>1.6660000000001673E-05</v>
          </cell>
          <cell r="M46">
            <v>3.56375902701723E-06</v>
          </cell>
        </row>
        <row r="47">
          <cell r="G47">
            <v>0.03517698638687082</v>
          </cell>
          <cell r="H47">
            <v>0.44955868</v>
          </cell>
          <cell r="I47">
            <v>0.03451163140874199</v>
          </cell>
          <cell r="J47">
            <v>0.09221553</v>
          </cell>
          <cell r="K47">
            <v>0.007079183481724321</v>
          </cell>
          <cell r="L47">
            <v>0</v>
          </cell>
          <cell r="M47">
            <v>0</v>
          </cell>
        </row>
        <row r="48">
          <cell r="G48">
            <v>0.004679481011726451</v>
          </cell>
          <cell r="H48">
            <v>0.45684072</v>
          </cell>
          <cell r="I48">
            <v>0.004899238606167376</v>
          </cell>
          <cell r="J48">
            <v>0.10681036</v>
          </cell>
          <cell r="K48">
            <v>0.0011454527066909353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0.08559093754419321</v>
          </cell>
          <cell r="M49">
            <v>0.002339397805331136</v>
          </cell>
        </row>
        <row r="53">
          <cell r="I53" t="str">
            <v> (8)  Col. (c) x Col. (e)</v>
          </cell>
        </row>
        <row r="54">
          <cell r="I54" t="str">
            <v> (9)  Col. (c) x Col. (g)</v>
          </cell>
        </row>
        <row r="55">
          <cell r="I55" t="str">
            <v> (10)  Col. (c) x Col. (i)</v>
          </cell>
        </row>
        <row r="56">
          <cell r="I56" t="str">
            <v> (11)  Col. (c) x Col. (k)</v>
          </cell>
        </row>
        <row r="57">
          <cell r="I57" t="str">
            <v> (12)  1998 Functionalization run, page 1 of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c Debt"/>
      <sheetName val="Interest Calc"/>
    </sheetNames>
    <sheetDataSet>
      <sheetData sheetId="1">
        <row r="13">
          <cell r="P13">
            <v>420000</v>
          </cell>
        </row>
        <row r="18">
          <cell r="P18">
            <v>1156250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8"/>
  <sheetViews>
    <sheetView showGridLines="0" zoomScalePageLayoutView="0" workbookViewId="0" topLeftCell="A1">
      <selection activeCell="B2" sqref="B2"/>
    </sheetView>
  </sheetViews>
  <sheetFormatPr defaultColWidth="8.88671875" defaultRowHeight="15"/>
  <cols>
    <col min="1" max="1" width="3.4453125" style="294" bestFit="1" customWidth="1"/>
    <col min="2" max="2" width="18.6640625" style="294" bestFit="1" customWidth="1"/>
    <col min="3" max="7" width="11.77734375" style="294" customWidth="1"/>
    <col min="8" max="14" width="11.6640625" style="294" bestFit="1" customWidth="1"/>
    <col min="15" max="16384" width="8.88671875" style="294" customWidth="1"/>
  </cols>
  <sheetData>
    <row r="3" spans="1:7" ht="12.75">
      <c r="A3" s="703" t="s">
        <v>0</v>
      </c>
      <c r="B3" s="703"/>
      <c r="C3" s="703"/>
      <c r="D3" s="703"/>
      <c r="E3" s="703"/>
      <c r="F3" s="703"/>
      <c r="G3" s="703"/>
    </row>
    <row r="4" spans="1:7" ht="12.75">
      <c r="A4" s="704" t="s">
        <v>33</v>
      </c>
      <c r="B4" s="704"/>
      <c r="C4" s="704"/>
      <c r="D4" s="704"/>
      <c r="E4" s="704"/>
      <c r="F4" s="704"/>
      <c r="G4" s="704"/>
    </row>
    <row r="5" spans="1:7" ht="12.75">
      <c r="A5" s="704" t="s">
        <v>409</v>
      </c>
      <c r="B5" s="704"/>
      <c r="C5" s="704"/>
      <c r="D5" s="704"/>
      <c r="E5" s="704"/>
      <c r="F5" s="704"/>
      <c r="G5" s="704"/>
    </row>
    <row r="6" ht="12.75">
      <c r="A6" s="295"/>
    </row>
    <row r="7" spans="1:7" s="297" customFormat="1" ht="12.75">
      <c r="A7" s="296"/>
      <c r="B7" s="297" t="s">
        <v>2</v>
      </c>
      <c r="C7" s="297" t="s">
        <v>3</v>
      </c>
      <c r="D7" s="297" t="s">
        <v>4</v>
      </c>
      <c r="E7" s="297" t="s">
        <v>5</v>
      </c>
      <c r="F7" s="297" t="s">
        <v>6</v>
      </c>
      <c r="G7" s="297" t="s">
        <v>8</v>
      </c>
    </row>
    <row r="9" spans="1:7" ht="25.5">
      <c r="A9" s="313" t="s">
        <v>43</v>
      </c>
      <c r="B9" s="314" t="s">
        <v>52</v>
      </c>
      <c r="C9" s="315" t="s">
        <v>12</v>
      </c>
      <c r="D9" s="315" t="s">
        <v>13</v>
      </c>
      <c r="E9" s="315" t="s">
        <v>14</v>
      </c>
      <c r="F9" s="316" t="s">
        <v>401</v>
      </c>
      <c r="G9" s="317" t="s">
        <v>18</v>
      </c>
    </row>
    <row r="10" spans="1:7" ht="12.75">
      <c r="A10" s="298">
        <v>1</v>
      </c>
      <c r="B10" s="299" t="s">
        <v>19</v>
      </c>
      <c r="C10" s="300">
        <v>655411477.3432435</v>
      </c>
      <c r="D10" s="301">
        <v>224189115</v>
      </c>
      <c r="E10" s="300">
        <v>350864631.482352</v>
      </c>
      <c r="F10" s="300">
        <f>76150772.0937354+3809440.86761368</f>
        <v>79960212.96134907</v>
      </c>
      <c r="G10" s="302">
        <f aca="true" t="shared" si="0" ref="G10:G22">+SUM(C10:F10)</f>
        <v>1310425436.7869444</v>
      </c>
    </row>
    <row r="11" spans="1:7" ht="12.75">
      <c r="A11" s="303">
        <f aca="true" t="shared" si="1" ref="A11:A24">+A10+1</f>
        <v>2</v>
      </c>
      <c r="B11" s="304" t="s">
        <v>20</v>
      </c>
      <c r="C11" s="300">
        <v>658242197.7912751</v>
      </c>
      <c r="D11" s="301">
        <v>224189115</v>
      </c>
      <c r="E11" s="300">
        <v>350864632.90058917</v>
      </c>
      <c r="F11" s="300">
        <f>76147027.2220848+3809440.86761368</f>
        <v>79956468.08969848</v>
      </c>
      <c r="G11" s="302">
        <f t="shared" si="0"/>
        <v>1313252413.7815628</v>
      </c>
    </row>
    <row r="12" spans="1:7" ht="12.75">
      <c r="A12" s="303">
        <f t="shared" si="1"/>
        <v>3</v>
      </c>
      <c r="B12" s="305" t="s">
        <v>21</v>
      </c>
      <c r="C12" s="300">
        <v>658730893.7040156</v>
      </c>
      <c r="D12" s="301">
        <v>224189115</v>
      </c>
      <c r="E12" s="300">
        <v>352043779.0599353</v>
      </c>
      <c r="F12" s="300">
        <f>76394632.5223315+3809440.86761368</f>
        <v>80204073.38994518</v>
      </c>
      <c r="G12" s="302">
        <f t="shared" si="0"/>
        <v>1315167861.153896</v>
      </c>
    </row>
    <row r="13" spans="1:7" ht="12.75">
      <c r="A13" s="303">
        <f t="shared" si="1"/>
        <v>4</v>
      </c>
      <c r="B13" s="305" t="s">
        <v>22</v>
      </c>
      <c r="C13" s="300">
        <v>659372142.2091035</v>
      </c>
      <c r="D13" s="301">
        <v>224189115</v>
      </c>
      <c r="E13" s="300">
        <v>352043779.0599353</v>
      </c>
      <c r="F13" s="300">
        <f>76391017.7843091+3809440.86761368</f>
        <v>80200458.65192278</v>
      </c>
      <c r="G13" s="302">
        <f t="shared" si="0"/>
        <v>1315805494.9209614</v>
      </c>
    </row>
    <row r="14" spans="1:7" ht="12.75">
      <c r="A14" s="303">
        <f t="shared" si="1"/>
        <v>5</v>
      </c>
      <c r="B14" s="305" t="s">
        <v>23</v>
      </c>
      <c r="C14" s="300">
        <v>659372142.2091035</v>
      </c>
      <c r="D14" s="301">
        <v>227921531.52286667</v>
      </c>
      <c r="E14" s="300">
        <v>354238593.6707424</v>
      </c>
      <c r="F14" s="300">
        <f>76391017.7843091+3809440.86761368</f>
        <v>80200458.65192278</v>
      </c>
      <c r="G14" s="302">
        <f t="shared" si="0"/>
        <v>1321732726.054635</v>
      </c>
    </row>
    <row r="15" spans="1:7" ht="12.75">
      <c r="A15" s="303">
        <f t="shared" si="1"/>
        <v>6</v>
      </c>
      <c r="B15" s="305" t="s">
        <v>24</v>
      </c>
      <c r="C15" s="300">
        <v>659855086.1086494</v>
      </c>
      <c r="D15" s="301">
        <v>227921531.52286667</v>
      </c>
      <c r="E15" s="300">
        <v>354238593.6707424</v>
      </c>
      <c r="F15" s="300">
        <f>76393494.779302+3809440.86761368</f>
        <v>80202935.64691567</v>
      </c>
      <c r="G15" s="302">
        <f t="shared" si="0"/>
        <v>1322218146.9491742</v>
      </c>
    </row>
    <row r="16" spans="1:7" ht="12.75">
      <c r="A16" s="303">
        <f t="shared" si="1"/>
        <v>7</v>
      </c>
      <c r="B16" s="305" t="s">
        <v>25</v>
      </c>
      <c r="C16" s="300">
        <v>660519572.9859004</v>
      </c>
      <c r="D16" s="301">
        <v>227921531.52286667</v>
      </c>
      <c r="E16" s="300">
        <v>356864840.29765123</v>
      </c>
      <c r="F16" s="300">
        <f>76590387.9758733+3809440.86761368</f>
        <v>80399828.84348698</v>
      </c>
      <c r="G16" s="302">
        <f t="shared" si="0"/>
        <v>1325705773.6499054</v>
      </c>
    </row>
    <row r="17" spans="1:7" ht="12.75">
      <c r="A17" s="303">
        <f t="shared" si="1"/>
        <v>8</v>
      </c>
      <c r="B17" s="305" t="s">
        <v>26</v>
      </c>
      <c r="C17" s="300">
        <v>661654753.0224338</v>
      </c>
      <c r="D17" s="301">
        <v>227921531.52286667</v>
      </c>
      <c r="E17" s="300">
        <v>356864840.29765123</v>
      </c>
      <c r="F17" s="300">
        <f>76783058.6566294+3809440.86761368</f>
        <v>80592499.52424307</v>
      </c>
      <c r="G17" s="302">
        <f t="shared" si="0"/>
        <v>1327033624.367195</v>
      </c>
    </row>
    <row r="18" spans="1:7" ht="12.75">
      <c r="A18" s="303">
        <f t="shared" si="1"/>
        <v>9</v>
      </c>
      <c r="B18" s="305" t="s">
        <v>27</v>
      </c>
      <c r="C18" s="300">
        <v>661755655.0207614</v>
      </c>
      <c r="D18" s="301">
        <v>229731464.38117537</v>
      </c>
      <c r="E18" s="300">
        <v>358961736.1878425</v>
      </c>
      <c r="F18" s="300">
        <f>77001644.7427631+3809440.86761368</f>
        <v>80811085.61037678</v>
      </c>
      <c r="G18" s="302">
        <f t="shared" si="0"/>
        <v>1331259941.2001562</v>
      </c>
    </row>
    <row r="19" spans="1:7" ht="12.75">
      <c r="A19" s="303">
        <f t="shared" si="1"/>
        <v>10</v>
      </c>
      <c r="B19" s="305" t="s">
        <v>28</v>
      </c>
      <c r="C19" s="300">
        <v>662877736.2995021</v>
      </c>
      <c r="D19" s="301">
        <v>229731464.38117537</v>
      </c>
      <c r="E19" s="300">
        <v>358961736.1878425</v>
      </c>
      <c r="F19" s="300">
        <f>76938408.039323+3809440.86761368</f>
        <v>80747848.90693668</v>
      </c>
      <c r="G19" s="302">
        <f t="shared" si="0"/>
        <v>1332318785.7754567</v>
      </c>
    </row>
    <row r="20" spans="1:7" ht="12.75">
      <c r="A20" s="303">
        <f t="shared" si="1"/>
        <v>11</v>
      </c>
      <c r="B20" s="305" t="s">
        <v>29</v>
      </c>
      <c r="C20" s="300">
        <v>663081360.6356771</v>
      </c>
      <c r="D20" s="301">
        <v>230987783.24343616</v>
      </c>
      <c r="E20" s="300">
        <v>361311135.3112021</v>
      </c>
      <c r="F20" s="300">
        <f>76650243.1762489+3809440.86761368</f>
        <v>80459684.04386257</v>
      </c>
      <c r="G20" s="302">
        <f t="shared" si="0"/>
        <v>1335839963.2341778</v>
      </c>
    </row>
    <row r="21" spans="1:7" ht="12.75">
      <c r="A21" s="303">
        <f t="shared" si="1"/>
        <v>12</v>
      </c>
      <c r="B21" s="305" t="s">
        <v>30</v>
      </c>
      <c r="C21" s="300">
        <v>663323188.7675344</v>
      </c>
      <c r="D21" s="301">
        <v>230987783.24343616</v>
      </c>
      <c r="E21" s="300">
        <v>361311135.3112021</v>
      </c>
      <c r="F21" s="300">
        <f>77677177.1391517+3855178.97775044</f>
        <v>81532356.11690214</v>
      </c>
      <c r="G21" s="302">
        <f t="shared" si="0"/>
        <v>1337154463.4390748</v>
      </c>
    </row>
    <row r="22" spans="1:7" ht="12.75">
      <c r="A22" s="303">
        <f t="shared" si="1"/>
        <v>13</v>
      </c>
      <c r="B22" s="305" t="s">
        <v>31</v>
      </c>
      <c r="C22" s="300">
        <v>663485096.9759347</v>
      </c>
      <c r="D22" s="301">
        <v>232250412.83833325</v>
      </c>
      <c r="E22" s="300">
        <v>364345948.1084873</v>
      </c>
      <c r="F22" s="300">
        <f>77677177.1391517+3855178.97775044</f>
        <v>81532356.11690214</v>
      </c>
      <c r="G22" s="302">
        <f t="shared" si="0"/>
        <v>1341613814.0396574</v>
      </c>
    </row>
    <row r="23" spans="1:7" ht="12.75">
      <c r="A23" s="303">
        <f t="shared" si="1"/>
        <v>14</v>
      </c>
      <c r="B23" s="305"/>
      <c r="C23" s="300"/>
      <c r="D23" s="300"/>
      <c r="E23" s="300"/>
      <c r="F23" s="300"/>
      <c r="G23" s="302"/>
    </row>
    <row r="24" spans="1:7" ht="12.75">
      <c r="A24" s="303">
        <f t="shared" si="1"/>
        <v>15</v>
      </c>
      <c r="B24" s="349" t="s">
        <v>32</v>
      </c>
      <c r="C24" s="344">
        <f>AVERAGE(C10:C22)</f>
        <v>660590869.4671643</v>
      </c>
      <c r="D24" s="344">
        <f>AVERAGE(D10:D22)</f>
        <v>227856268.78300178</v>
      </c>
      <c r="E24" s="344">
        <f>AVERAGE(E10:E22)</f>
        <v>356378106.27278274</v>
      </c>
      <c r="F24" s="344">
        <f>AVERAGE(F10:F22)</f>
        <v>80523097.4272665</v>
      </c>
      <c r="G24" s="345">
        <f>AVERAGE(G10:G22)</f>
        <v>1325348341.9502153</v>
      </c>
    </row>
    <row r="25" spans="1:7" ht="12.75">
      <c r="A25" s="303"/>
      <c r="B25" s="306"/>
      <c r="C25" s="307"/>
      <c r="D25" s="307"/>
      <c r="E25" s="307"/>
      <c r="F25" s="307"/>
      <c r="G25" s="308"/>
    </row>
    <row r="26" ht="12.75">
      <c r="A26" s="309"/>
    </row>
    <row r="27" spans="1:6" ht="12.75">
      <c r="A27" s="310"/>
      <c r="F27" s="300"/>
    </row>
    <row r="28" spans="1:6" ht="12.75">
      <c r="A28" s="310"/>
      <c r="F28" s="300"/>
    </row>
    <row r="29" s="300" customFormat="1" ht="12.75">
      <c r="A29" s="311"/>
    </row>
    <row r="30" spans="1:4" s="300" customFormat="1" ht="12.75">
      <c r="A30" s="311"/>
      <c r="D30" s="301"/>
    </row>
    <row r="31" ht="12.75">
      <c r="A31" s="310"/>
    </row>
    <row r="32" ht="12.75">
      <c r="A32" s="310"/>
    </row>
    <row r="33" ht="12.75">
      <c r="A33" s="310"/>
    </row>
    <row r="34" ht="12.75">
      <c r="A34" s="310"/>
    </row>
    <row r="35" ht="12.75">
      <c r="A35" s="310"/>
    </row>
    <row r="36" ht="12.75">
      <c r="A36" s="310"/>
    </row>
    <row r="37" ht="12.75">
      <c r="A37" s="310"/>
    </row>
    <row r="38" ht="12.75">
      <c r="A38" s="310"/>
    </row>
    <row r="39" ht="12.75">
      <c r="A39" s="310"/>
    </row>
    <row r="40" ht="12.75">
      <c r="A40" s="310"/>
    </row>
    <row r="41" ht="12.75">
      <c r="A41" s="310"/>
    </row>
    <row r="42" ht="12.75">
      <c r="A42" s="310"/>
    </row>
    <row r="43" ht="12.75">
      <c r="A43" s="310"/>
    </row>
    <row r="44" ht="12.75">
      <c r="A44" s="310"/>
    </row>
    <row r="45" ht="12.75">
      <c r="A45" s="310"/>
    </row>
    <row r="46" ht="12.75">
      <c r="A46" s="310"/>
    </row>
    <row r="47" ht="12.75">
      <c r="A47" s="310"/>
    </row>
    <row r="48" ht="12.75">
      <c r="A48" s="310"/>
    </row>
    <row r="49" ht="12.75">
      <c r="A49" s="310"/>
    </row>
    <row r="50" ht="12.75">
      <c r="A50" s="310"/>
    </row>
    <row r="51" ht="12.75">
      <c r="A51" s="310"/>
    </row>
    <row r="52" ht="12.75">
      <c r="A52" s="310"/>
    </row>
    <row r="53" ht="12.75">
      <c r="A53" s="310"/>
    </row>
    <row r="54" ht="12.75">
      <c r="A54" s="310"/>
    </row>
    <row r="55" ht="12.75">
      <c r="A55" s="310"/>
    </row>
    <row r="56" ht="12.75">
      <c r="A56" s="310"/>
    </row>
    <row r="57" ht="12.75">
      <c r="A57" s="310"/>
    </row>
    <row r="58" ht="12.75">
      <c r="A58" s="310"/>
    </row>
    <row r="59" ht="12.75">
      <c r="A59" s="310"/>
    </row>
    <row r="60" ht="12.75">
      <c r="A60" s="310"/>
    </row>
    <row r="61" ht="12.75">
      <c r="A61" s="310"/>
    </row>
    <row r="62" ht="12.75">
      <c r="A62" s="310"/>
    </row>
    <row r="63" ht="12.75">
      <c r="A63" s="310"/>
    </row>
    <row r="64" ht="12.75">
      <c r="A64" s="310"/>
    </row>
    <row r="65" ht="12.75">
      <c r="A65" s="310"/>
    </row>
    <row r="66" ht="12.75">
      <c r="A66" s="310"/>
    </row>
    <row r="67" ht="12.75">
      <c r="A67" s="310"/>
    </row>
    <row r="68" ht="12.75">
      <c r="A68" s="310"/>
    </row>
    <row r="69" ht="12.75">
      <c r="A69" s="310"/>
    </row>
    <row r="70" ht="12.75">
      <c r="A70" s="310"/>
    </row>
    <row r="71" ht="12.75">
      <c r="A71" s="310"/>
    </row>
    <row r="72" ht="12.75">
      <c r="A72" s="310"/>
    </row>
    <row r="73" ht="12.75">
      <c r="A73" s="310"/>
    </row>
    <row r="74" ht="12.75">
      <c r="A74" s="310"/>
    </row>
    <row r="75" ht="12.75">
      <c r="A75" s="310"/>
    </row>
    <row r="76" ht="12.75">
      <c r="A76" s="310"/>
    </row>
    <row r="77" ht="12.75">
      <c r="A77" s="310"/>
    </row>
    <row r="78" ht="12.75">
      <c r="A78" s="310"/>
    </row>
    <row r="79" ht="12.75">
      <c r="A79" s="310"/>
    </row>
    <row r="80" ht="12.75">
      <c r="A80" s="310"/>
    </row>
    <row r="81" ht="12.75">
      <c r="A81" s="310"/>
    </row>
    <row r="82" ht="12.75">
      <c r="A82" s="310"/>
    </row>
    <row r="83" ht="12.75">
      <c r="A83" s="310"/>
    </row>
    <row r="84" ht="12.75">
      <c r="A84" s="310"/>
    </row>
    <row r="85" ht="12.75">
      <c r="A85" s="310"/>
    </row>
    <row r="86" ht="12.75">
      <c r="A86" s="310"/>
    </row>
    <row r="87" ht="12.75">
      <c r="A87" s="310"/>
    </row>
    <row r="88" ht="12.75">
      <c r="A88" s="310"/>
    </row>
    <row r="89" ht="12.75">
      <c r="A89" s="310"/>
    </row>
    <row r="90" ht="12.75">
      <c r="A90" s="310"/>
    </row>
    <row r="91" ht="12.75">
      <c r="A91" s="310"/>
    </row>
    <row r="92" ht="12.75">
      <c r="A92" s="310"/>
    </row>
    <row r="93" ht="12.75">
      <c r="A93" s="310"/>
    </row>
    <row r="94" ht="12.75">
      <c r="A94" s="310"/>
    </row>
    <row r="95" ht="12.75">
      <c r="A95" s="310"/>
    </row>
    <row r="96" ht="12.75">
      <c r="A96" s="310"/>
    </row>
    <row r="97" ht="12.75">
      <c r="A97" s="310"/>
    </row>
    <row r="98" ht="12.75">
      <c r="A98" s="310"/>
    </row>
    <row r="99" ht="12.75">
      <c r="A99" s="310"/>
    </row>
    <row r="100" ht="12.75">
      <c r="A100" s="310"/>
    </row>
    <row r="101" ht="12.75">
      <c r="A101" s="310"/>
    </row>
    <row r="102" ht="12.75">
      <c r="A102" s="310"/>
    </row>
    <row r="103" ht="12.75">
      <c r="A103" s="310"/>
    </row>
    <row r="104" ht="12.75">
      <c r="A104" s="310"/>
    </row>
    <row r="105" ht="12.75">
      <c r="A105" s="310"/>
    </row>
    <row r="106" ht="12.75">
      <c r="A106" s="310"/>
    </row>
    <row r="107" ht="12.75">
      <c r="A107" s="310"/>
    </row>
    <row r="108" ht="12.75">
      <c r="A108" s="310"/>
    </row>
    <row r="109" ht="12.75">
      <c r="A109" s="310"/>
    </row>
    <row r="110" ht="12.75">
      <c r="A110" s="310"/>
    </row>
    <row r="111" ht="12.75">
      <c r="A111" s="310"/>
    </row>
    <row r="112" ht="12.75">
      <c r="A112" s="310"/>
    </row>
    <row r="113" ht="12.75">
      <c r="A113" s="310"/>
    </row>
    <row r="114" ht="12.75">
      <c r="A114" s="310"/>
    </row>
    <row r="115" ht="12.75">
      <c r="A115" s="310"/>
    </row>
    <row r="116" ht="12.75">
      <c r="A116" s="310"/>
    </row>
    <row r="117" ht="12.75">
      <c r="A117" s="310"/>
    </row>
    <row r="118" ht="12.75">
      <c r="A118" s="310"/>
    </row>
    <row r="119" ht="12.75">
      <c r="A119" s="310"/>
    </row>
    <row r="120" ht="12.75">
      <c r="A120" s="310"/>
    </row>
    <row r="121" ht="12.75">
      <c r="A121" s="310"/>
    </row>
    <row r="122" ht="12.75">
      <c r="A122" s="310"/>
    </row>
    <row r="123" ht="12.75">
      <c r="A123" s="310"/>
    </row>
    <row r="124" ht="12.75">
      <c r="A124" s="310"/>
    </row>
    <row r="125" ht="12.75">
      <c r="A125" s="310"/>
    </row>
    <row r="126" ht="12.75">
      <c r="A126" s="310"/>
    </row>
    <row r="127" ht="12.75">
      <c r="A127" s="310"/>
    </row>
    <row r="128" ht="12.75">
      <c r="A128" s="310"/>
    </row>
    <row r="129" ht="12.75">
      <c r="A129" s="310"/>
    </row>
    <row r="130" ht="12.75">
      <c r="A130" s="310"/>
    </row>
    <row r="131" ht="12.75">
      <c r="A131" s="310"/>
    </row>
    <row r="132" ht="12.75">
      <c r="A132" s="310"/>
    </row>
    <row r="133" ht="12.75">
      <c r="A133" s="310"/>
    </row>
    <row r="134" ht="12.75">
      <c r="A134" s="310"/>
    </row>
    <row r="135" ht="12.75">
      <c r="A135" s="310"/>
    </row>
    <row r="136" ht="12.75">
      <c r="A136" s="310"/>
    </row>
    <row r="137" ht="12.75">
      <c r="A137" s="310"/>
    </row>
    <row r="138" ht="12.75">
      <c r="A138" s="310"/>
    </row>
    <row r="139" ht="12.75">
      <c r="A139" s="310"/>
    </row>
    <row r="140" ht="12.75">
      <c r="A140" s="310"/>
    </row>
    <row r="141" ht="12.75">
      <c r="A141" s="310"/>
    </row>
    <row r="142" ht="12.75">
      <c r="A142" s="310"/>
    </row>
    <row r="143" ht="12.75">
      <c r="A143" s="310"/>
    </row>
    <row r="144" ht="12.75">
      <c r="A144" s="310"/>
    </row>
    <row r="145" ht="12.75">
      <c r="A145" s="310"/>
    </row>
    <row r="146" ht="12.75">
      <c r="A146" s="310"/>
    </row>
    <row r="147" ht="12.75">
      <c r="A147" s="310"/>
    </row>
    <row r="148" ht="12.75">
      <c r="A148" s="310"/>
    </row>
  </sheetData>
  <sheetProtection/>
  <mergeCells count="3">
    <mergeCell ref="A3:G3"/>
    <mergeCell ref="A4:G4"/>
    <mergeCell ref="A5:G5"/>
  </mergeCells>
  <printOptions horizontalCentered="1"/>
  <pageMargins left="0.75" right="0.75" top="0.75" bottom="0.75" header="0.5" footer="0.3"/>
  <pageSetup horizontalDpi="600" verticalDpi="600" orientation="portrait" scale="80" r:id="rId1"/>
  <headerFooter>
    <oddHeader>&amp;R&amp;"Arial,Regular"&amp;10Attachment O Work Paper
Page 1 of 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showGridLines="0" zoomScalePageLayoutView="0" workbookViewId="0" topLeftCell="A4">
      <selection activeCell="P62" sqref="P62"/>
    </sheetView>
  </sheetViews>
  <sheetFormatPr defaultColWidth="8.88671875" defaultRowHeight="15"/>
  <cols>
    <col min="1" max="1" width="3.4453125" style="550" bestFit="1" customWidth="1"/>
    <col min="2" max="2" width="9.3359375" style="550" customWidth="1"/>
    <col min="3" max="8" width="5.21484375" style="550" customWidth="1"/>
    <col min="9" max="9" width="5.4453125" style="550" bestFit="1" customWidth="1"/>
    <col min="10" max="10" width="5.4453125" style="550" customWidth="1"/>
    <col min="11" max="11" width="12.21484375" style="550" customWidth="1"/>
    <col min="12" max="12" width="2.21484375" style="550" customWidth="1"/>
    <col min="13" max="16384" width="8.88671875" style="550" customWidth="1"/>
  </cols>
  <sheetData>
    <row r="1" spans="1:12" ht="12.75">
      <c r="A1" s="559"/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</row>
    <row r="2" spans="1:12" ht="12.75">
      <c r="A2" s="724" t="s">
        <v>0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559"/>
    </row>
    <row r="3" spans="1:12" ht="12.75">
      <c r="A3" s="722" t="s">
        <v>418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</row>
    <row r="4" spans="1:12" ht="12.75">
      <c r="A4" s="722" t="s">
        <v>42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</row>
    <row r="5" spans="1:12" ht="12.75">
      <c r="A5" s="559"/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</row>
    <row r="6" spans="1:12" ht="12.75">
      <c r="A6" s="559"/>
      <c r="B6" s="726" t="s">
        <v>2</v>
      </c>
      <c r="C6" s="726"/>
      <c r="D6" s="726"/>
      <c r="E6" s="726"/>
      <c r="F6" s="726"/>
      <c r="G6" s="726"/>
      <c r="H6" s="726"/>
      <c r="I6" s="492"/>
      <c r="J6" s="492"/>
      <c r="K6" s="381" t="s">
        <v>3</v>
      </c>
      <c r="L6" s="559"/>
    </row>
    <row r="7" spans="1:12" ht="12.75">
      <c r="A7" s="559"/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</row>
    <row r="8" spans="1:12" ht="12.75">
      <c r="A8" s="391" t="s">
        <v>9</v>
      </c>
      <c r="B8" s="560"/>
      <c r="C8" s="561"/>
      <c r="D8" s="561"/>
      <c r="E8" s="561"/>
      <c r="F8" s="561"/>
      <c r="G8" s="561"/>
      <c r="H8" s="561"/>
      <c r="I8" s="561"/>
      <c r="J8" s="561"/>
      <c r="K8" s="562"/>
      <c r="L8" s="559"/>
    </row>
    <row r="9" spans="1:12" ht="12.75">
      <c r="A9" s="393" t="s">
        <v>11</v>
      </c>
      <c r="B9" s="512" t="s">
        <v>419</v>
      </c>
      <c r="C9" s="513"/>
      <c r="D9" s="513"/>
      <c r="E9" s="513"/>
      <c r="F9" s="513"/>
      <c r="G9" s="513"/>
      <c r="H9" s="513"/>
      <c r="I9" s="513"/>
      <c r="J9" s="513"/>
      <c r="K9" s="514" t="s">
        <v>83</v>
      </c>
      <c r="L9" s="559"/>
    </row>
    <row r="10" spans="1:12" ht="12.75">
      <c r="A10" s="515">
        <v>1</v>
      </c>
      <c r="B10" s="560" t="s">
        <v>420</v>
      </c>
      <c r="C10" s="561"/>
      <c r="D10" s="561"/>
      <c r="E10" s="561"/>
      <c r="F10" s="561"/>
      <c r="G10" s="561"/>
      <c r="H10" s="561"/>
      <c r="I10" s="561"/>
      <c r="J10" s="561"/>
      <c r="K10" s="562"/>
      <c r="L10" s="559"/>
    </row>
    <row r="11" spans="1:12" ht="12.75">
      <c r="A11" s="515">
        <f aca="true" t="shared" si="0" ref="A11:A24">+A10+1</f>
        <v>2</v>
      </c>
      <c r="B11" s="563" t="s">
        <v>421</v>
      </c>
      <c r="C11" s="564"/>
      <c r="D11" s="564"/>
      <c r="E11" s="564"/>
      <c r="F11" s="564"/>
      <c r="G11" s="564"/>
      <c r="H11" s="564"/>
      <c r="I11" s="564"/>
      <c r="J11" s="564"/>
      <c r="K11" s="516">
        <f>+K58+K59</f>
        <v>198101.00000000003</v>
      </c>
      <c r="L11" s="565" t="s">
        <v>422</v>
      </c>
    </row>
    <row r="12" spans="1:12" ht="12.75">
      <c r="A12" s="515">
        <f t="shared" si="0"/>
        <v>3</v>
      </c>
      <c r="B12" s="563" t="s">
        <v>423</v>
      </c>
      <c r="C12" s="564"/>
      <c r="D12" s="564"/>
      <c r="E12" s="564"/>
      <c r="F12" s="564"/>
      <c r="G12" s="564"/>
      <c r="H12" s="564"/>
      <c r="I12" s="564"/>
      <c r="J12" s="564"/>
      <c r="K12" s="566">
        <v>0.49</v>
      </c>
      <c r="L12" s="565" t="s">
        <v>424</v>
      </c>
    </row>
    <row r="13" spans="1:12" ht="12.75">
      <c r="A13" s="515">
        <f t="shared" si="0"/>
        <v>4</v>
      </c>
      <c r="B13" s="567"/>
      <c r="C13" s="568"/>
      <c r="D13" s="568"/>
      <c r="E13" s="568"/>
      <c r="F13" s="568"/>
      <c r="G13" s="568"/>
      <c r="H13" s="568"/>
      <c r="I13" s="568"/>
      <c r="J13" s="568"/>
      <c r="K13" s="654">
        <f>+K11*K12</f>
        <v>97069.49</v>
      </c>
      <c r="L13" s="565"/>
    </row>
    <row r="14" spans="1:12" ht="12.75">
      <c r="A14" s="515">
        <f t="shared" si="0"/>
        <v>5</v>
      </c>
      <c r="B14" s="569"/>
      <c r="C14" s="570"/>
      <c r="D14" s="570"/>
      <c r="E14" s="570"/>
      <c r="F14" s="570"/>
      <c r="G14" s="570"/>
      <c r="H14" s="570"/>
      <c r="I14" s="570"/>
      <c r="J14" s="570"/>
      <c r="K14" s="571"/>
      <c r="L14" s="565"/>
    </row>
    <row r="15" spans="1:12" ht="12.75">
      <c r="A15" s="515">
        <f t="shared" si="0"/>
        <v>6</v>
      </c>
      <c r="B15" s="569" t="s">
        <v>425</v>
      </c>
      <c r="C15" s="570"/>
      <c r="D15" s="570"/>
      <c r="E15" s="570"/>
      <c r="F15" s="570"/>
      <c r="G15" s="570"/>
      <c r="H15" s="570"/>
      <c r="I15" s="570"/>
      <c r="J15" s="570"/>
      <c r="K15" s="571"/>
      <c r="L15" s="565"/>
    </row>
    <row r="16" spans="1:12" ht="12.75">
      <c r="A16" s="515">
        <f t="shared" si="0"/>
        <v>7</v>
      </c>
      <c r="B16" s="563" t="s">
        <v>426</v>
      </c>
      <c r="C16" s="564"/>
      <c r="D16" s="564"/>
      <c r="E16" s="564"/>
      <c r="F16" s="564"/>
      <c r="G16" s="564"/>
      <c r="H16" s="564"/>
      <c r="I16" s="564"/>
      <c r="J16" s="564"/>
      <c r="K16" s="517">
        <v>1648852</v>
      </c>
      <c r="L16" s="565" t="s">
        <v>427</v>
      </c>
    </row>
    <row r="17" spans="1:12" ht="12.75">
      <c r="A17" s="515">
        <f t="shared" si="0"/>
        <v>8</v>
      </c>
      <c r="B17" s="563" t="s">
        <v>428</v>
      </c>
      <c r="C17" s="564"/>
      <c r="D17" s="564"/>
      <c r="E17" s="564"/>
      <c r="F17" s="564"/>
      <c r="G17" s="564"/>
      <c r="H17" s="564"/>
      <c r="I17" s="564"/>
      <c r="J17" s="564"/>
      <c r="K17" s="572">
        <f>+K13</f>
        <v>97069.49</v>
      </c>
      <c r="L17" s="565"/>
    </row>
    <row r="18" spans="1:12" ht="12.75">
      <c r="A18" s="515">
        <f t="shared" si="0"/>
        <v>9</v>
      </c>
      <c r="B18" s="563" t="s">
        <v>429</v>
      </c>
      <c r="C18" s="564"/>
      <c r="D18" s="564"/>
      <c r="E18" s="564"/>
      <c r="F18" s="564"/>
      <c r="G18" s="564"/>
      <c r="H18" s="564"/>
      <c r="I18" s="564"/>
      <c r="J18" s="564"/>
      <c r="K18" s="517">
        <v>913780.95</v>
      </c>
      <c r="L18" s="565" t="s">
        <v>427</v>
      </c>
    </row>
    <row r="19" spans="1:12" ht="12.75">
      <c r="A19" s="515">
        <f t="shared" si="0"/>
        <v>10</v>
      </c>
      <c r="B19" s="573" t="s">
        <v>430</v>
      </c>
      <c r="C19" s="574"/>
      <c r="D19" s="574"/>
      <c r="E19" s="574"/>
      <c r="F19" s="574"/>
      <c r="G19" s="574"/>
      <c r="H19" s="574"/>
      <c r="I19" s="574"/>
      <c r="J19" s="574"/>
      <c r="K19" s="482">
        <v>733295.6000000015</v>
      </c>
      <c r="L19" s="565" t="s">
        <v>427</v>
      </c>
    </row>
    <row r="20" spans="1:12" ht="12.75">
      <c r="A20" s="515">
        <f t="shared" si="0"/>
        <v>11</v>
      </c>
      <c r="B20" s="569"/>
      <c r="C20" s="570"/>
      <c r="D20" s="570"/>
      <c r="E20" s="570"/>
      <c r="F20" s="570"/>
      <c r="G20" s="570"/>
      <c r="H20" s="570"/>
      <c r="I20" s="570"/>
      <c r="J20" s="570"/>
      <c r="K20" s="654">
        <f>+K16-K17+K18+K19</f>
        <v>3198859.0600000015</v>
      </c>
      <c r="L20" s="565"/>
    </row>
    <row r="21" spans="1:12" ht="12.75">
      <c r="A21" s="515">
        <f t="shared" si="0"/>
        <v>12</v>
      </c>
      <c r="B21" s="569"/>
      <c r="C21" s="570"/>
      <c r="D21" s="570"/>
      <c r="E21" s="570"/>
      <c r="F21" s="570"/>
      <c r="G21" s="570"/>
      <c r="H21" s="570"/>
      <c r="I21" s="570"/>
      <c r="J21" s="570"/>
      <c r="K21" s="575"/>
      <c r="L21" s="565"/>
    </row>
    <row r="22" spans="1:12" ht="12.75">
      <c r="A22" s="515">
        <f t="shared" si="0"/>
        <v>13</v>
      </c>
      <c r="B22" s="569" t="s">
        <v>431</v>
      </c>
      <c r="C22" s="570"/>
      <c r="D22" s="570"/>
      <c r="E22" s="570"/>
      <c r="F22" s="570"/>
      <c r="G22" s="570"/>
      <c r="H22" s="570"/>
      <c r="I22" s="570"/>
      <c r="J22" s="570"/>
      <c r="K22" s="655">
        <f>+K53</f>
        <v>400200</v>
      </c>
      <c r="L22" s="565" t="s">
        <v>422</v>
      </c>
    </row>
    <row r="23" spans="1:12" ht="12.75">
      <c r="A23" s="515">
        <f t="shared" si="0"/>
        <v>14</v>
      </c>
      <c r="B23" s="569"/>
      <c r="C23" s="570"/>
      <c r="D23" s="570"/>
      <c r="E23" s="570"/>
      <c r="F23" s="570"/>
      <c r="G23" s="570"/>
      <c r="H23" s="570"/>
      <c r="I23" s="570"/>
      <c r="J23" s="570"/>
      <c r="K23" s="575"/>
      <c r="L23" s="565"/>
    </row>
    <row r="24" spans="1:12" ht="13.5" thickBot="1">
      <c r="A24" s="515">
        <f t="shared" si="0"/>
        <v>15</v>
      </c>
      <c r="B24" s="569" t="s">
        <v>432</v>
      </c>
      <c r="C24" s="570"/>
      <c r="D24" s="570"/>
      <c r="E24" s="570"/>
      <c r="F24" s="570"/>
      <c r="G24" s="570"/>
      <c r="H24" s="570"/>
      <c r="I24" s="570"/>
      <c r="J24" s="570"/>
      <c r="K24" s="576">
        <f>+K13+K20+K22</f>
        <v>3696128.5500000017</v>
      </c>
      <c r="L24" s="565"/>
    </row>
    <row r="25" spans="1:12" ht="13.5" thickTop="1">
      <c r="A25" s="577"/>
      <c r="B25" s="578"/>
      <c r="C25" s="579"/>
      <c r="D25" s="579"/>
      <c r="E25" s="579"/>
      <c r="F25" s="579"/>
      <c r="G25" s="579"/>
      <c r="H25" s="579"/>
      <c r="I25" s="579"/>
      <c r="J25" s="579"/>
      <c r="K25" s="580"/>
      <c r="L25" s="565"/>
    </row>
    <row r="26" spans="1:12" ht="12.75">
      <c r="A26" s="559"/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</row>
    <row r="27" spans="1:12" ht="12.75">
      <c r="A27" s="559"/>
      <c r="B27" s="565" t="s">
        <v>472</v>
      </c>
      <c r="C27" s="565"/>
      <c r="D27" s="565"/>
      <c r="E27" s="565"/>
      <c r="F27" s="565"/>
      <c r="G27" s="565"/>
      <c r="H27" s="565"/>
      <c r="I27" s="565"/>
      <c r="J27" s="565"/>
      <c r="K27" s="559"/>
      <c r="L27" s="559"/>
    </row>
    <row r="28" spans="1:12" ht="12.75">
      <c r="A28" s="559"/>
      <c r="B28" s="565" t="s">
        <v>433</v>
      </c>
      <c r="C28" s="565"/>
      <c r="D28" s="565"/>
      <c r="E28" s="565"/>
      <c r="F28" s="565"/>
      <c r="G28" s="565"/>
      <c r="H28" s="565"/>
      <c r="I28" s="565"/>
      <c r="J28" s="565"/>
      <c r="K28" s="559"/>
      <c r="L28" s="559"/>
    </row>
    <row r="29" spans="1:12" ht="12.75">
      <c r="A29" s="559"/>
      <c r="B29" s="565" t="s">
        <v>434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</row>
    <row r="30" spans="1:12" ht="12.75">
      <c r="A30" s="559"/>
      <c r="B30" s="565"/>
      <c r="C30" s="559"/>
      <c r="D30" s="559"/>
      <c r="E30" s="559"/>
      <c r="F30" s="559"/>
      <c r="G30" s="559"/>
      <c r="H30" s="559"/>
      <c r="I30" s="559"/>
      <c r="J30" s="559"/>
      <c r="K30" s="559"/>
      <c r="L30" s="559"/>
    </row>
    <row r="31" spans="1:12" ht="12.75">
      <c r="A31" s="559"/>
      <c r="B31" s="581" t="s">
        <v>2</v>
      </c>
      <c r="C31" s="582" t="s">
        <v>3</v>
      </c>
      <c r="D31" s="582" t="s">
        <v>4</v>
      </c>
      <c r="E31" s="582" t="s">
        <v>5</v>
      </c>
      <c r="F31" s="582" t="s">
        <v>6</v>
      </c>
      <c r="G31" s="582" t="s">
        <v>8</v>
      </c>
      <c r="H31" s="582" t="s">
        <v>7</v>
      </c>
      <c r="I31" s="582" t="s">
        <v>34</v>
      </c>
      <c r="J31" s="582" t="s">
        <v>35</v>
      </c>
      <c r="K31" s="582" t="s">
        <v>34</v>
      </c>
      <c r="L31" s="559"/>
    </row>
    <row r="32" spans="1:12" ht="12.75">
      <c r="A32" s="559"/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</row>
    <row r="33" spans="1:12" ht="25.5">
      <c r="A33" s="519" t="s">
        <v>43</v>
      </c>
      <c r="B33" s="611"/>
      <c r="C33" s="637" t="s">
        <v>555</v>
      </c>
      <c r="D33" s="637" t="s">
        <v>435</v>
      </c>
      <c r="E33" s="637" t="s">
        <v>436</v>
      </c>
      <c r="F33" s="637" t="s">
        <v>543</v>
      </c>
      <c r="G33" s="637" t="s">
        <v>437</v>
      </c>
      <c r="H33" s="637" t="s">
        <v>438</v>
      </c>
      <c r="I33" s="637" t="s">
        <v>414</v>
      </c>
      <c r="J33" s="637" t="s">
        <v>37</v>
      </c>
      <c r="K33" s="638" t="s">
        <v>554</v>
      </c>
      <c r="L33" s="569"/>
    </row>
    <row r="34" spans="1:12" ht="12.75">
      <c r="A34" s="520"/>
      <c r="B34" s="521" t="s">
        <v>439</v>
      </c>
      <c r="C34" s="522"/>
      <c r="D34" s="522"/>
      <c r="E34" s="522"/>
      <c r="F34" s="522"/>
      <c r="G34" s="522"/>
      <c r="H34" s="522"/>
      <c r="I34" s="522"/>
      <c r="J34" s="522"/>
      <c r="K34" s="523"/>
      <c r="L34" s="569"/>
    </row>
    <row r="35" spans="1:12" ht="12.75">
      <c r="A35" s="524">
        <v>1</v>
      </c>
      <c r="B35" s="525" t="s">
        <v>90</v>
      </c>
      <c r="C35" s="526" t="s">
        <v>440</v>
      </c>
      <c r="D35" s="526" t="s">
        <v>441</v>
      </c>
      <c r="E35" s="526" t="s">
        <v>442</v>
      </c>
      <c r="F35" s="526" t="s">
        <v>443</v>
      </c>
      <c r="G35" s="526" t="s">
        <v>444</v>
      </c>
      <c r="H35" s="526" t="s">
        <v>445</v>
      </c>
      <c r="I35" s="526" t="s">
        <v>446</v>
      </c>
      <c r="J35" s="526">
        <v>9280</v>
      </c>
      <c r="K35" s="527">
        <v>104.88</v>
      </c>
      <c r="L35" s="569"/>
    </row>
    <row r="36" spans="1:12" ht="12.75">
      <c r="A36" s="524">
        <v>2</v>
      </c>
      <c r="B36" s="525" t="str">
        <f aca="true" t="shared" si="1" ref="B36:B41">+$B$35</f>
        <v>Budget 2010</v>
      </c>
      <c r="C36" s="526" t="s">
        <v>440</v>
      </c>
      <c r="D36" s="526" t="s">
        <v>447</v>
      </c>
      <c r="E36" s="526" t="s">
        <v>448</v>
      </c>
      <c r="F36" s="526" t="s">
        <v>449</v>
      </c>
      <c r="G36" s="526" t="s">
        <v>450</v>
      </c>
      <c r="H36" s="526" t="s">
        <v>445</v>
      </c>
      <c r="I36" s="526" t="s">
        <v>446</v>
      </c>
      <c r="J36" s="526">
        <v>9280</v>
      </c>
      <c r="K36" s="527">
        <v>259</v>
      </c>
      <c r="L36" s="569"/>
    </row>
    <row r="37" spans="1:12" ht="12.75">
      <c r="A37" s="524">
        <v>3</v>
      </c>
      <c r="B37" s="525" t="str">
        <f t="shared" si="1"/>
        <v>Budget 2010</v>
      </c>
      <c r="C37" s="528" t="s">
        <v>440</v>
      </c>
      <c r="D37" s="528" t="s">
        <v>447</v>
      </c>
      <c r="E37" s="528" t="s">
        <v>451</v>
      </c>
      <c r="F37" s="528" t="s">
        <v>449</v>
      </c>
      <c r="G37" s="528" t="s">
        <v>450</v>
      </c>
      <c r="H37" s="528" t="s">
        <v>445</v>
      </c>
      <c r="I37" s="528" t="s">
        <v>446</v>
      </c>
      <c r="J37" s="526">
        <v>9280</v>
      </c>
      <c r="K37" s="527">
        <v>52439</v>
      </c>
      <c r="L37" s="569"/>
    </row>
    <row r="38" spans="1:12" ht="12.75">
      <c r="A38" s="524">
        <v>4</v>
      </c>
      <c r="B38" s="525" t="str">
        <f t="shared" si="1"/>
        <v>Budget 2010</v>
      </c>
      <c r="C38" s="526" t="s">
        <v>440</v>
      </c>
      <c r="D38" s="526" t="s">
        <v>447</v>
      </c>
      <c r="E38" s="526" t="s">
        <v>442</v>
      </c>
      <c r="F38" s="526" t="s">
        <v>443</v>
      </c>
      <c r="G38" s="526" t="s">
        <v>444</v>
      </c>
      <c r="H38" s="526" t="s">
        <v>445</v>
      </c>
      <c r="I38" s="526" t="s">
        <v>446</v>
      </c>
      <c r="J38" s="526">
        <v>9280</v>
      </c>
      <c r="K38" s="527">
        <v>95.12</v>
      </c>
      <c r="L38" s="569"/>
    </row>
    <row r="39" spans="1:12" ht="12.75">
      <c r="A39" s="524">
        <v>5</v>
      </c>
      <c r="B39" s="525" t="str">
        <f t="shared" si="1"/>
        <v>Budget 2010</v>
      </c>
      <c r="C39" s="528" t="s">
        <v>440</v>
      </c>
      <c r="D39" s="528" t="s">
        <v>447</v>
      </c>
      <c r="E39" s="528" t="s">
        <v>452</v>
      </c>
      <c r="F39" s="528" t="s">
        <v>449</v>
      </c>
      <c r="G39" s="528" t="s">
        <v>450</v>
      </c>
      <c r="H39" s="528" t="s">
        <v>445</v>
      </c>
      <c r="I39" s="528" t="s">
        <v>446</v>
      </c>
      <c r="J39" s="526">
        <v>9280</v>
      </c>
      <c r="K39" s="527">
        <v>7138</v>
      </c>
      <c r="L39" s="569"/>
    </row>
    <row r="40" spans="1:12" ht="12.75">
      <c r="A40" s="524">
        <v>6</v>
      </c>
      <c r="B40" s="525" t="str">
        <f t="shared" si="1"/>
        <v>Budget 2010</v>
      </c>
      <c r="C40" s="526" t="s">
        <v>440</v>
      </c>
      <c r="D40" s="526" t="s">
        <v>447</v>
      </c>
      <c r="E40" s="526" t="s">
        <v>453</v>
      </c>
      <c r="F40" s="526" t="s">
        <v>449</v>
      </c>
      <c r="G40" s="526" t="s">
        <v>450</v>
      </c>
      <c r="H40" s="526" t="s">
        <v>445</v>
      </c>
      <c r="I40" s="526" t="s">
        <v>446</v>
      </c>
      <c r="J40" s="526">
        <v>9280</v>
      </c>
      <c r="K40" s="529">
        <v>378339</v>
      </c>
      <c r="L40" s="569"/>
    </row>
    <row r="41" spans="1:12" ht="12.75">
      <c r="A41" s="524">
        <v>7</v>
      </c>
      <c r="B41" s="525" t="str">
        <f t="shared" si="1"/>
        <v>Budget 2010</v>
      </c>
      <c r="C41" s="526" t="s">
        <v>440</v>
      </c>
      <c r="D41" s="526" t="s">
        <v>447</v>
      </c>
      <c r="E41" s="526" t="s">
        <v>454</v>
      </c>
      <c r="F41" s="526" t="s">
        <v>449</v>
      </c>
      <c r="G41" s="526" t="s">
        <v>450</v>
      </c>
      <c r="H41" s="526" t="s">
        <v>455</v>
      </c>
      <c r="I41" s="526" t="s">
        <v>446</v>
      </c>
      <c r="J41" s="526">
        <v>9280</v>
      </c>
      <c r="K41" s="530">
        <v>2951</v>
      </c>
      <c r="L41" s="569"/>
    </row>
    <row r="42" spans="1:12" ht="12.75">
      <c r="A42" s="524">
        <v>8</v>
      </c>
      <c r="B42" s="525"/>
      <c r="C42" s="526"/>
      <c r="D42" s="526"/>
      <c r="E42" s="526"/>
      <c r="F42" s="526"/>
      <c r="G42" s="526"/>
      <c r="H42" s="526"/>
      <c r="I42" s="526"/>
      <c r="J42" s="526"/>
      <c r="K42" s="531">
        <v>441326</v>
      </c>
      <c r="L42" s="569"/>
    </row>
    <row r="43" spans="1:12" ht="12.75">
      <c r="A43" s="524">
        <v>9</v>
      </c>
      <c r="B43" s="532" t="s">
        <v>456</v>
      </c>
      <c r="C43" s="526"/>
      <c r="D43" s="526"/>
      <c r="E43" s="526"/>
      <c r="F43" s="526"/>
      <c r="G43" s="526"/>
      <c r="H43" s="526"/>
      <c r="I43" s="526"/>
      <c r="J43" s="526"/>
      <c r="K43" s="527"/>
      <c r="L43" s="569"/>
    </row>
    <row r="44" spans="1:12" ht="12.75">
      <c r="A44" s="524">
        <v>10</v>
      </c>
      <c r="B44" s="525" t="str">
        <f>+$B$35</f>
        <v>Budget 2010</v>
      </c>
      <c r="C44" s="526" t="s">
        <v>440</v>
      </c>
      <c r="D44" s="526" t="s">
        <v>441</v>
      </c>
      <c r="E44" s="526" t="s">
        <v>442</v>
      </c>
      <c r="F44" s="526" t="s">
        <v>443</v>
      </c>
      <c r="G44" s="526" t="s">
        <v>457</v>
      </c>
      <c r="H44" s="526" t="s">
        <v>445</v>
      </c>
      <c r="I44" s="526" t="s">
        <v>446</v>
      </c>
      <c r="J44" s="526">
        <v>9280</v>
      </c>
      <c r="K44" s="527">
        <v>25</v>
      </c>
      <c r="L44" s="569"/>
    </row>
    <row r="45" spans="1:12" ht="12.75">
      <c r="A45" s="524">
        <v>11</v>
      </c>
      <c r="B45" s="525" t="str">
        <f>+$B$35</f>
        <v>Budget 2010</v>
      </c>
      <c r="C45" s="526" t="s">
        <v>440</v>
      </c>
      <c r="D45" s="526" t="s">
        <v>447</v>
      </c>
      <c r="E45" s="526" t="s">
        <v>453</v>
      </c>
      <c r="F45" s="526" t="s">
        <v>443</v>
      </c>
      <c r="G45" s="526" t="s">
        <v>457</v>
      </c>
      <c r="H45" s="526" t="s">
        <v>445</v>
      </c>
      <c r="I45" s="526" t="s">
        <v>446</v>
      </c>
      <c r="J45" s="526">
        <v>9280</v>
      </c>
      <c r="K45" s="533">
        <v>4500</v>
      </c>
      <c r="L45" s="569"/>
    </row>
    <row r="46" spans="1:12" ht="12.75">
      <c r="A46" s="524">
        <v>12</v>
      </c>
      <c r="B46" s="534"/>
      <c r="C46" s="535"/>
      <c r="D46" s="535"/>
      <c r="E46" s="535"/>
      <c r="F46" s="535"/>
      <c r="G46" s="535"/>
      <c r="H46" s="535"/>
      <c r="I46" s="535"/>
      <c r="J46" s="536"/>
      <c r="K46" s="531">
        <v>4525</v>
      </c>
      <c r="L46" s="569"/>
    </row>
    <row r="47" spans="1:12" ht="12.75">
      <c r="A47" s="524">
        <v>13</v>
      </c>
      <c r="B47" s="537" t="s">
        <v>458</v>
      </c>
      <c r="C47" s="526"/>
      <c r="D47" s="526"/>
      <c r="E47" s="526"/>
      <c r="F47" s="526"/>
      <c r="G47" s="526"/>
      <c r="H47" s="526"/>
      <c r="I47" s="526"/>
      <c r="J47" s="526"/>
      <c r="K47" s="527"/>
      <c r="L47" s="569"/>
    </row>
    <row r="48" spans="1:12" ht="12.75">
      <c r="A48" s="524">
        <v>14</v>
      </c>
      <c r="B48" s="525" t="str">
        <f>+$B$35</f>
        <v>Budget 2010</v>
      </c>
      <c r="C48" s="526" t="s">
        <v>440</v>
      </c>
      <c r="D48" s="535" t="s">
        <v>441</v>
      </c>
      <c r="E48" s="535" t="s">
        <v>442</v>
      </c>
      <c r="F48" s="535" t="s">
        <v>459</v>
      </c>
      <c r="G48" s="535" t="s">
        <v>460</v>
      </c>
      <c r="H48" s="535" t="s">
        <v>445</v>
      </c>
      <c r="I48" s="526" t="s">
        <v>446</v>
      </c>
      <c r="J48" s="526">
        <v>9280</v>
      </c>
      <c r="K48" s="527">
        <v>1047.8</v>
      </c>
      <c r="L48" s="569"/>
    </row>
    <row r="49" spans="1:12" ht="12.75">
      <c r="A49" s="524">
        <v>15</v>
      </c>
      <c r="B49" s="525" t="str">
        <f>+$B$35</f>
        <v>Budget 2010</v>
      </c>
      <c r="C49" s="528" t="s">
        <v>440</v>
      </c>
      <c r="D49" s="528" t="s">
        <v>447</v>
      </c>
      <c r="E49" s="528" t="s">
        <v>442</v>
      </c>
      <c r="F49" s="528" t="s">
        <v>459</v>
      </c>
      <c r="G49" s="528" t="s">
        <v>460</v>
      </c>
      <c r="H49" s="528" t="s">
        <v>445</v>
      </c>
      <c r="I49" s="528" t="s">
        <v>446</v>
      </c>
      <c r="J49" s="526">
        <v>9280</v>
      </c>
      <c r="K49" s="527">
        <v>1352.2</v>
      </c>
      <c r="L49" s="569"/>
    </row>
    <row r="50" spans="1:12" ht="12.75">
      <c r="A50" s="524">
        <v>16</v>
      </c>
      <c r="B50" s="525" t="str">
        <f>+$B$35</f>
        <v>Budget 2010</v>
      </c>
      <c r="C50" s="526" t="s">
        <v>440</v>
      </c>
      <c r="D50" s="526" t="s">
        <v>447</v>
      </c>
      <c r="E50" s="526" t="s">
        <v>453</v>
      </c>
      <c r="F50" s="526" t="s">
        <v>459</v>
      </c>
      <c r="G50" s="526" t="s">
        <v>460</v>
      </c>
      <c r="H50" s="526" t="s">
        <v>445</v>
      </c>
      <c r="I50" s="526" t="s">
        <v>446</v>
      </c>
      <c r="J50" s="526">
        <v>9280</v>
      </c>
      <c r="K50" s="533">
        <v>13600</v>
      </c>
      <c r="L50" s="569"/>
    </row>
    <row r="51" spans="1:12" ht="12.75">
      <c r="A51" s="524">
        <v>17</v>
      </c>
      <c r="B51" s="534"/>
      <c r="C51" s="535"/>
      <c r="D51" s="535"/>
      <c r="E51" s="535"/>
      <c r="F51" s="535"/>
      <c r="G51" s="535"/>
      <c r="H51" s="535"/>
      <c r="I51" s="535"/>
      <c r="J51" s="536"/>
      <c r="K51" s="531">
        <v>16000</v>
      </c>
      <c r="L51" s="569"/>
    </row>
    <row r="52" spans="1:12" ht="12.75">
      <c r="A52" s="524">
        <v>18</v>
      </c>
      <c r="B52" s="537" t="s">
        <v>461</v>
      </c>
      <c r="C52" s="526"/>
      <c r="D52" s="526"/>
      <c r="E52" s="526"/>
      <c r="F52" s="526"/>
      <c r="G52" s="526"/>
      <c r="H52" s="526"/>
      <c r="I52" s="526"/>
      <c r="J52" s="526"/>
      <c r="K52" s="527"/>
      <c r="L52" s="569"/>
    </row>
    <row r="53" spans="1:12" ht="12.75">
      <c r="A53" s="524">
        <v>19</v>
      </c>
      <c r="B53" s="525" t="str">
        <f>+$B$35</f>
        <v>Budget 2010</v>
      </c>
      <c r="C53" s="526" t="s">
        <v>440</v>
      </c>
      <c r="D53" s="526" t="s">
        <v>447</v>
      </c>
      <c r="E53" s="526" t="s">
        <v>462</v>
      </c>
      <c r="F53" s="526" t="s">
        <v>463</v>
      </c>
      <c r="G53" s="526" t="s">
        <v>464</v>
      </c>
      <c r="H53" s="526" t="s">
        <v>445</v>
      </c>
      <c r="I53" s="526" t="s">
        <v>446</v>
      </c>
      <c r="J53" s="526">
        <v>9280</v>
      </c>
      <c r="K53" s="527">
        <v>400200</v>
      </c>
      <c r="L53" s="569"/>
    </row>
    <row r="54" spans="1:12" ht="12.75">
      <c r="A54" s="524">
        <v>20</v>
      </c>
      <c r="B54" s="525" t="str">
        <f>+$B$35</f>
        <v>Budget 2010</v>
      </c>
      <c r="C54" s="526" t="s">
        <v>440</v>
      </c>
      <c r="D54" s="526" t="s">
        <v>447</v>
      </c>
      <c r="E54" s="526" t="s">
        <v>453</v>
      </c>
      <c r="F54" s="526" t="s">
        <v>463</v>
      </c>
      <c r="G54" s="526" t="s">
        <v>464</v>
      </c>
      <c r="H54" s="526" t="s">
        <v>465</v>
      </c>
      <c r="I54" s="526" t="s">
        <v>446</v>
      </c>
      <c r="J54" s="526">
        <v>9280</v>
      </c>
      <c r="K54" s="527">
        <v>437.29999999999995</v>
      </c>
      <c r="L54" s="569"/>
    </row>
    <row r="55" spans="1:12" ht="12.75">
      <c r="A55" s="524">
        <v>21</v>
      </c>
      <c r="B55" s="525" t="str">
        <f>+$B$35</f>
        <v>Budget 2010</v>
      </c>
      <c r="C55" s="526" t="s">
        <v>440</v>
      </c>
      <c r="D55" s="526" t="s">
        <v>447</v>
      </c>
      <c r="E55" s="526" t="s">
        <v>453</v>
      </c>
      <c r="F55" s="526" t="s">
        <v>463</v>
      </c>
      <c r="G55" s="526" t="s">
        <v>464</v>
      </c>
      <c r="H55" s="526" t="s">
        <v>445</v>
      </c>
      <c r="I55" s="526" t="s">
        <v>446</v>
      </c>
      <c r="J55" s="526">
        <v>9280</v>
      </c>
      <c r="K55" s="533">
        <v>49562.700000000004</v>
      </c>
      <c r="L55" s="569"/>
    </row>
    <row r="56" spans="1:12" ht="12.75">
      <c r="A56" s="524">
        <v>22</v>
      </c>
      <c r="B56" s="534"/>
      <c r="C56" s="535"/>
      <c r="D56" s="535"/>
      <c r="E56" s="535"/>
      <c r="F56" s="535"/>
      <c r="G56" s="535"/>
      <c r="H56" s="535"/>
      <c r="I56" s="535"/>
      <c r="J56" s="536"/>
      <c r="K56" s="531">
        <v>450200</v>
      </c>
      <c r="L56" s="569"/>
    </row>
    <row r="57" spans="1:12" ht="12.75">
      <c r="A57" s="524">
        <v>23</v>
      </c>
      <c r="B57" s="537" t="s">
        <v>466</v>
      </c>
      <c r="C57" s="526"/>
      <c r="D57" s="526"/>
      <c r="E57" s="526"/>
      <c r="F57" s="526"/>
      <c r="G57" s="526"/>
      <c r="H57" s="526"/>
      <c r="I57" s="526"/>
      <c r="J57" s="526"/>
      <c r="K57" s="527"/>
      <c r="L57" s="569"/>
    </row>
    <row r="58" spans="1:12" ht="12.75">
      <c r="A58" s="524">
        <v>24</v>
      </c>
      <c r="B58" s="525" t="str">
        <f>+$B$35</f>
        <v>Budget 2010</v>
      </c>
      <c r="C58" s="528" t="s">
        <v>440</v>
      </c>
      <c r="D58" s="528" t="s">
        <v>441</v>
      </c>
      <c r="E58" s="528" t="s">
        <v>467</v>
      </c>
      <c r="F58" s="528" t="s">
        <v>468</v>
      </c>
      <c r="G58" s="528" t="s">
        <v>469</v>
      </c>
      <c r="H58" s="528" t="s">
        <v>445</v>
      </c>
      <c r="I58" s="528" t="s">
        <v>446</v>
      </c>
      <c r="J58" s="526">
        <v>9280</v>
      </c>
      <c r="K58" s="538">
        <v>-98.12</v>
      </c>
      <c r="L58" s="569"/>
    </row>
    <row r="59" spans="1:12" ht="12.75">
      <c r="A59" s="524">
        <v>25</v>
      </c>
      <c r="B59" s="525" t="str">
        <f>+$B$35</f>
        <v>Budget 2010</v>
      </c>
      <c r="C59" s="528" t="s">
        <v>440</v>
      </c>
      <c r="D59" s="528" t="s">
        <v>447</v>
      </c>
      <c r="E59" s="528" t="s">
        <v>467</v>
      </c>
      <c r="F59" s="528" t="s">
        <v>468</v>
      </c>
      <c r="G59" s="528" t="s">
        <v>469</v>
      </c>
      <c r="H59" s="528" t="s">
        <v>445</v>
      </c>
      <c r="I59" s="528" t="s">
        <v>446</v>
      </c>
      <c r="J59" s="526">
        <v>9280</v>
      </c>
      <c r="K59" s="538">
        <v>198199.12000000002</v>
      </c>
      <c r="L59" s="569"/>
    </row>
    <row r="60" spans="1:12" ht="12.75">
      <c r="A60" s="524">
        <v>26</v>
      </c>
      <c r="B60" s="525" t="str">
        <f>+$B$35</f>
        <v>Budget 2010</v>
      </c>
      <c r="C60" s="526" t="s">
        <v>440</v>
      </c>
      <c r="D60" s="526" t="s">
        <v>447</v>
      </c>
      <c r="E60" s="526" t="s">
        <v>453</v>
      </c>
      <c r="F60" s="526" t="s">
        <v>468</v>
      </c>
      <c r="G60" s="526" t="s">
        <v>469</v>
      </c>
      <c r="H60" s="526" t="s">
        <v>465</v>
      </c>
      <c r="I60" s="526" t="s">
        <v>446</v>
      </c>
      <c r="J60" s="526">
        <v>9280</v>
      </c>
      <c r="K60" s="527">
        <v>53.60999999999999</v>
      </c>
      <c r="L60" s="569"/>
    </row>
    <row r="61" spans="1:12" ht="12.75">
      <c r="A61" s="524">
        <v>27</v>
      </c>
      <c r="B61" s="525" t="str">
        <f>+$B$35</f>
        <v>Budget 2010</v>
      </c>
      <c r="C61" s="526" t="s">
        <v>440</v>
      </c>
      <c r="D61" s="526" t="s">
        <v>447</v>
      </c>
      <c r="E61" s="526" t="s">
        <v>453</v>
      </c>
      <c r="F61" s="526" t="s">
        <v>468</v>
      </c>
      <c r="G61" s="526" t="s">
        <v>469</v>
      </c>
      <c r="H61" s="526" t="s">
        <v>445</v>
      </c>
      <c r="I61" s="526" t="s">
        <v>446</v>
      </c>
      <c r="J61" s="526">
        <v>9280</v>
      </c>
      <c r="K61" s="539">
        <v>538646.3899999999</v>
      </c>
      <c r="L61" s="569"/>
    </row>
    <row r="62" spans="1:12" ht="12.75">
      <c r="A62" s="524">
        <v>28</v>
      </c>
      <c r="B62" s="534"/>
      <c r="C62" s="540"/>
      <c r="D62" s="540"/>
      <c r="E62" s="540"/>
      <c r="F62" s="540"/>
      <c r="G62" s="540"/>
      <c r="H62" s="540"/>
      <c r="I62" s="540"/>
      <c r="J62" s="541"/>
      <c r="K62" s="542">
        <v>736800.9999999999</v>
      </c>
      <c r="L62" s="569"/>
    </row>
    <row r="63" spans="1:12" ht="12.75">
      <c r="A63" s="524">
        <v>29</v>
      </c>
      <c r="B63" s="543"/>
      <c r="C63" s="544"/>
      <c r="D63" s="544"/>
      <c r="E63" s="544"/>
      <c r="F63" s="544"/>
      <c r="G63" s="544"/>
      <c r="H63" s="544"/>
      <c r="I63" s="544"/>
      <c r="J63" s="545" t="s">
        <v>470</v>
      </c>
      <c r="K63" s="542">
        <v>1648852</v>
      </c>
      <c r="L63" s="569"/>
    </row>
    <row r="64" spans="1:18" ht="12.75">
      <c r="A64" s="524">
        <v>30</v>
      </c>
      <c r="B64" s="546"/>
      <c r="C64" s="547"/>
      <c r="D64" s="547"/>
      <c r="E64" s="559"/>
      <c r="F64" s="559"/>
      <c r="G64" s="559"/>
      <c r="H64" s="559"/>
      <c r="I64" s="559"/>
      <c r="J64" s="548"/>
      <c r="K64" s="531"/>
      <c r="L64" s="549"/>
      <c r="M64" s="540"/>
      <c r="N64" s="540"/>
      <c r="O64" s="540"/>
      <c r="P64" s="540"/>
      <c r="Q64" s="540"/>
      <c r="R64" s="540"/>
    </row>
    <row r="65" spans="1:18" ht="12.75">
      <c r="A65" s="524">
        <v>31</v>
      </c>
      <c r="B65" s="525" t="s">
        <v>471</v>
      </c>
      <c r="J65" s="551"/>
      <c r="K65" s="552">
        <v>0</v>
      </c>
      <c r="L65" s="549"/>
      <c r="M65" s="540"/>
      <c r="N65" s="540"/>
      <c r="O65" s="540"/>
      <c r="P65" s="540"/>
      <c r="Q65" s="540"/>
      <c r="R65" s="540"/>
    </row>
    <row r="66" spans="1:18" ht="13.5" thickBot="1">
      <c r="A66" s="524">
        <v>32</v>
      </c>
      <c r="B66" s="525"/>
      <c r="J66" s="551"/>
      <c r="K66" s="553">
        <v>1648852</v>
      </c>
      <c r="L66" s="549"/>
      <c r="M66" s="540"/>
      <c r="N66" s="540"/>
      <c r="O66" s="540"/>
      <c r="P66" s="540"/>
      <c r="Q66" s="540"/>
      <c r="R66" s="540"/>
    </row>
    <row r="67" spans="1:18" ht="13.5" thickTop="1">
      <c r="A67" s="554"/>
      <c r="B67" s="543"/>
      <c r="C67" s="555"/>
      <c r="D67" s="555"/>
      <c r="E67" s="555"/>
      <c r="F67" s="555"/>
      <c r="G67" s="555"/>
      <c r="H67" s="555"/>
      <c r="I67" s="555"/>
      <c r="J67" s="556"/>
      <c r="K67" s="557"/>
      <c r="L67" s="549"/>
      <c r="M67" s="540"/>
      <c r="N67" s="540"/>
      <c r="O67" s="540"/>
      <c r="P67" s="540"/>
      <c r="Q67" s="540"/>
      <c r="R67" s="540"/>
    </row>
  </sheetData>
  <sheetProtection/>
  <mergeCells count="4">
    <mergeCell ref="A2:K2"/>
    <mergeCell ref="A3:L3"/>
    <mergeCell ref="A4:L4"/>
    <mergeCell ref="B6:H6"/>
  </mergeCells>
  <printOptions horizontalCentered="1"/>
  <pageMargins left="0.75" right="0.75" top="0.75" bottom="0.75" header="0.5" footer="0.5"/>
  <pageSetup horizontalDpi="600" verticalDpi="600" orientation="portrait" scale="80" r:id="rId1"/>
  <headerFooter>
    <oddHeader>&amp;R&amp;"Arial,Regular"&amp;10Attachment O Work Paper
Page 12 of 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showGridLines="0" zoomScalePageLayoutView="0" workbookViewId="0" topLeftCell="A1">
      <selection activeCell="A3" sqref="A3:G5"/>
    </sheetView>
  </sheetViews>
  <sheetFormatPr defaultColWidth="29.21484375" defaultRowHeight="15"/>
  <cols>
    <col min="1" max="1" width="3.4453125" style="81" bestFit="1" customWidth="1"/>
    <col min="2" max="2" width="29.21484375" style="83" customWidth="1"/>
    <col min="3" max="6" width="11.77734375" style="83" hidden="1" customWidth="1"/>
    <col min="7" max="7" width="11.77734375" style="83" customWidth="1"/>
    <col min="8" max="254" width="8.88671875" style="83" customWidth="1"/>
    <col min="255" max="255" width="3.4453125" style="83" bestFit="1" customWidth="1"/>
    <col min="256" max="16384" width="29.21484375" style="83" customWidth="1"/>
  </cols>
  <sheetData>
    <row r="1" spans="2:7" ht="12.75">
      <c r="B1" s="82"/>
      <c r="G1" s="84"/>
    </row>
    <row r="2" spans="2:7" ht="12.75">
      <c r="B2" s="85"/>
      <c r="G2" s="84"/>
    </row>
    <row r="3" spans="1:7" ht="12.75" customHeight="1">
      <c r="A3" s="727" t="s">
        <v>0</v>
      </c>
      <c r="B3" s="728"/>
      <c r="C3" s="728"/>
      <c r="D3" s="728"/>
      <c r="E3" s="728"/>
      <c r="F3" s="728"/>
      <c r="G3" s="728"/>
    </row>
    <row r="4" spans="1:7" ht="12.75" customHeight="1">
      <c r="A4" s="727" t="s">
        <v>61</v>
      </c>
      <c r="B4" s="728"/>
      <c r="C4" s="728"/>
      <c r="D4" s="728"/>
      <c r="E4" s="728"/>
      <c r="F4" s="728"/>
      <c r="G4" s="728"/>
    </row>
    <row r="5" spans="1:7" ht="12.75" customHeight="1">
      <c r="A5" s="729" t="s">
        <v>79</v>
      </c>
      <c r="B5" s="729"/>
      <c r="C5" s="729"/>
      <c r="D5" s="729"/>
      <c r="E5" s="729"/>
      <c r="F5" s="729"/>
      <c r="G5" s="729"/>
    </row>
    <row r="6" spans="2:7" ht="12.75">
      <c r="B6" s="87"/>
      <c r="C6" s="88"/>
      <c r="D6" s="86"/>
      <c r="E6" s="86"/>
      <c r="F6" s="86"/>
      <c r="G6" s="89"/>
    </row>
    <row r="7" spans="2:7" ht="12.75">
      <c r="B7" s="90" t="s">
        <v>2</v>
      </c>
      <c r="D7" s="81" t="s">
        <v>4</v>
      </c>
      <c r="E7" s="81" t="s">
        <v>5</v>
      </c>
      <c r="F7" s="81" t="s">
        <v>6</v>
      </c>
      <c r="G7" s="81" t="s">
        <v>3</v>
      </c>
    </row>
    <row r="8" spans="3:7" ht="12.75">
      <c r="C8" s="86"/>
      <c r="D8" s="86"/>
      <c r="E8" s="86"/>
      <c r="F8" s="86"/>
      <c r="G8" s="86"/>
    </row>
    <row r="9" spans="1:7" ht="25.5">
      <c r="A9" s="91" t="s">
        <v>43</v>
      </c>
      <c r="B9" s="92" t="s">
        <v>61</v>
      </c>
      <c r="C9" s="93" t="s">
        <v>62</v>
      </c>
      <c r="D9" s="93" t="s">
        <v>63</v>
      </c>
      <c r="E9" s="93" t="s">
        <v>64</v>
      </c>
      <c r="F9" s="93" t="s">
        <v>37</v>
      </c>
      <c r="G9" s="94" t="s">
        <v>18</v>
      </c>
    </row>
    <row r="10" spans="1:7" ht="12.75">
      <c r="A10" s="95"/>
      <c r="B10" s="96" t="s">
        <v>80</v>
      </c>
      <c r="C10" s="97"/>
      <c r="D10" s="97"/>
      <c r="E10" s="97"/>
      <c r="F10" s="97"/>
      <c r="G10" s="98"/>
    </row>
    <row r="11" spans="1:7" ht="12.75">
      <c r="A11" s="95">
        <v>1</v>
      </c>
      <c r="B11" s="99" t="s">
        <v>65</v>
      </c>
      <c r="C11" s="100">
        <v>5279571.73727889</v>
      </c>
      <c r="D11" s="100">
        <v>3805249.8736278894</v>
      </c>
      <c r="E11" s="100">
        <v>974256.9471538638</v>
      </c>
      <c r="F11" s="100">
        <v>10411.441939357785</v>
      </c>
      <c r="G11" s="101">
        <f>SUM(C11:F11)</f>
        <v>10069490.000000002</v>
      </c>
    </row>
    <row r="12" spans="1:7" ht="12.75">
      <c r="A12" s="95">
        <f>A11+1</f>
        <v>2</v>
      </c>
      <c r="B12" s="99" t="s">
        <v>66</v>
      </c>
      <c r="C12" s="100">
        <v>90406.06348097416</v>
      </c>
      <c r="D12" s="100">
        <v>64869.93477068991</v>
      </c>
      <c r="E12" s="100">
        <v>16656.71950968936</v>
      </c>
      <c r="F12" s="100">
        <v>178.28223864653518</v>
      </c>
      <c r="G12" s="101">
        <f>SUM(C12:F12)</f>
        <v>172110.99999999997</v>
      </c>
    </row>
    <row r="13" spans="1:7" ht="12.75">
      <c r="A13" s="95">
        <f aca="true" t="shared" si="0" ref="A13:A28">A12+1</f>
        <v>3</v>
      </c>
      <c r="B13" s="99" t="s">
        <v>67</v>
      </c>
      <c r="C13" s="100">
        <v>561404.4081098338</v>
      </c>
      <c r="D13" s="100">
        <v>435528.4736946511</v>
      </c>
      <c r="E13" s="100">
        <v>103016.8397721525</v>
      </c>
      <c r="F13" s="100">
        <v>1458.2784233623474</v>
      </c>
      <c r="G13" s="101">
        <f>SUM(C13:F13)</f>
        <v>1101407.9999999998</v>
      </c>
    </row>
    <row r="14" spans="1:7" ht="12.75">
      <c r="A14" s="95">
        <f t="shared" si="0"/>
        <v>4</v>
      </c>
      <c r="B14" s="99" t="s">
        <v>68</v>
      </c>
      <c r="C14" s="102">
        <v>5340297.971973129</v>
      </c>
      <c r="D14" s="102">
        <v>4142916.93968942</v>
      </c>
      <c r="E14" s="102">
        <v>979936.4029815155</v>
      </c>
      <c r="F14" s="102">
        <v>13871.68535593479</v>
      </c>
      <c r="G14" s="103">
        <f>SUM(C14:F14)</f>
        <v>10477023</v>
      </c>
    </row>
    <row r="15" spans="1:7" ht="12.75">
      <c r="A15" s="95">
        <f t="shared" si="0"/>
        <v>5</v>
      </c>
      <c r="B15" s="96" t="s">
        <v>69</v>
      </c>
      <c r="C15" s="104">
        <f>SUM(C11:C14)</f>
        <v>11271680.180842826</v>
      </c>
      <c r="D15" s="104">
        <f>SUM(D11:D14)</f>
        <v>8448565.22178265</v>
      </c>
      <c r="E15" s="104">
        <f>SUM(E11:E14)</f>
        <v>2073866.9094172213</v>
      </c>
      <c r="F15" s="104">
        <f>SUM(F11:F14)</f>
        <v>25919.68795730146</v>
      </c>
      <c r="G15" s="377">
        <f>SUM(G11:G14)</f>
        <v>21820032</v>
      </c>
    </row>
    <row r="16" spans="1:7" ht="12.75">
      <c r="A16" s="95">
        <f t="shared" si="0"/>
        <v>6</v>
      </c>
      <c r="B16" s="105"/>
      <c r="C16" s="106"/>
      <c r="D16" s="106"/>
      <c r="E16" s="106"/>
      <c r="F16" s="106"/>
      <c r="G16" s="107"/>
    </row>
    <row r="17" spans="1:7" ht="12.75">
      <c r="A17" s="95">
        <f t="shared" si="0"/>
        <v>7</v>
      </c>
      <c r="B17" s="99" t="s">
        <v>70</v>
      </c>
      <c r="C17" s="100">
        <v>2363087.1248751907</v>
      </c>
      <c r="D17" s="100">
        <v>1833244.8501897487</v>
      </c>
      <c r="E17" s="100">
        <v>433622.84781532304</v>
      </c>
      <c r="F17" s="100">
        <v>52563.177119736836</v>
      </c>
      <c r="G17" s="378">
        <f>SUM(C17:F17)</f>
        <v>4682517.999999998</v>
      </c>
    </row>
    <row r="18" spans="1:7" ht="12.75">
      <c r="A18" s="95">
        <f t="shared" si="0"/>
        <v>8</v>
      </c>
      <c r="B18" s="500"/>
      <c r="C18" s="100"/>
      <c r="D18" s="100"/>
      <c r="E18" s="100"/>
      <c r="F18" s="100"/>
      <c r="G18" s="501"/>
    </row>
    <row r="19" spans="1:7" ht="12.75">
      <c r="A19" s="95">
        <f t="shared" si="0"/>
        <v>9</v>
      </c>
      <c r="B19" s="99" t="s">
        <v>71</v>
      </c>
      <c r="C19" s="100">
        <v>4664724.91404024</v>
      </c>
      <c r="D19" s="100">
        <v>4533871.918409705</v>
      </c>
      <c r="E19" s="100">
        <v>1006524.0474800207</v>
      </c>
      <c r="F19" s="100">
        <v>27123.120070034012</v>
      </c>
      <c r="G19" s="101">
        <f>SUM(C19:F19)</f>
        <v>10232244.000000002</v>
      </c>
    </row>
    <row r="20" spans="1:7" ht="12.75">
      <c r="A20" s="95">
        <f t="shared" si="0"/>
        <v>10</v>
      </c>
      <c r="B20" s="105"/>
      <c r="C20" s="106"/>
      <c r="D20" s="106"/>
      <c r="E20" s="106"/>
      <c r="F20" s="106"/>
      <c r="G20" s="107"/>
    </row>
    <row r="21" spans="1:7" ht="12.75">
      <c r="A21" s="95">
        <f t="shared" si="0"/>
        <v>11</v>
      </c>
      <c r="B21" s="99" t="s">
        <v>72</v>
      </c>
      <c r="C21" s="106"/>
      <c r="D21" s="106"/>
      <c r="E21" s="106"/>
      <c r="F21" s="106"/>
      <c r="G21" s="107"/>
    </row>
    <row r="22" spans="1:7" ht="12.75">
      <c r="A22" s="95">
        <f t="shared" si="0"/>
        <v>12</v>
      </c>
      <c r="B22" s="99" t="s">
        <v>73</v>
      </c>
      <c r="C22" s="108">
        <v>1097565.0879327203</v>
      </c>
      <c r="D22" s="108">
        <v>915483.0885040376</v>
      </c>
      <c r="E22" s="108">
        <v>212540.86927735357</v>
      </c>
      <c r="F22" s="108">
        <v>5891.954285889012</v>
      </c>
      <c r="G22" s="101">
        <f>SUM(C22:F22)</f>
        <v>2231481.0000000005</v>
      </c>
    </row>
    <row r="23" spans="1:7" ht="12.75">
      <c r="A23" s="95">
        <f t="shared" si="0"/>
        <v>13</v>
      </c>
      <c r="B23" s="99" t="s">
        <v>74</v>
      </c>
      <c r="C23" s="109">
        <v>0</v>
      </c>
      <c r="D23" s="109">
        <v>0</v>
      </c>
      <c r="E23" s="109">
        <v>0</v>
      </c>
      <c r="F23" s="109">
        <v>0</v>
      </c>
      <c r="G23" s="101"/>
    </row>
    <row r="24" spans="1:7" ht="12.75">
      <c r="A24" s="95">
        <f t="shared" si="0"/>
        <v>14</v>
      </c>
      <c r="B24" s="99" t="s">
        <v>75</v>
      </c>
      <c r="C24" s="109">
        <v>-45155.18466532986</v>
      </c>
      <c r="D24" s="109">
        <v>-38036.69059580732</v>
      </c>
      <c r="E24" s="109">
        <v>-9133.331544112638</v>
      </c>
      <c r="F24" s="109">
        <v>-215.79319475018377</v>
      </c>
      <c r="G24" s="101">
        <v>-92541</v>
      </c>
    </row>
    <row r="25" spans="1:7" ht="12.75">
      <c r="A25" s="95">
        <f t="shared" si="0"/>
        <v>15</v>
      </c>
      <c r="B25" s="99" t="s">
        <v>76</v>
      </c>
      <c r="C25" s="110">
        <v>34622.34175045094</v>
      </c>
      <c r="D25" s="110">
        <v>29164.29886456282</v>
      </c>
      <c r="E25" s="110">
        <v>7002.9018458036135</v>
      </c>
      <c r="F25" s="110">
        <v>165.45753918262488</v>
      </c>
      <c r="G25" s="111">
        <v>70955</v>
      </c>
    </row>
    <row r="26" spans="1:7" ht="12.75">
      <c r="A26" s="95">
        <f t="shared" si="0"/>
        <v>16</v>
      </c>
      <c r="B26" s="96" t="s">
        <v>77</v>
      </c>
      <c r="C26" s="104">
        <f>SUM(C22:C25)</f>
        <v>1087032.2450178415</v>
      </c>
      <c r="D26" s="104">
        <f>SUM(D22:D25)</f>
        <v>906610.6967727931</v>
      </c>
      <c r="E26" s="104">
        <f>SUM(E22:E25)</f>
        <v>210410.43957904453</v>
      </c>
      <c r="F26" s="104">
        <f>SUM(F22:F25)</f>
        <v>5841.618630321453</v>
      </c>
      <c r="G26" s="378">
        <f>SUM(G22:G25)</f>
        <v>2209895.0000000005</v>
      </c>
    </row>
    <row r="27" spans="1:7" ht="12.75">
      <c r="A27" s="95">
        <f t="shared" si="0"/>
        <v>17</v>
      </c>
      <c r="B27" s="105"/>
      <c r="C27" s="112"/>
      <c r="D27" s="112"/>
      <c r="E27" s="112"/>
      <c r="F27" s="112"/>
      <c r="G27" s="379"/>
    </row>
    <row r="28" spans="1:7" ht="12.75">
      <c r="A28" s="95">
        <f t="shared" si="0"/>
        <v>18</v>
      </c>
      <c r="B28" s="96" t="s">
        <v>78</v>
      </c>
      <c r="C28" s="104">
        <f>SUM(C15:C19)+C26</f>
        <v>19386524.4647761</v>
      </c>
      <c r="D28" s="104">
        <f>SUM(D15:D19)+D26</f>
        <v>15722292.687154898</v>
      </c>
      <c r="E28" s="104">
        <f>SUM(E15:E19)+E26</f>
        <v>3724424.2442916096</v>
      </c>
      <c r="F28" s="104">
        <f>SUM(F15:F19)+F26</f>
        <v>111447.60377739376</v>
      </c>
      <c r="G28" s="377">
        <f>SUM(G15:G19)+G26</f>
        <v>38944689</v>
      </c>
    </row>
    <row r="29" spans="1:7" ht="12.75">
      <c r="A29" s="113"/>
      <c r="B29" s="114"/>
      <c r="C29" s="115"/>
      <c r="D29" s="115"/>
      <c r="E29" s="115"/>
      <c r="F29" s="115"/>
      <c r="G29" s="116"/>
    </row>
    <row r="30" spans="1:7" ht="12.75">
      <c r="A30" s="83"/>
      <c r="G30" s="117"/>
    </row>
    <row r="31" spans="6:7" ht="12.75">
      <c r="F31" s="97"/>
      <c r="G31" s="97"/>
    </row>
    <row r="33" spans="6:7" ht="12.75">
      <c r="F33" s="97"/>
      <c r="G33" s="97"/>
    </row>
    <row r="34" spans="6:7" ht="12.75">
      <c r="F34" s="97"/>
      <c r="G34" s="97"/>
    </row>
    <row r="35" spans="6:7" ht="12.75">
      <c r="F35" s="97"/>
      <c r="G35" s="97"/>
    </row>
  </sheetData>
  <sheetProtection/>
  <mergeCells count="3">
    <mergeCell ref="A3:G3"/>
    <mergeCell ref="A4:G4"/>
    <mergeCell ref="A5:G5"/>
  </mergeCells>
  <printOptions horizontalCentered="1"/>
  <pageMargins left="0.75" right="0.75" top="0.75" bottom="0.75" header="0.5" footer="0.5"/>
  <pageSetup horizontalDpi="600" verticalDpi="600" orientation="portrait" scale="80" r:id="rId1"/>
  <headerFooter alignWithMargins="0">
    <oddHeader>&amp;R&amp;"Arial,Regular"&amp;10Attachment O Work Paper
Page 13 of 20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7"/>
  <sheetViews>
    <sheetView showGridLines="0" zoomScale="85" zoomScaleNormal="85" zoomScalePageLayoutView="0" workbookViewId="0" topLeftCell="A1">
      <pane xSplit="2" ySplit="10" topLeftCell="E2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57" sqref="J57"/>
    </sheetView>
  </sheetViews>
  <sheetFormatPr defaultColWidth="8.88671875" defaultRowHeight="15"/>
  <cols>
    <col min="1" max="1" width="3.88671875" style="518" bestFit="1" customWidth="1"/>
    <col min="2" max="2" width="23.88671875" style="0" bestFit="1" customWidth="1"/>
    <col min="3" max="6" width="6.77734375" style="518" customWidth="1"/>
  </cols>
  <sheetData>
    <row r="3" spans="1:19" ht="15">
      <c r="A3" s="730" t="s">
        <v>0</v>
      </c>
      <c r="B3" s="730"/>
      <c r="C3" s="730"/>
      <c r="D3" s="730"/>
      <c r="E3" s="730"/>
      <c r="F3" s="730"/>
      <c r="G3" s="730"/>
      <c r="H3" s="730"/>
      <c r="I3" s="730"/>
      <c r="J3" s="730"/>
      <c r="K3" s="730"/>
      <c r="L3" s="730"/>
      <c r="M3" s="730"/>
      <c r="N3" s="730"/>
      <c r="O3" s="730"/>
      <c r="P3" s="730"/>
      <c r="Q3" s="730"/>
      <c r="R3" s="730"/>
      <c r="S3" s="730"/>
    </row>
    <row r="4" spans="1:19" ht="15">
      <c r="A4" s="730" t="s">
        <v>488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</row>
    <row r="5" spans="1:19" ht="15">
      <c r="A5" s="730" t="s">
        <v>42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</row>
    <row r="6" spans="1:19" ht="15">
      <c r="A6" s="582"/>
      <c r="B6" s="559"/>
      <c r="C6" s="582"/>
      <c r="D6" s="582"/>
      <c r="E6" s="582"/>
      <c r="F6" s="582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</row>
    <row r="7" spans="1:19" ht="15">
      <c r="A7" s="582"/>
      <c r="B7" s="581" t="s">
        <v>2</v>
      </c>
      <c r="C7" s="582" t="s">
        <v>3</v>
      </c>
      <c r="D7" s="582" t="s">
        <v>4</v>
      </c>
      <c r="E7" s="582" t="s">
        <v>5</v>
      </c>
      <c r="F7" s="582" t="s">
        <v>6</v>
      </c>
      <c r="G7" s="582" t="s">
        <v>8</v>
      </c>
      <c r="H7" s="582" t="s">
        <v>7</v>
      </c>
      <c r="I7" s="582" t="s">
        <v>34</v>
      </c>
      <c r="J7" s="582" t="s">
        <v>35</v>
      </c>
      <c r="K7" s="582" t="s">
        <v>34</v>
      </c>
      <c r="L7" s="582" t="s">
        <v>35</v>
      </c>
      <c r="M7" s="582" t="s">
        <v>36</v>
      </c>
      <c r="N7" s="582" t="s">
        <v>95</v>
      </c>
      <c r="O7" s="582" t="s">
        <v>96</v>
      </c>
      <c r="P7" s="582" t="s">
        <v>97</v>
      </c>
      <c r="Q7" s="582" t="s">
        <v>98</v>
      </c>
      <c r="R7" s="582" t="s">
        <v>99</v>
      </c>
      <c r="S7" s="582" t="s">
        <v>100</v>
      </c>
    </row>
    <row r="8" spans="1:19" ht="15">
      <c r="A8" s="582"/>
      <c r="B8" s="559"/>
      <c r="C8" s="582"/>
      <c r="D8" s="582"/>
      <c r="E8" s="582"/>
      <c r="F8" s="582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</row>
    <row r="9" spans="1:19" s="584" customFormat="1" ht="15.75">
      <c r="A9" s="520" t="s">
        <v>9</v>
      </c>
      <c r="B9" s="588"/>
      <c r="C9" s="594"/>
      <c r="D9" s="594"/>
      <c r="E9" s="594"/>
      <c r="F9" s="594"/>
      <c r="G9" s="594" t="s">
        <v>473</v>
      </c>
      <c r="H9" s="594" t="str">
        <f>$G9</f>
        <v>Forecast</v>
      </c>
      <c r="I9" s="594" t="str">
        <f aca="true" t="shared" si="0" ref="I9:R9">$G9</f>
        <v>Forecast</v>
      </c>
      <c r="J9" s="594" t="str">
        <f t="shared" si="0"/>
        <v>Forecast</v>
      </c>
      <c r="K9" s="594" t="str">
        <f t="shared" si="0"/>
        <v>Forecast</v>
      </c>
      <c r="L9" s="594" t="str">
        <f t="shared" si="0"/>
        <v>Forecast</v>
      </c>
      <c r="M9" s="594" t="str">
        <f t="shared" si="0"/>
        <v>Forecast</v>
      </c>
      <c r="N9" s="594" t="str">
        <f t="shared" si="0"/>
        <v>Forecast</v>
      </c>
      <c r="O9" s="594" t="str">
        <f t="shared" si="0"/>
        <v>Forecast</v>
      </c>
      <c r="P9" s="594" t="str">
        <f t="shared" si="0"/>
        <v>Forecast</v>
      </c>
      <c r="Q9" s="594" t="str">
        <f t="shared" si="0"/>
        <v>Forecast</v>
      </c>
      <c r="R9" s="594" t="str">
        <f t="shared" si="0"/>
        <v>Forecast</v>
      </c>
      <c r="S9" s="595"/>
    </row>
    <row r="10" spans="1:19" s="584" customFormat="1" ht="15.75">
      <c r="A10" s="554" t="s">
        <v>11</v>
      </c>
      <c r="B10" s="592" t="s">
        <v>474</v>
      </c>
      <c r="C10" s="596" t="s">
        <v>436</v>
      </c>
      <c r="D10" s="596" t="s">
        <v>475</v>
      </c>
      <c r="E10" s="596" t="s">
        <v>476</v>
      </c>
      <c r="F10" s="596" t="s">
        <v>37</v>
      </c>
      <c r="G10" s="596" t="s">
        <v>477</v>
      </c>
      <c r="H10" s="596" t="s">
        <v>478</v>
      </c>
      <c r="I10" s="596" t="s">
        <v>479</v>
      </c>
      <c r="J10" s="596" t="s">
        <v>480</v>
      </c>
      <c r="K10" s="596" t="s">
        <v>24</v>
      </c>
      <c r="L10" s="596" t="s">
        <v>481</v>
      </c>
      <c r="M10" s="596" t="s">
        <v>482</v>
      </c>
      <c r="N10" s="596" t="s">
        <v>483</v>
      </c>
      <c r="O10" s="596" t="s">
        <v>484</v>
      </c>
      <c r="P10" s="596" t="s">
        <v>485</v>
      </c>
      <c r="Q10" s="596" t="s">
        <v>486</v>
      </c>
      <c r="R10" s="596" t="s">
        <v>487</v>
      </c>
      <c r="S10" s="597" t="s">
        <v>18</v>
      </c>
    </row>
    <row r="11" spans="1:19" ht="15">
      <c r="A11" s="585">
        <v>1</v>
      </c>
      <c r="B11" s="602" t="s">
        <v>488</v>
      </c>
      <c r="C11" s="558"/>
      <c r="D11" s="526"/>
      <c r="E11" s="558"/>
      <c r="F11" s="55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600">
        <f>SUM(G11:R11)</f>
        <v>0</v>
      </c>
    </row>
    <row r="12" spans="1:19" ht="15">
      <c r="A12" s="586">
        <f>+A11+1</f>
        <v>2</v>
      </c>
      <c r="B12" s="603" t="s">
        <v>489</v>
      </c>
      <c r="C12" s="526">
        <v>1020</v>
      </c>
      <c r="D12" s="526">
        <v>5230</v>
      </c>
      <c r="E12" s="558">
        <v>4081</v>
      </c>
      <c r="F12" s="558">
        <v>40801</v>
      </c>
      <c r="G12" s="593">
        <v>59250</v>
      </c>
      <c r="H12" s="593">
        <f>G12</f>
        <v>59250</v>
      </c>
      <c r="I12" s="593">
        <f aca="true" t="shared" si="1" ref="I12:R12">H12</f>
        <v>59250</v>
      </c>
      <c r="J12" s="593">
        <f t="shared" si="1"/>
        <v>59250</v>
      </c>
      <c r="K12" s="593">
        <f t="shared" si="1"/>
        <v>59250</v>
      </c>
      <c r="L12" s="593">
        <f t="shared" si="1"/>
        <v>59250</v>
      </c>
      <c r="M12" s="593">
        <f t="shared" si="1"/>
        <v>59250</v>
      </c>
      <c r="N12" s="593">
        <f t="shared" si="1"/>
        <v>59250</v>
      </c>
      <c r="O12" s="593">
        <f t="shared" si="1"/>
        <v>59250</v>
      </c>
      <c r="P12" s="593">
        <f t="shared" si="1"/>
        <v>59250</v>
      </c>
      <c r="Q12" s="593">
        <f t="shared" si="1"/>
        <v>59250</v>
      </c>
      <c r="R12" s="593">
        <f t="shared" si="1"/>
        <v>59250</v>
      </c>
      <c r="S12" s="590">
        <f aca="true" t="shared" si="2" ref="S12:S42">SUM(G12:R12)</f>
        <v>711000</v>
      </c>
    </row>
    <row r="13" spans="1:19" ht="15">
      <c r="A13" s="586">
        <f aca="true" t="shared" si="3" ref="A13:A45">+A12+1</f>
        <v>3</v>
      </c>
      <c r="B13" s="603" t="s">
        <v>490</v>
      </c>
      <c r="C13" s="558">
        <v>1040</v>
      </c>
      <c r="D13" s="526">
        <v>5230</v>
      </c>
      <c r="E13" s="558">
        <v>4081</v>
      </c>
      <c r="F13" s="558">
        <v>40801</v>
      </c>
      <c r="G13" s="593">
        <v>0</v>
      </c>
      <c r="H13" s="593">
        <f aca="true" t="shared" si="4" ref="H13:R14">G13</f>
        <v>0</v>
      </c>
      <c r="I13" s="593">
        <f t="shared" si="4"/>
        <v>0</v>
      </c>
      <c r="J13" s="593">
        <f t="shared" si="4"/>
        <v>0</v>
      </c>
      <c r="K13" s="593">
        <f t="shared" si="4"/>
        <v>0</v>
      </c>
      <c r="L13" s="593">
        <f t="shared" si="4"/>
        <v>0</v>
      </c>
      <c r="M13" s="593">
        <f t="shared" si="4"/>
        <v>0</v>
      </c>
      <c r="N13" s="593">
        <f t="shared" si="4"/>
        <v>0</v>
      </c>
      <c r="O13" s="593">
        <f t="shared" si="4"/>
        <v>0</v>
      </c>
      <c r="P13" s="593">
        <f t="shared" si="4"/>
        <v>0</v>
      </c>
      <c r="Q13" s="593">
        <f t="shared" si="4"/>
        <v>0</v>
      </c>
      <c r="R13" s="593">
        <f t="shared" si="4"/>
        <v>0</v>
      </c>
      <c r="S13" s="590">
        <f t="shared" si="2"/>
        <v>0</v>
      </c>
    </row>
    <row r="14" spans="1:19" ht="15">
      <c r="A14" s="586">
        <f t="shared" si="3"/>
        <v>4</v>
      </c>
      <c r="B14" s="603" t="s">
        <v>491</v>
      </c>
      <c r="C14" s="558">
        <v>1100</v>
      </c>
      <c r="D14" s="526">
        <v>5230</v>
      </c>
      <c r="E14" s="558">
        <v>4081</v>
      </c>
      <c r="F14" s="558">
        <v>40801</v>
      </c>
      <c r="G14" s="593">
        <v>80900</v>
      </c>
      <c r="H14" s="593">
        <f t="shared" si="4"/>
        <v>80900</v>
      </c>
      <c r="I14" s="593">
        <f t="shared" si="4"/>
        <v>80900</v>
      </c>
      <c r="J14" s="593">
        <f t="shared" si="4"/>
        <v>80900</v>
      </c>
      <c r="K14" s="593">
        <f t="shared" si="4"/>
        <v>80900</v>
      </c>
      <c r="L14" s="593">
        <f t="shared" si="4"/>
        <v>80900</v>
      </c>
      <c r="M14" s="593">
        <f t="shared" si="4"/>
        <v>80900</v>
      </c>
      <c r="N14" s="593">
        <f t="shared" si="4"/>
        <v>80900</v>
      </c>
      <c r="O14" s="593">
        <f t="shared" si="4"/>
        <v>80900</v>
      </c>
      <c r="P14" s="593">
        <f t="shared" si="4"/>
        <v>80900</v>
      </c>
      <c r="Q14" s="593">
        <f t="shared" si="4"/>
        <v>80900</v>
      </c>
      <c r="R14" s="593">
        <f t="shared" si="4"/>
        <v>80900</v>
      </c>
      <c r="S14" s="590">
        <f t="shared" si="2"/>
        <v>970800</v>
      </c>
    </row>
    <row r="15" spans="1:19" ht="15">
      <c r="A15" s="586">
        <f t="shared" si="3"/>
        <v>5</v>
      </c>
      <c r="B15" s="603" t="s">
        <v>492</v>
      </c>
      <c r="C15" s="558">
        <v>1200</v>
      </c>
      <c r="D15" s="526">
        <v>5230</v>
      </c>
      <c r="E15" s="558">
        <v>4081</v>
      </c>
      <c r="F15" s="558">
        <v>40801</v>
      </c>
      <c r="G15" s="593">
        <f>G16+G17</f>
        <v>64475</v>
      </c>
      <c r="H15" s="593">
        <f aca="true" t="shared" si="5" ref="H15:R15">H16+H17</f>
        <v>64475</v>
      </c>
      <c r="I15" s="593">
        <f t="shared" si="5"/>
        <v>64475</v>
      </c>
      <c r="J15" s="593">
        <f t="shared" si="5"/>
        <v>64475</v>
      </c>
      <c r="K15" s="593">
        <f t="shared" si="5"/>
        <v>64475</v>
      </c>
      <c r="L15" s="593">
        <f t="shared" si="5"/>
        <v>64475</v>
      </c>
      <c r="M15" s="593">
        <f t="shared" si="5"/>
        <v>64475</v>
      </c>
      <c r="N15" s="593">
        <f t="shared" si="5"/>
        <v>64475</v>
      </c>
      <c r="O15" s="593">
        <f t="shared" si="5"/>
        <v>64475</v>
      </c>
      <c r="P15" s="593">
        <f t="shared" si="5"/>
        <v>64475</v>
      </c>
      <c r="Q15" s="593">
        <f t="shared" si="5"/>
        <v>64475</v>
      </c>
      <c r="R15" s="593">
        <f t="shared" si="5"/>
        <v>64475</v>
      </c>
      <c r="S15" s="590">
        <f>S16+S17</f>
        <v>773700</v>
      </c>
    </row>
    <row r="16" spans="1:19" ht="15">
      <c r="A16" s="586">
        <f t="shared" si="3"/>
        <v>6</v>
      </c>
      <c r="B16" s="603" t="s">
        <v>493</v>
      </c>
      <c r="C16" s="558"/>
      <c r="D16" s="526"/>
      <c r="E16" s="558"/>
      <c r="F16" s="558"/>
      <c r="G16" s="593">
        <v>725</v>
      </c>
      <c r="H16" s="593">
        <f>G16</f>
        <v>725</v>
      </c>
      <c r="I16" s="593">
        <f aca="true" t="shared" si="6" ref="I16:R18">H16</f>
        <v>725</v>
      </c>
      <c r="J16" s="593">
        <f t="shared" si="6"/>
        <v>725</v>
      </c>
      <c r="K16" s="593">
        <f t="shared" si="6"/>
        <v>725</v>
      </c>
      <c r="L16" s="593">
        <f t="shared" si="6"/>
        <v>725</v>
      </c>
      <c r="M16" s="593">
        <f t="shared" si="6"/>
        <v>725</v>
      </c>
      <c r="N16" s="593">
        <f t="shared" si="6"/>
        <v>725</v>
      </c>
      <c r="O16" s="593">
        <f t="shared" si="6"/>
        <v>725</v>
      </c>
      <c r="P16" s="593">
        <f t="shared" si="6"/>
        <v>725</v>
      </c>
      <c r="Q16" s="593">
        <f t="shared" si="6"/>
        <v>725</v>
      </c>
      <c r="R16" s="593">
        <f t="shared" si="6"/>
        <v>725</v>
      </c>
      <c r="S16" s="590">
        <f>SUM(G16:R16)</f>
        <v>8700</v>
      </c>
    </row>
    <row r="17" spans="1:19" ht="15">
      <c r="A17" s="586">
        <f t="shared" si="3"/>
        <v>7</v>
      </c>
      <c r="B17" s="603" t="s">
        <v>494</v>
      </c>
      <c r="C17" s="558"/>
      <c r="D17" s="526"/>
      <c r="E17" s="558"/>
      <c r="F17" s="558"/>
      <c r="G17" s="593">
        <v>63750</v>
      </c>
      <c r="H17" s="593">
        <f>G17</f>
        <v>63750</v>
      </c>
      <c r="I17" s="593">
        <f t="shared" si="6"/>
        <v>63750</v>
      </c>
      <c r="J17" s="593">
        <f t="shared" si="6"/>
        <v>63750</v>
      </c>
      <c r="K17" s="593">
        <f t="shared" si="6"/>
        <v>63750</v>
      </c>
      <c r="L17" s="593">
        <f t="shared" si="6"/>
        <v>63750</v>
      </c>
      <c r="M17" s="593">
        <f t="shared" si="6"/>
        <v>63750</v>
      </c>
      <c r="N17" s="593">
        <f t="shared" si="6"/>
        <v>63750</v>
      </c>
      <c r="O17" s="593">
        <f t="shared" si="6"/>
        <v>63750</v>
      </c>
      <c r="P17" s="593">
        <f t="shared" si="6"/>
        <v>63750</v>
      </c>
      <c r="Q17" s="593">
        <f t="shared" si="6"/>
        <v>63750</v>
      </c>
      <c r="R17" s="593">
        <f t="shared" si="6"/>
        <v>63750</v>
      </c>
      <c r="S17" s="590">
        <f>SUM(G17:R17)</f>
        <v>765000</v>
      </c>
    </row>
    <row r="18" spans="1:19" ht="15">
      <c r="A18" s="586">
        <f t="shared" si="3"/>
        <v>8</v>
      </c>
      <c r="B18" s="603" t="s">
        <v>495</v>
      </c>
      <c r="C18" s="558">
        <v>1310</v>
      </c>
      <c r="D18" s="526">
        <v>5230</v>
      </c>
      <c r="E18" s="558">
        <v>4081</v>
      </c>
      <c r="F18" s="558">
        <v>40801</v>
      </c>
      <c r="G18" s="593">
        <v>825</v>
      </c>
      <c r="H18" s="593">
        <f>G18</f>
        <v>825</v>
      </c>
      <c r="I18" s="593">
        <f t="shared" si="6"/>
        <v>825</v>
      </c>
      <c r="J18" s="593">
        <f t="shared" si="6"/>
        <v>825</v>
      </c>
      <c r="K18" s="593">
        <f t="shared" si="6"/>
        <v>825</v>
      </c>
      <c r="L18" s="593">
        <f t="shared" si="6"/>
        <v>825</v>
      </c>
      <c r="M18" s="593">
        <f t="shared" si="6"/>
        <v>825</v>
      </c>
      <c r="N18" s="593">
        <f t="shared" si="6"/>
        <v>825</v>
      </c>
      <c r="O18" s="593">
        <f t="shared" si="6"/>
        <v>825</v>
      </c>
      <c r="P18" s="593">
        <f t="shared" si="6"/>
        <v>825</v>
      </c>
      <c r="Q18" s="593">
        <f t="shared" si="6"/>
        <v>825</v>
      </c>
      <c r="R18" s="593">
        <f t="shared" si="6"/>
        <v>825</v>
      </c>
      <c r="S18" s="590">
        <f t="shared" si="2"/>
        <v>9900</v>
      </c>
    </row>
    <row r="19" spans="1:19" ht="15">
      <c r="A19" s="586">
        <f t="shared" si="3"/>
        <v>9</v>
      </c>
      <c r="B19" s="603" t="s">
        <v>496</v>
      </c>
      <c r="C19" s="558">
        <v>1320</v>
      </c>
      <c r="D19" s="526">
        <v>5230</v>
      </c>
      <c r="E19" s="558">
        <v>4081</v>
      </c>
      <c r="F19" s="558">
        <v>40801</v>
      </c>
      <c r="G19" s="593">
        <v>835</v>
      </c>
      <c r="H19" s="593">
        <f aca="true" t="shared" si="7" ref="H19:R30">G19</f>
        <v>835</v>
      </c>
      <c r="I19" s="593">
        <f t="shared" si="7"/>
        <v>835</v>
      </c>
      <c r="J19" s="593">
        <f t="shared" si="7"/>
        <v>835</v>
      </c>
      <c r="K19" s="593">
        <f t="shared" si="7"/>
        <v>835</v>
      </c>
      <c r="L19" s="593">
        <f t="shared" si="7"/>
        <v>835</v>
      </c>
      <c r="M19" s="593">
        <f t="shared" si="7"/>
        <v>835</v>
      </c>
      <c r="N19" s="593">
        <f t="shared" si="7"/>
        <v>835</v>
      </c>
      <c r="O19" s="593">
        <f t="shared" si="7"/>
        <v>835</v>
      </c>
      <c r="P19" s="593">
        <f t="shared" si="7"/>
        <v>835</v>
      </c>
      <c r="Q19" s="593">
        <f t="shared" si="7"/>
        <v>835</v>
      </c>
      <c r="R19" s="593">
        <f t="shared" si="7"/>
        <v>835</v>
      </c>
      <c r="S19" s="590">
        <f t="shared" si="2"/>
        <v>10020</v>
      </c>
    </row>
    <row r="20" spans="1:19" ht="15">
      <c r="A20" s="586">
        <f t="shared" si="3"/>
        <v>10</v>
      </c>
      <c r="B20" s="603" t="s">
        <v>497</v>
      </c>
      <c r="C20" s="558">
        <v>1330</v>
      </c>
      <c r="D20" s="526">
        <v>5230</v>
      </c>
      <c r="E20" s="558">
        <v>4081</v>
      </c>
      <c r="F20" s="558">
        <v>40801</v>
      </c>
      <c r="G20" s="593">
        <v>250</v>
      </c>
      <c r="H20" s="593">
        <f t="shared" si="7"/>
        <v>250</v>
      </c>
      <c r="I20" s="593">
        <f t="shared" si="7"/>
        <v>250</v>
      </c>
      <c r="J20" s="593">
        <f t="shared" si="7"/>
        <v>250</v>
      </c>
      <c r="K20" s="593">
        <f t="shared" si="7"/>
        <v>250</v>
      </c>
      <c r="L20" s="593">
        <f t="shared" si="7"/>
        <v>250</v>
      </c>
      <c r="M20" s="593">
        <f t="shared" si="7"/>
        <v>250</v>
      </c>
      <c r="N20" s="593">
        <f t="shared" si="7"/>
        <v>250</v>
      </c>
      <c r="O20" s="593">
        <f t="shared" si="7"/>
        <v>250</v>
      </c>
      <c r="P20" s="593">
        <f t="shared" si="7"/>
        <v>250</v>
      </c>
      <c r="Q20" s="593">
        <f t="shared" si="7"/>
        <v>250</v>
      </c>
      <c r="R20" s="593">
        <f t="shared" si="7"/>
        <v>250</v>
      </c>
      <c r="S20" s="590">
        <f t="shared" si="2"/>
        <v>3000</v>
      </c>
    </row>
    <row r="21" spans="1:19" ht="15">
      <c r="A21" s="586">
        <f t="shared" si="3"/>
        <v>11</v>
      </c>
      <c r="B21" s="603" t="s">
        <v>498</v>
      </c>
      <c r="C21" s="558">
        <v>1340</v>
      </c>
      <c r="D21" s="526">
        <v>5230</v>
      </c>
      <c r="E21" s="558">
        <v>4081</v>
      </c>
      <c r="F21" s="558">
        <v>40801</v>
      </c>
      <c r="G21" s="593">
        <v>690</v>
      </c>
      <c r="H21" s="593">
        <f t="shared" si="7"/>
        <v>690</v>
      </c>
      <c r="I21" s="593">
        <f t="shared" si="7"/>
        <v>690</v>
      </c>
      <c r="J21" s="593">
        <f t="shared" si="7"/>
        <v>690</v>
      </c>
      <c r="K21" s="593">
        <f t="shared" si="7"/>
        <v>690</v>
      </c>
      <c r="L21" s="593">
        <f t="shared" si="7"/>
        <v>690</v>
      </c>
      <c r="M21" s="593">
        <f t="shared" si="7"/>
        <v>690</v>
      </c>
      <c r="N21" s="593">
        <f t="shared" si="7"/>
        <v>690</v>
      </c>
      <c r="O21" s="593">
        <f t="shared" si="7"/>
        <v>690</v>
      </c>
      <c r="P21" s="593">
        <f t="shared" si="7"/>
        <v>690</v>
      </c>
      <c r="Q21" s="593">
        <f t="shared" si="7"/>
        <v>690</v>
      </c>
      <c r="R21" s="593">
        <f t="shared" si="7"/>
        <v>690</v>
      </c>
      <c r="S21" s="590">
        <f t="shared" si="2"/>
        <v>8280</v>
      </c>
    </row>
    <row r="22" spans="1:19" ht="15">
      <c r="A22" s="586">
        <f t="shared" si="3"/>
        <v>12</v>
      </c>
      <c r="B22" s="603" t="s">
        <v>499</v>
      </c>
      <c r="C22" s="558">
        <v>1350</v>
      </c>
      <c r="D22" s="526">
        <v>5230</v>
      </c>
      <c r="E22" s="558">
        <v>4081</v>
      </c>
      <c r="F22" s="558">
        <v>40801</v>
      </c>
      <c r="G22" s="593">
        <v>850</v>
      </c>
      <c r="H22" s="593">
        <f t="shared" si="7"/>
        <v>850</v>
      </c>
      <c r="I22" s="593">
        <f t="shared" si="7"/>
        <v>850</v>
      </c>
      <c r="J22" s="593">
        <f t="shared" si="7"/>
        <v>850</v>
      </c>
      <c r="K22" s="593">
        <f t="shared" si="7"/>
        <v>850</v>
      </c>
      <c r="L22" s="593">
        <f t="shared" si="7"/>
        <v>850</v>
      </c>
      <c r="M22" s="593">
        <f t="shared" si="7"/>
        <v>850</v>
      </c>
      <c r="N22" s="593">
        <f t="shared" si="7"/>
        <v>850</v>
      </c>
      <c r="O22" s="593">
        <f t="shared" si="7"/>
        <v>850</v>
      </c>
      <c r="P22" s="593">
        <f t="shared" si="7"/>
        <v>850</v>
      </c>
      <c r="Q22" s="593">
        <f t="shared" si="7"/>
        <v>850</v>
      </c>
      <c r="R22" s="593">
        <f t="shared" si="7"/>
        <v>850</v>
      </c>
      <c r="S22" s="590">
        <f t="shared" si="2"/>
        <v>10200</v>
      </c>
    </row>
    <row r="23" spans="1:19" ht="15">
      <c r="A23" s="586">
        <f t="shared" si="3"/>
        <v>13</v>
      </c>
      <c r="B23" s="603" t="s">
        <v>500</v>
      </c>
      <c r="C23" s="558">
        <v>1380</v>
      </c>
      <c r="D23" s="526">
        <v>5230</v>
      </c>
      <c r="E23" s="558">
        <v>4081</v>
      </c>
      <c r="F23" s="558">
        <v>40801</v>
      </c>
      <c r="G23" s="593">
        <v>660</v>
      </c>
      <c r="H23" s="593">
        <f t="shared" si="7"/>
        <v>660</v>
      </c>
      <c r="I23" s="593">
        <f t="shared" si="7"/>
        <v>660</v>
      </c>
      <c r="J23" s="593">
        <f t="shared" si="7"/>
        <v>660</v>
      </c>
      <c r="K23" s="593">
        <f t="shared" si="7"/>
        <v>660</v>
      </c>
      <c r="L23" s="593">
        <f t="shared" si="7"/>
        <v>660</v>
      </c>
      <c r="M23" s="593">
        <f t="shared" si="7"/>
        <v>660</v>
      </c>
      <c r="N23" s="593">
        <f t="shared" si="7"/>
        <v>660</v>
      </c>
      <c r="O23" s="593">
        <f t="shared" si="7"/>
        <v>660</v>
      </c>
      <c r="P23" s="593">
        <f t="shared" si="7"/>
        <v>660</v>
      </c>
      <c r="Q23" s="593">
        <f t="shared" si="7"/>
        <v>660</v>
      </c>
      <c r="R23" s="593">
        <f t="shared" si="7"/>
        <v>660</v>
      </c>
      <c r="S23" s="590">
        <f t="shared" si="2"/>
        <v>7920</v>
      </c>
    </row>
    <row r="24" spans="1:19" ht="15">
      <c r="A24" s="586">
        <f t="shared" si="3"/>
        <v>14</v>
      </c>
      <c r="B24" s="603" t="s">
        <v>501</v>
      </c>
      <c r="C24" s="558">
        <v>1400</v>
      </c>
      <c r="D24" s="526">
        <v>5230</v>
      </c>
      <c r="E24" s="558">
        <v>4081</v>
      </c>
      <c r="F24" s="558">
        <v>40801</v>
      </c>
      <c r="G24" s="593">
        <v>5530</v>
      </c>
      <c r="H24" s="593">
        <f t="shared" si="7"/>
        <v>5530</v>
      </c>
      <c r="I24" s="593">
        <f t="shared" si="7"/>
        <v>5530</v>
      </c>
      <c r="J24" s="593">
        <f t="shared" si="7"/>
        <v>5530</v>
      </c>
      <c r="K24" s="593">
        <f t="shared" si="7"/>
        <v>5530</v>
      </c>
      <c r="L24" s="593">
        <f t="shared" si="7"/>
        <v>5530</v>
      </c>
      <c r="M24" s="593">
        <f t="shared" si="7"/>
        <v>5530</v>
      </c>
      <c r="N24" s="593">
        <f t="shared" si="7"/>
        <v>5530</v>
      </c>
      <c r="O24" s="593">
        <f t="shared" si="7"/>
        <v>5530</v>
      </c>
      <c r="P24" s="593">
        <f t="shared" si="7"/>
        <v>5530</v>
      </c>
      <c r="Q24" s="593">
        <f t="shared" si="7"/>
        <v>5530</v>
      </c>
      <c r="R24" s="593">
        <f t="shared" si="7"/>
        <v>5530</v>
      </c>
      <c r="S24" s="590">
        <f t="shared" si="2"/>
        <v>66360</v>
      </c>
    </row>
    <row r="25" spans="1:19" ht="15">
      <c r="A25" s="586">
        <f t="shared" si="3"/>
        <v>15</v>
      </c>
      <c r="B25" s="603" t="s">
        <v>502</v>
      </c>
      <c r="C25" s="558">
        <v>1410</v>
      </c>
      <c r="D25" s="526">
        <v>5230</v>
      </c>
      <c r="E25" s="558">
        <v>4081</v>
      </c>
      <c r="F25" s="558">
        <v>40801</v>
      </c>
      <c r="G25" s="593">
        <v>2620</v>
      </c>
      <c r="H25" s="593">
        <f t="shared" si="7"/>
        <v>2620</v>
      </c>
      <c r="I25" s="593">
        <f t="shared" si="7"/>
        <v>2620</v>
      </c>
      <c r="J25" s="593">
        <f t="shared" si="7"/>
        <v>2620</v>
      </c>
      <c r="K25" s="593">
        <f t="shared" si="7"/>
        <v>2620</v>
      </c>
      <c r="L25" s="593">
        <f t="shared" si="7"/>
        <v>2620</v>
      </c>
      <c r="M25" s="593">
        <f t="shared" si="7"/>
        <v>2620</v>
      </c>
      <c r="N25" s="593">
        <f t="shared" si="7"/>
        <v>2620</v>
      </c>
      <c r="O25" s="593">
        <f t="shared" si="7"/>
        <v>2620</v>
      </c>
      <c r="P25" s="593">
        <f t="shared" si="7"/>
        <v>2620</v>
      </c>
      <c r="Q25" s="593">
        <f t="shared" si="7"/>
        <v>2620</v>
      </c>
      <c r="R25" s="593">
        <f t="shared" si="7"/>
        <v>2620</v>
      </c>
      <c r="S25" s="590">
        <f t="shared" si="2"/>
        <v>31440</v>
      </c>
    </row>
    <row r="26" spans="1:19" ht="15">
      <c r="A26" s="586">
        <f t="shared" si="3"/>
        <v>16</v>
      </c>
      <c r="B26" s="603" t="s">
        <v>503</v>
      </c>
      <c r="C26" s="558">
        <v>1430</v>
      </c>
      <c r="D26" s="526">
        <v>5230</v>
      </c>
      <c r="E26" s="558">
        <v>4081</v>
      </c>
      <c r="F26" s="558">
        <v>40801</v>
      </c>
      <c r="G26" s="593">
        <v>840</v>
      </c>
      <c r="H26" s="593">
        <f t="shared" si="7"/>
        <v>840</v>
      </c>
      <c r="I26" s="593">
        <f t="shared" si="7"/>
        <v>840</v>
      </c>
      <c r="J26" s="593">
        <f t="shared" si="7"/>
        <v>840</v>
      </c>
      <c r="K26" s="593">
        <f t="shared" si="7"/>
        <v>840</v>
      </c>
      <c r="L26" s="593">
        <f t="shared" si="7"/>
        <v>840</v>
      </c>
      <c r="M26" s="593">
        <f t="shared" si="7"/>
        <v>840</v>
      </c>
      <c r="N26" s="593">
        <f t="shared" si="7"/>
        <v>840</v>
      </c>
      <c r="O26" s="593">
        <f t="shared" si="7"/>
        <v>840</v>
      </c>
      <c r="P26" s="593">
        <f t="shared" si="7"/>
        <v>840</v>
      </c>
      <c r="Q26" s="593">
        <f t="shared" si="7"/>
        <v>840</v>
      </c>
      <c r="R26" s="593">
        <f t="shared" si="7"/>
        <v>840</v>
      </c>
      <c r="S26" s="590">
        <f t="shared" si="2"/>
        <v>10080</v>
      </c>
    </row>
    <row r="27" spans="1:19" ht="15">
      <c r="A27" s="586">
        <f t="shared" si="3"/>
        <v>17</v>
      </c>
      <c r="B27" s="603" t="s">
        <v>504</v>
      </c>
      <c r="C27" s="558">
        <v>1440</v>
      </c>
      <c r="D27" s="526">
        <v>5230</v>
      </c>
      <c r="E27" s="558">
        <v>4081</v>
      </c>
      <c r="F27" s="558">
        <v>40801</v>
      </c>
      <c r="G27" s="593">
        <v>2050</v>
      </c>
      <c r="H27" s="593">
        <f t="shared" si="7"/>
        <v>2050</v>
      </c>
      <c r="I27" s="593">
        <f t="shared" si="7"/>
        <v>2050</v>
      </c>
      <c r="J27" s="593">
        <f t="shared" si="7"/>
        <v>2050</v>
      </c>
      <c r="K27" s="593">
        <f t="shared" si="7"/>
        <v>2050</v>
      </c>
      <c r="L27" s="593">
        <f t="shared" si="7"/>
        <v>2050</v>
      </c>
      <c r="M27" s="593">
        <f t="shared" si="7"/>
        <v>2050</v>
      </c>
      <c r="N27" s="593">
        <f t="shared" si="7"/>
        <v>2050</v>
      </c>
      <c r="O27" s="593">
        <f t="shared" si="7"/>
        <v>2050</v>
      </c>
      <c r="P27" s="593">
        <f t="shared" si="7"/>
        <v>2050</v>
      </c>
      <c r="Q27" s="593">
        <f t="shared" si="7"/>
        <v>2050</v>
      </c>
      <c r="R27" s="593">
        <f t="shared" si="7"/>
        <v>2050</v>
      </c>
      <c r="S27" s="590">
        <f t="shared" si="2"/>
        <v>24600</v>
      </c>
    </row>
    <row r="28" spans="1:19" ht="15">
      <c r="A28" s="586">
        <f t="shared" si="3"/>
        <v>18</v>
      </c>
      <c r="B28" s="603" t="s">
        <v>505</v>
      </c>
      <c r="C28" s="558">
        <v>1500</v>
      </c>
      <c r="D28" s="526">
        <v>5230</v>
      </c>
      <c r="E28" s="558">
        <v>4081</v>
      </c>
      <c r="F28" s="558">
        <v>40801</v>
      </c>
      <c r="G28" s="593">
        <f>G30+G29</f>
        <v>0</v>
      </c>
      <c r="H28" s="593">
        <f>G28</f>
        <v>0</v>
      </c>
      <c r="I28" s="593">
        <f t="shared" si="7"/>
        <v>0</v>
      </c>
      <c r="J28" s="593">
        <f t="shared" si="7"/>
        <v>0</v>
      </c>
      <c r="K28" s="593">
        <f t="shared" si="7"/>
        <v>0</v>
      </c>
      <c r="L28" s="593">
        <f t="shared" si="7"/>
        <v>0</v>
      </c>
      <c r="M28" s="593">
        <f t="shared" si="7"/>
        <v>0</v>
      </c>
      <c r="N28" s="593">
        <f t="shared" si="7"/>
        <v>0</v>
      </c>
      <c r="O28" s="593">
        <f t="shared" si="7"/>
        <v>0</v>
      </c>
      <c r="P28" s="593">
        <f t="shared" si="7"/>
        <v>0</v>
      </c>
      <c r="Q28" s="593">
        <f t="shared" si="7"/>
        <v>0</v>
      </c>
      <c r="R28" s="593">
        <f t="shared" si="7"/>
        <v>0</v>
      </c>
      <c r="S28" s="590">
        <f>SUM(G28:R28)</f>
        <v>0</v>
      </c>
    </row>
    <row r="29" spans="1:19" ht="15">
      <c r="A29" s="586">
        <f t="shared" si="3"/>
        <v>19</v>
      </c>
      <c r="B29" s="603" t="s">
        <v>506</v>
      </c>
      <c r="C29" s="558"/>
      <c r="D29" s="526"/>
      <c r="E29" s="558"/>
      <c r="F29" s="558"/>
      <c r="G29" s="593">
        <v>0</v>
      </c>
      <c r="H29" s="593">
        <f>G29</f>
        <v>0</v>
      </c>
      <c r="I29" s="593">
        <f t="shared" si="7"/>
        <v>0</v>
      </c>
      <c r="J29" s="593">
        <f t="shared" si="7"/>
        <v>0</v>
      </c>
      <c r="K29" s="593">
        <f t="shared" si="7"/>
        <v>0</v>
      </c>
      <c r="L29" s="593">
        <f t="shared" si="7"/>
        <v>0</v>
      </c>
      <c r="M29" s="593">
        <f t="shared" si="7"/>
        <v>0</v>
      </c>
      <c r="N29" s="593">
        <f t="shared" si="7"/>
        <v>0</v>
      </c>
      <c r="O29" s="593">
        <f t="shared" si="7"/>
        <v>0</v>
      </c>
      <c r="P29" s="593">
        <f t="shared" si="7"/>
        <v>0</v>
      </c>
      <c r="Q29" s="593">
        <f t="shared" si="7"/>
        <v>0</v>
      </c>
      <c r="R29" s="593">
        <f t="shared" si="7"/>
        <v>0</v>
      </c>
      <c r="S29" s="590">
        <f t="shared" si="2"/>
        <v>0</v>
      </c>
    </row>
    <row r="30" spans="1:19" ht="15">
      <c r="A30" s="586">
        <f t="shared" si="3"/>
        <v>20</v>
      </c>
      <c r="B30" s="603" t="s">
        <v>507</v>
      </c>
      <c r="C30" s="558"/>
      <c r="D30" s="526"/>
      <c r="E30" s="558"/>
      <c r="F30" s="558"/>
      <c r="G30" s="593">
        <v>0</v>
      </c>
      <c r="H30" s="593">
        <f>G30</f>
        <v>0</v>
      </c>
      <c r="I30" s="593">
        <f t="shared" si="7"/>
        <v>0</v>
      </c>
      <c r="J30" s="593">
        <f t="shared" si="7"/>
        <v>0</v>
      </c>
      <c r="K30" s="593">
        <f t="shared" si="7"/>
        <v>0</v>
      </c>
      <c r="L30" s="593">
        <f t="shared" si="7"/>
        <v>0</v>
      </c>
      <c r="M30" s="593">
        <f t="shared" si="7"/>
        <v>0</v>
      </c>
      <c r="N30" s="593">
        <f t="shared" si="7"/>
        <v>0</v>
      </c>
      <c r="O30" s="593">
        <f t="shared" si="7"/>
        <v>0</v>
      </c>
      <c r="P30" s="593">
        <f t="shared" si="7"/>
        <v>0</v>
      </c>
      <c r="Q30" s="593">
        <f t="shared" si="7"/>
        <v>0</v>
      </c>
      <c r="R30" s="593">
        <f t="shared" si="7"/>
        <v>0</v>
      </c>
      <c r="S30" s="590">
        <f t="shared" si="2"/>
        <v>0</v>
      </c>
    </row>
    <row r="31" spans="1:19" ht="15">
      <c r="A31" s="586">
        <f t="shared" si="3"/>
        <v>21</v>
      </c>
      <c r="B31" s="603" t="s">
        <v>508</v>
      </c>
      <c r="C31" s="558">
        <v>1600</v>
      </c>
      <c r="D31" s="526">
        <v>5230</v>
      </c>
      <c r="E31" s="558">
        <v>4081</v>
      </c>
      <c r="F31" s="558">
        <v>40801</v>
      </c>
      <c r="G31" s="593">
        <v>28055</v>
      </c>
      <c r="H31" s="593">
        <f aca="true" t="shared" si="8" ref="H31:R38">G31</f>
        <v>28055</v>
      </c>
      <c r="I31" s="593">
        <f t="shared" si="8"/>
        <v>28055</v>
      </c>
      <c r="J31" s="593">
        <f t="shared" si="8"/>
        <v>28055</v>
      </c>
      <c r="K31" s="593">
        <f t="shared" si="8"/>
        <v>28055</v>
      </c>
      <c r="L31" s="593">
        <f t="shared" si="8"/>
        <v>28055</v>
      </c>
      <c r="M31" s="593">
        <f t="shared" si="8"/>
        <v>28055</v>
      </c>
      <c r="N31" s="593">
        <f t="shared" si="8"/>
        <v>28055</v>
      </c>
      <c r="O31" s="593">
        <f t="shared" si="8"/>
        <v>28055</v>
      </c>
      <c r="P31" s="593">
        <f t="shared" si="8"/>
        <v>28055</v>
      </c>
      <c r="Q31" s="593">
        <f t="shared" si="8"/>
        <v>28055</v>
      </c>
      <c r="R31" s="593">
        <f t="shared" si="8"/>
        <v>28055</v>
      </c>
      <c r="S31" s="590">
        <f t="shared" si="2"/>
        <v>336660</v>
      </c>
    </row>
    <row r="32" spans="1:19" ht="15">
      <c r="A32" s="586">
        <f t="shared" si="3"/>
        <v>22</v>
      </c>
      <c r="B32" s="603" t="s">
        <v>509</v>
      </c>
      <c r="C32" s="558">
        <v>1610</v>
      </c>
      <c r="D32" s="526">
        <v>5230</v>
      </c>
      <c r="E32" s="558">
        <v>4081</v>
      </c>
      <c r="F32" s="558">
        <v>40801</v>
      </c>
      <c r="G32" s="593">
        <v>51491</v>
      </c>
      <c r="H32" s="593">
        <f t="shared" si="8"/>
        <v>51491</v>
      </c>
      <c r="I32" s="593">
        <f t="shared" si="8"/>
        <v>51491</v>
      </c>
      <c r="J32" s="593">
        <f t="shared" si="8"/>
        <v>51491</v>
      </c>
      <c r="K32" s="593">
        <f t="shared" si="8"/>
        <v>51491</v>
      </c>
      <c r="L32" s="593">
        <f t="shared" si="8"/>
        <v>51491</v>
      </c>
      <c r="M32" s="593">
        <f t="shared" si="8"/>
        <v>51491</v>
      </c>
      <c r="N32" s="593">
        <f t="shared" si="8"/>
        <v>51491</v>
      </c>
      <c r="O32" s="593">
        <f t="shared" si="8"/>
        <v>51491</v>
      </c>
      <c r="P32" s="593">
        <f t="shared" si="8"/>
        <v>51491</v>
      </c>
      <c r="Q32" s="593">
        <f t="shared" si="8"/>
        <v>51491</v>
      </c>
      <c r="R32" s="593">
        <f t="shared" si="8"/>
        <v>51491</v>
      </c>
      <c r="S32" s="590">
        <f t="shared" si="2"/>
        <v>617892</v>
      </c>
    </row>
    <row r="33" spans="1:19" ht="15">
      <c r="A33" s="586">
        <f t="shared" si="3"/>
        <v>23</v>
      </c>
      <c r="B33" s="603" t="s">
        <v>510</v>
      </c>
      <c r="C33" s="558">
        <v>1620</v>
      </c>
      <c r="D33" s="526">
        <v>5230</v>
      </c>
      <c r="E33" s="558">
        <v>4081</v>
      </c>
      <c r="F33" s="558">
        <v>40801</v>
      </c>
      <c r="G33" s="593">
        <v>39974</v>
      </c>
      <c r="H33" s="593">
        <f t="shared" si="8"/>
        <v>39974</v>
      </c>
      <c r="I33" s="593">
        <f t="shared" si="8"/>
        <v>39974</v>
      </c>
      <c r="J33" s="593">
        <f t="shared" si="8"/>
        <v>39974</v>
      </c>
      <c r="K33" s="593">
        <f t="shared" si="8"/>
        <v>39974</v>
      </c>
      <c r="L33" s="593">
        <f t="shared" si="8"/>
        <v>39974</v>
      </c>
      <c r="M33" s="593">
        <f t="shared" si="8"/>
        <v>39974</v>
      </c>
      <c r="N33" s="593">
        <f t="shared" si="8"/>
        <v>39974</v>
      </c>
      <c r="O33" s="593">
        <f t="shared" si="8"/>
        <v>39974</v>
      </c>
      <c r="P33" s="593">
        <f t="shared" si="8"/>
        <v>39974</v>
      </c>
      <c r="Q33" s="593">
        <f t="shared" si="8"/>
        <v>39974</v>
      </c>
      <c r="R33" s="593">
        <f t="shared" si="8"/>
        <v>39974</v>
      </c>
      <c r="S33" s="590">
        <f t="shared" si="2"/>
        <v>479688</v>
      </c>
    </row>
    <row r="34" spans="1:19" ht="15">
      <c r="A34" s="586">
        <f t="shared" si="3"/>
        <v>24</v>
      </c>
      <c r="B34" s="603" t="s">
        <v>511</v>
      </c>
      <c r="C34" s="604" t="s">
        <v>460</v>
      </c>
      <c r="D34" s="526"/>
      <c r="E34" s="558"/>
      <c r="F34" s="558"/>
      <c r="G34" s="593">
        <v>472895</v>
      </c>
      <c r="H34" s="593">
        <f t="shared" si="8"/>
        <v>472895</v>
      </c>
      <c r="I34" s="593">
        <f t="shared" si="8"/>
        <v>472895</v>
      </c>
      <c r="J34" s="593">
        <f t="shared" si="8"/>
        <v>472895</v>
      </c>
      <c r="K34" s="593">
        <f t="shared" si="8"/>
        <v>472895</v>
      </c>
      <c r="L34" s="593">
        <f t="shared" si="8"/>
        <v>472895</v>
      </c>
      <c r="M34" s="593">
        <f t="shared" si="8"/>
        <v>472895</v>
      </c>
      <c r="N34" s="593">
        <f t="shared" si="8"/>
        <v>472895</v>
      </c>
      <c r="O34" s="593">
        <f t="shared" si="8"/>
        <v>472895</v>
      </c>
      <c r="P34" s="593">
        <f t="shared" si="8"/>
        <v>472895</v>
      </c>
      <c r="Q34" s="593">
        <f t="shared" si="8"/>
        <v>472895</v>
      </c>
      <c r="R34" s="593">
        <f t="shared" si="8"/>
        <v>472895</v>
      </c>
      <c r="S34" s="590">
        <f t="shared" si="2"/>
        <v>5674740</v>
      </c>
    </row>
    <row r="35" spans="1:19" ht="15">
      <c r="A35" s="586">
        <f t="shared" si="3"/>
        <v>25</v>
      </c>
      <c r="B35" s="603" t="s">
        <v>512</v>
      </c>
      <c r="C35" s="604" t="s">
        <v>460</v>
      </c>
      <c r="D35" s="526"/>
      <c r="E35" s="558"/>
      <c r="F35" s="558"/>
      <c r="G35" s="593">
        <v>0</v>
      </c>
      <c r="H35" s="593">
        <f t="shared" si="8"/>
        <v>0</v>
      </c>
      <c r="I35" s="593">
        <f t="shared" si="8"/>
        <v>0</v>
      </c>
      <c r="J35" s="593">
        <f t="shared" si="8"/>
        <v>0</v>
      </c>
      <c r="K35" s="593">
        <f t="shared" si="8"/>
        <v>0</v>
      </c>
      <c r="L35" s="593">
        <f t="shared" si="8"/>
        <v>0</v>
      </c>
      <c r="M35" s="593">
        <f t="shared" si="8"/>
        <v>0</v>
      </c>
      <c r="N35" s="593">
        <f t="shared" si="8"/>
        <v>0</v>
      </c>
      <c r="O35" s="593">
        <f t="shared" si="8"/>
        <v>0</v>
      </c>
      <c r="P35" s="593">
        <f t="shared" si="8"/>
        <v>0</v>
      </c>
      <c r="Q35" s="593">
        <f t="shared" si="8"/>
        <v>0</v>
      </c>
      <c r="R35" s="593">
        <f t="shared" si="8"/>
        <v>0</v>
      </c>
      <c r="S35" s="590">
        <f t="shared" si="2"/>
        <v>0</v>
      </c>
    </row>
    <row r="36" spans="1:19" ht="15">
      <c r="A36" s="586">
        <f t="shared" si="3"/>
        <v>26</v>
      </c>
      <c r="B36" s="603" t="s">
        <v>513</v>
      </c>
      <c r="C36" s="604" t="s">
        <v>460</v>
      </c>
      <c r="D36" s="526"/>
      <c r="E36" s="558"/>
      <c r="F36" s="558"/>
      <c r="G36" s="593">
        <v>51800</v>
      </c>
      <c r="H36" s="593">
        <f t="shared" si="8"/>
        <v>51800</v>
      </c>
      <c r="I36" s="593">
        <f t="shared" si="8"/>
        <v>51800</v>
      </c>
      <c r="J36" s="593">
        <f t="shared" si="8"/>
        <v>51800</v>
      </c>
      <c r="K36" s="593">
        <f t="shared" si="8"/>
        <v>51800</v>
      </c>
      <c r="L36" s="593">
        <f t="shared" si="8"/>
        <v>51800</v>
      </c>
      <c r="M36" s="593">
        <f t="shared" si="8"/>
        <v>51800</v>
      </c>
      <c r="N36" s="593">
        <f t="shared" si="8"/>
        <v>51800</v>
      </c>
      <c r="O36" s="593">
        <f t="shared" si="8"/>
        <v>51800</v>
      </c>
      <c r="P36" s="593">
        <f t="shared" si="8"/>
        <v>51800</v>
      </c>
      <c r="Q36" s="593">
        <f t="shared" si="8"/>
        <v>51800</v>
      </c>
      <c r="R36" s="593">
        <f t="shared" si="8"/>
        <v>51800</v>
      </c>
      <c r="S36" s="590">
        <f>SUM(G36:R36)</f>
        <v>621600</v>
      </c>
    </row>
    <row r="37" spans="1:19" ht="15">
      <c r="A37" s="586">
        <f t="shared" si="3"/>
        <v>27</v>
      </c>
      <c r="B37" s="603" t="s">
        <v>514</v>
      </c>
      <c r="C37" s="604" t="s">
        <v>460</v>
      </c>
      <c r="D37" s="526"/>
      <c r="E37" s="558"/>
      <c r="F37" s="558"/>
      <c r="G37" s="593">
        <v>0</v>
      </c>
      <c r="H37" s="593">
        <f t="shared" si="8"/>
        <v>0</v>
      </c>
      <c r="I37" s="593">
        <f t="shared" si="8"/>
        <v>0</v>
      </c>
      <c r="J37" s="593">
        <f t="shared" si="8"/>
        <v>0</v>
      </c>
      <c r="K37" s="593">
        <f t="shared" si="8"/>
        <v>0</v>
      </c>
      <c r="L37" s="593">
        <f t="shared" si="8"/>
        <v>0</v>
      </c>
      <c r="M37" s="593">
        <f t="shared" si="8"/>
        <v>0</v>
      </c>
      <c r="N37" s="593">
        <f t="shared" si="8"/>
        <v>0</v>
      </c>
      <c r="O37" s="593">
        <f t="shared" si="8"/>
        <v>0</v>
      </c>
      <c r="P37" s="593">
        <f t="shared" si="8"/>
        <v>0</v>
      </c>
      <c r="Q37" s="593">
        <f t="shared" si="8"/>
        <v>0</v>
      </c>
      <c r="R37" s="593">
        <f t="shared" si="8"/>
        <v>0</v>
      </c>
      <c r="S37" s="590">
        <f>SUM(G37:R37)</f>
        <v>0</v>
      </c>
    </row>
    <row r="38" spans="1:19" ht="15">
      <c r="A38" s="586">
        <f t="shared" si="3"/>
        <v>28</v>
      </c>
      <c r="B38" s="603" t="s">
        <v>515</v>
      </c>
      <c r="C38" s="604" t="s">
        <v>460</v>
      </c>
      <c r="D38" s="526"/>
      <c r="E38" s="558"/>
      <c r="F38" s="558"/>
      <c r="G38" s="593">
        <v>0</v>
      </c>
      <c r="H38" s="593">
        <f>G38</f>
        <v>0</v>
      </c>
      <c r="I38" s="593">
        <f t="shared" si="8"/>
        <v>0</v>
      </c>
      <c r="J38" s="593">
        <f t="shared" si="8"/>
        <v>0</v>
      </c>
      <c r="K38" s="593">
        <f t="shared" si="8"/>
        <v>0</v>
      </c>
      <c r="L38" s="593">
        <f t="shared" si="8"/>
        <v>0</v>
      </c>
      <c r="M38" s="593">
        <f t="shared" si="8"/>
        <v>0</v>
      </c>
      <c r="N38" s="593">
        <f t="shared" si="8"/>
        <v>0</v>
      </c>
      <c r="O38" s="593">
        <f t="shared" si="8"/>
        <v>0</v>
      </c>
      <c r="P38" s="593">
        <f t="shared" si="8"/>
        <v>0</v>
      </c>
      <c r="Q38" s="593">
        <f t="shared" si="8"/>
        <v>0</v>
      </c>
      <c r="R38" s="593">
        <f t="shared" si="8"/>
        <v>0</v>
      </c>
      <c r="S38" s="590">
        <f>SUM(G38:R38)</f>
        <v>0</v>
      </c>
    </row>
    <row r="39" spans="1:19" ht="15">
      <c r="A39" s="586">
        <f t="shared" si="3"/>
        <v>29</v>
      </c>
      <c r="B39" s="603" t="s">
        <v>516</v>
      </c>
      <c r="C39" s="604" t="s">
        <v>460</v>
      </c>
      <c r="D39" s="526">
        <v>5230</v>
      </c>
      <c r="E39" s="558">
        <v>4081</v>
      </c>
      <c r="F39" s="558">
        <v>40801</v>
      </c>
      <c r="G39" s="593">
        <f>SUM(G34:G38)</f>
        <v>524695</v>
      </c>
      <c r="H39" s="593">
        <f aca="true" t="shared" si="9" ref="H39:R39">SUM(H34:H38)</f>
        <v>524695</v>
      </c>
      <c r="I39" s="593">
        <f t="shared" si="9"/>
        <v>524695</v>
      </c>
      <c r="J39" s="593">
        <f t="shared" si="9"/>
        <v>524695</v>
      </c>
      <c r="K39" s="593">
        <f t="shared" si="9"/>
        <v>524695</v>
      </c>
      <c r="L39" s="593">
        <f t="shared" si="9"/>
        <v>524695</v>
      </c>
      <c r="M39" s="593">
        <f t="shared" si="9"/>
        <v>524695</v>
      </c>
      <c r="N39" s="593">
        <f t="shared" si="9"/>
        <v>524695</v>
      </c>
      <c r="O39" s="593">
        <f t="shared" si="9"/>
        <v>524695</v>
      </c>
      <c r="P39" s="593">
        <f t="shared" si="9"/>
        <v>524695</v>
      </c>
      <c r="Q39" s="593">
        <f t="shared" si="9"/>
        <v>524695</v>
      </c>
      <c r="R39" s="593">
        <f t="shared" si="9"/>
        <v>524695</v>
      </c>
      <c r="S39" s="590">
        <f>SUM(S34:S38)</f>
        <v>6296340</v>
      </c>
    </row>
    <row r="40" spans="1:19" ht="15">
      <c r="A40" s="586">
        <f t="shared" si="3"/>
        <v>30</v>
      </c>
      <c r="B40" s="603" t="s">
        <v>517</v>
      </c>
      <c r="C40" s="558">
        <v>1980</v>
      </c>
      <c r="D40" s="526">
        <v>5230</v>
      </c>
      <c r="E40" s="558">
        <v>4081</v>
      </c>
      <c r="F40" s="558">
        <v>40801</v>
      </c>
      <c r="G40" s="593">
        <v>3840</v>
      </c>
      <c r="H40" s="593">
        <f>G40</f>
        <v>3840</v>
      </c>
      <c r="I40" s="593">
        <f aca="true" t="shared" si="10" ref="I40:R42">H40</f>
        <v>3840</v>
      </c>
      <c r="J40" s="593">
        <f t="shared" si="10"/>
        <v>3840</v>
      </c>
      <c r="K40" s="593">
        <f t="shared" si="10"/>
        <v>3840</v>
      </c>
      <c r="L40" s="593">
        <f t="shared" si="10"/>
        <v>3840</v>
      </c>
      <c r="M40" s="593">
        <f t="shared" si="10"/>
        <v>3840</v>
      </c>
      <c r="N40" s="593">
        <f t="shared" si="10"/>
        <v>3840</v>
      </c>
      <c r="O40" s="593">
        <f t="shared" si="10"/>
        <v>3840</v>
      </c>
      <c r="P40" s="593">
        <f t="shared" si="10"/>
        <v>3840</v>
      </c>
      <c r="Q40" s="593">
        <f t="shared" si="10"/>
        <v>3840</v>
      </c>
      <c r="R40" s="593">
        <f t="shared" si="10"/>
        <v>3840</v>
      </c>
      <c r="S40" s="590">
        <f t="shared" si="2"/>
        <v>46080</v>
      </c>
    </row>
    <row r="41" spans="1:19" ht="15">
      <c r="A41" s="586">
        <f t="shared" si="3"/>
        <v>31</v>
      </c>
      <c r="B41" s="603" t="s">
        <v>518</v>
      </c>
      <c r="C41" s="558">
        <v>1990</v>
      </c>
      <c r="D41" s="526">
        <v>5230</v>
      </c>
      <c r="E41" s="558">
        <v>4081</v>
      </c>
      <c r="F41" s="558">
        <v>40801</v>
      </c>
      <c r="G41" s="593">
        <v>1050</v>
      </c>
      <c r="H41" s="593">
        <f>G41</f>
        <v>1050</v>
      </c>
      <c r="I41" s="593">
        <f t="shared" si="10"/>
        <v>1050</v>
      </c>
      <c r="J41" s="593">
        <f t="shared" si="10"/>
        <v>1050</v>
      </c>
      <c r="K41" s="593">
        <f t="shared" si="10"/>
        <v>1050</v>
      </c>
      <c r="L41" s="593">
        <f t="shared" si="10"/>
        <v>1050</v>
      </c>
      <c r="M41" s="593">
        <f t="shared" si="10"/>
        <v>1050</v>
      </c>
      <c r="N41" s="593">
        <f t="shared" si="10"/>
        <v>1050</v>
      </c>
      <c r="O41" s="593">
        <f t="shared" si="10"/>
        <v>1050</v>
      </c>
      <c r="P41" s="593">
        <f t="shared" si="10"/>
        <v>1050</v>
      </c>
      <c r="Q41" s="593">
        <f t="shared" si="10"/>
        <v>1050</v>
      </c>
      <c r="R41" s="593">
        <f t="shared" si="10"/>
        <v>1050</v>
      </c>
      <c r="S41" s="590">
        <f t="shared" si="2"/>
        <v>12600</v>
      </c>
    </row>
    <row r="42" spans="1:19" ht="15">
      <c r="A42" s="586">
        <f t="shared" si="3"/>
        <v>32</v>
      </c>
      <c r="B42" s="602" t="s">
        <v>519</v>
      </c>
      <c r="C42" s="604" t="s">
        <v>460</v>
      </c>
      <c r="D42" s="526">
        <v>5230</v>
      </c>
      <c r="E42" s="558">
        <v>4082</v>
      </c>
      <c r="F42" s="558">
        <v>40802</v>
      </c>
      <c r="G42" s="599">
        <v>640</v>
      </c>
      <c r="H42" s="599">
        <f>G42</f>
        <v>640</v>
      </c>
      <c r="I42" s="599">
        <f t="shared" si="10"/>
        <v>640</v>
      </c>
      <c r="J42" s="599">
        <f t="shared" si="10"/>
        <v>640</v>
      </c>
      <c r="K42" s="599">
        <f t="shared" si="10"/>
        <v>640</v>
      </c>
      <c r="L42" s="599">
        <f t="shared" si="10"/>
        <v>640</v>
      </c>
      <c r="M42" s="599">
        <f t="shared" si="10"/>
        <v>640</v>
      </c>
      <c r="N42" s="599">
        <f t="shared" si="10"/>
        <v>640</v>
      </c>
      <c r="O42" s="599">
        <f t="shared" si="10"/>
        <v>640</v>
      </c>
      <c r="P42" s="599">
        <f t="shared" si="10"/>
        <v>640</v>
      </c>
      <c r="Q42" s="599">
        <f t="shared" si="10"/>
        <v>640</v>
      </c>
      <c r="R42" s="599">
        <f t="shared" si="10"/>
        <v>640</v>
      </c>
      <c r="S42" s="601">
        <f t="shared" si="2"/>
        <v>7680</v>
      </c>
    </row>
    <row r="43" spans="1:19" ht="15">
      <c r="A43" s="586">
        <f t="shared" si="3"/>
        <v>33</v>
      </c>
      <c r="B43" s="583" t="s">
        <v>520</v>
      </c>
      <c r="C43" s="589"/>
      <c r="D43" s="526"/>
      <c r="E43" s="526"/>
      <c r="G43" s="640">
        <f>G12+G13+G14+G15+G18+G19+G20+G21+G22+G23+G24+G25+G26+G27+G28+G31+G32+G33+G39+G40+G41</f>
        <v>868880</v>
      </c>
      <c r="H43" s="640">
        <f aca="true" t="shared" si="11" ref="H43:R43">H12+H13+H14+H15+H18+H19+H20+H21+H22+H23+H24+H25+H26+H27+H28+H31+H32+H33+H39+H40+H41</f>
        <v>868880</v>
      </c>
      <c r="I43" s="640">
        <f t="shared" si="11"/>
        <v>868880</v>
      </c>
      <c r="J43" s="640">
        <f t="shared" si="11"/>
        <v>868880</v>
      </c>
      <c r="K43" s="640">
        <f t="shared" si="11"/>
        <v>868880</v>
      </c>
      <c r="L43" s="640">
        <f t="shared" si="11"/>
        <v>868880</v>
      </c>
      <c r="M43" s="640">
        <f t="shared" si="11"/>
        <v>868880</v>
      </c>
      <c r="N43" s="640">
        <f t="shared" si="11"/>
        <v>868880</v>
      </c>
      <c r="O43" s="640">
        <f t="shared" si="11"/>
        <v>868880</v>
      </c>
      <c r="P43" s="640">
        <f t="shared" si="11"/>
        <v>868880</v>
      </c>
      <c r="Q43" s="640">
        <f t="shared" si="11"/>
        <v>868880</v>
      </c>
      <c r="R43" s="640">
        <f t="shared" si="11"/>
        <v>868880</v>
      </c>
      <c r="S43" s="658">
        <f>S12+S13+S14+S15+S18+S19+S20+S21+S22+S23+S24+S25+S26+S27+S28+S31+S32+S33+S39+S40+S41</f>
        <v>10426560</v>
      </c>
    </row>
    <row r="44" spans="1:19" ht="15">
      <c r="A44" s="586">
        <f t="shared" si="3"/>
        <v>34</v>
      </c>
      <c r="B44" s="563" t="s">
        <v>571</v>
      </c>
      <c r="C44" s="589"/>
      <c r="D44" s="526"/>
      <c r="E44" s="526"/>
      <c r="F44" s="583"/>
      <c r="G44" s="639"/>
      <c r="H44" s="639"/>
      <c r="I44" s="639"/>
      <c r="J44" s="639"/>
      <c r="K44" s="639"/>
      <c r="L44" s="639"/>
      <c r="M44" s="639"/>
      <c r="N44" s="639"/>
      <c r="O44" s="639"/>
      <c r="P44" s="639"/>
      <c r="Q44" s="639"/>
      <c r="R44" s="639"/>
      <c r="S44" s="656">
        <f>+S17</f>
        <v>765000</v>
      </c>
    </row>
    <row r="45" spans="1:19" ht="15.75" thickBot="1">
      <c r="A45" s="586">
        <f t="shared" si="3"/>
        <v>35</v>
      </c>
      <c r="B45" s="569" t="s">
        <v>572</v>
      </c>
      <c r="C45" s="589"/>
      <c r="D45" s="526"/>
      <c r="E45" s="526"/>
      <c r="F45" s="583"/>
      <c r="G45" s="639"/>
      <c r="H45" s="639"/>
      <c r="I45" s="639"/>
      <c r="J45" s="639"/>
      <c r="K45" s="639"/>
      <c r="L45" s="639"/>
      <c r="M45" s="639"/>
      <c r="N45" s="639"/>
      <c r="O45" s="639"/>
      <c r="P45" s="639"/>
      <c r="Q45" s="639"/>
      <c r="R45" s="639"/>
      <c r="S45" s="657">
        <f>+S43-S44</f>
        <v>9661560</v>
      </c>
    </row>
    <row r="46" spans="1:19" ht="15.75" thickTop="1">
      <c r="A46" s="587"/>
      <c r="B46" s="578"/>
      <c r="C46" s="591"/>
      <c r="D46" s="591"/>
      <c r="E46" s="591"/>
      <c r="F46" s="591"/>
      <c r="G46" s="579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80"/>
    </row>
    <row r="47" spans="1:19" ht="15">
      <c r="A47" s="589"/>
      <c r="B47" s="570"/>
      <c r="C47" s="589"/>
      <c r="D47" s="589"/>
      <c r="E47" s="589"/>
      <c r="F47" s="589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</row>
  </sheetData>
  <sheetProtection/>
  <mergeCells count="3">
    <mergeCell ref="A3:S3"/>
    <mergeCell ref="A4:S4"/>
    <mergeCell ref="A5:S5"/>
  </mergeCells>
  <printOptions horizontalCentered="1"/>
  <pageMargins left="0.75" right="0.75" top="0.75" bottom="0.75" header="0.5" footer="0.5"/>
  <pageSetup fitToHeight="1" fitToWidth="1" horizontalDpi="600" verticalDpi="600" orientation="landscape" scale="59" r:id="rId1"/>
  <headerFooter>
    <oddHeader>&amp;R&amp;"Arial,Regular"&amp;10Attachment O Work Paper
Page 14 of 20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C21"/>
  <sheetViews>
    <sheetView showGridLines="0" zoomScalePageLayoutView="0" workbookViewId="0" topLeftCell="A1">
      <selection activeCell="H30" sqref="H30"/>
    </sheetView>
  </sheetViews>
  <sheetFormatPr defaultColWidth="11.77734375" defaultRowHeight="15"/>
  <cols>
    <col min="1" max="1" width="3.4453125" style="81" bestFit="1" customWidth="1"/>
    <col min="2" max="2" width="29.21484375" style="83" customWidth="1"/>
    <col min="3" max="3" width="11.77734375" style="83" customWidth="1"/>
    <col min="4" max="250" width="8.88671875" style="83" customWidth="1"/>
    <col min="251" max="251" width="3.4453125" style="83" bestFit="1" customWidth="1"/>
    <col min="252" max="252" width="29.21484375" style="83" customWidth="1"/>
    <col min="253" max="16384" width="11.77734375" style="83" customWidth="1"/>
  </cols>
  <sheetData>
    <row r="1" spans="2:3" ht="12.75">
      <c r="B1" s="82"/>
      <c r="C1" s="84"/>
    </row>
    <row r="2" spans="2:3" ht="12.75">
      <c r="B2" s="85"/>
      <c r="C2" s="84"/>
    </row>
    <row r="3" spans="1:3" ht="12.75" customHeight="1">
      <c r="A3" s="727" t="s">
        <v>0</v>
      </c>
      <c r="B3" s="728"/>
      <c r="C3" s="728"/>
    </row>
    <row r="4" spans="1:3" ht="12.75" customHeight="1">
      <c r="A4" s="727" t="s">
        <v>382</v>
      </c>
      <c r="B4" s="728"/>
      <c r="C4" s="728"/>
    </row>
    <row r="5" spans="1:3" ht="12.75" customHeight="1">
      <c r="A5" s="729" t="s">
        <v>79</v>
      </c>
      <c r="B5" s="729"/>
      <c r="C5" s="729"/>
    </row>
    <row r="6" spans="2:3" ht="12.75">
      <c r="B6" s="87"/>
      <c r="C6" s="89"/>
    </row>
    <row r="7" spans="2:3" ht="12.75">
      <c r="B7" s="90" t="s">
        <v>2</v>
      </c>
      <c r="C7" s="81" t="s">
        <v>3</v>
      </c>
    </row>
    <row r="8" ht="12.75">
      <c r="C8" s="86"/>
    </row>
    <row r="9" spans="1:3" ht="25.5">
      <c r="A9" s="91" t="s">
        <v>43</v>
      </c>
      <c r="B9" s="92" t="s">
        <v>382</v>
      </c>
      <c r="C9" s="94" t="s">
        <v>383</v>
      </c>
    </row>
    <row r="10" spans="1:3" ht="12.75">
      <c r="A10" s="95">
        <v>1</v>
      </c>
      <c r="B10" s="263" t="s">
        <v>384</v>
      </c>
      <c r="C10" s="101">
        <v>926174</v>
      </c>
    </row>
    <row r="11" spans="1:3" ht="12.75">
      <c r="A11" s="95">
        <f>A10+1</f>
        <v>2</v>
      </c>
      <c r="B11" s="99"/>
      <c r="C11" s="101"/>
    </row>
    <row r="12" spans="1:3" ht="12.75">
      <c r="A12" s="95">
        <f>A11+1</f>
        <v>3</v>
      </c>
      <c r="B12" s="99" t="s">
        <v>385</v>
      </c>
      <c r="C12" s="116">
        <v>1578715</v>
      </c>
    </row>
    <row r="13" spans="1:3" ht="12.75">
      <c r="A13" s="95">
        <f>A12+1</f>
        <v>4</v>
      </c>
      <c r="B13" s="99"/>
      <c r="C13" s="107"/>
    </row>
    <row r="14" spans="1:3" ht="13.5" thickBot="1">
      <c r="A14" s="95">
        <f>A13+1</f>
        <v>5</v>
      </c>
      <c r="B14" s="96" t="s">
        <v>18</v>
      </c>
      <c r="C14" s="636">
        <f>+C10+C12</f>
        <v>2504889</v>
      </c>
    </row>
    <row r="15" spans="1:3" ht="13.5" thickTop="1">
      <c r="A15" s="113"/>
      <c r="B15" s="114"/>
      <c r="C15" s="116"/>
    </row>
    <row r="16" spans="1:3" ht="12.75">
      <c r="A16" s="83"/>
      <c r="C16" s="117"/>
    </row>
    <row r="17" ht="12.75">
      <c r="C17" s="97"/>
    </row>
    <row r="19" ht="12.75">
      <c r="C19" s="97"/>
    </row>
    <row r="20" ht="12.75">
      <c r="C20" s="97"/>
    </row>
    <row r="21" ht="12.75">
      <c r="C21" s="97"/>
    </row>
  </sheetData>
  <sheetProtection/>
  <mergeCells count="3">
    <mergeCell ref="A3:C3"/>
    <mergeCell ref="A4:C4"/>
    <mergeCell ref="A5:C5"/>
  </mergeCells>
  <printOptions horizontalCentered="1"/>
  <pageMargins left="0.75" right="0.75" top="0.75" bottom="0.75" header="0.5" footer="0.5"/>
  <pageSetup horizontalDpi="600" verticalDpi="600" orientation="portrait" scale="80" r:id="rId1"/>
  <headerFooter alignWithMargins="0">
    <oddHeader>&amp;R&amp;"Arial,Regular"&amp;10Attachment O Work Paper
Page 15 of 20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8"/>
  <sheetViews>
    <sheetView showGridLines="0" zoomScalePageLayoutView="0" workbookViewId="0" topLeftCell="A37">
      <selection activeCell="A3" sqref="A3:K3"/>
    </sheetView>
  </sheetViews>
  <sheetFormatPr defaultColWidth="8.88671875" defaultRowHeight="15"/>
  <cols>
    <col min="1" max="1" width="3.4453125" style="582" bestFit="1" customWidth="1"/>
    <col min="2" max="10" width="6.77734375" style="582" customWidth="1"/>
    <col min="11" max="11" width="9.99609375" style="559" bestFit="1" customWidth="1"/>
    <col min="12" max="12" width="2.4453125" style="559" bestFit="1" customWidth="1"/>
    <col min="13" max="13" width="9.99609375" style="559" bestFit="1" customWidth="1"/>
    <col min="14" max="16384" width="8.88671875" style="559" customWidth="1"/>
  </cols>
  <sheetData>
    <row r="2" spans="1:11" ht="12.75">
      <c r="A2" s="727" t="s">
        <v>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</row>
    <row r="3" spans="1:11" ht="12.75">
      <c r="A3" s="727" t="s">
        <v>557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</row>
    <row r="4" spans="1:11" ht="12.75">
      <c r="A4" s="729" t="s">
        <v>79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6" spans="2:11" ht="12.75">
      <c r="B6" s="581" t="s">
        <v>2</v>
      </c>
      <c r="C6" s="582" t="s">
        <v>3</v>
      </c>
      <c r="D6" s="582" t="s">
        <v>4</v>
      </c>
      <c r="E6" s="582" t="s">
        <v>5</v>
      </c>
      <c r="F6" s="582" t="s">
        <v>6</v>
      </c>
      <c r="G6" s="582" t="s">
        <v>8</v>
      </c>
      <c r="H6" s="582" t="s">
        <v>7</v>
      </c>
      <c r="I6" s="582" t="s">
        <v>34</v>
      </c>
      <c r="J6" s="582" t="s">
        <v>35</v>
      </c>
      <c r="K6" s="582" t="s">
        <v>36</v>
      </c>
    </row>
    <row r="8" spans="1:11" ht="12.75">
      <c r="A8" s="585" t="s">
        <v>9</v>
      </c>
      <c r="B8" s="588"/>
      <c r="C8" s="594"/>
      <c r="D8" s="594"/>
      <c r="E8" s="594"/>
      <c r="F8" s="594"/>
      <c r="G8" s="594"/>
      <c r="H8" s="594"/>
      <c r="I8" s="594"/>
      <c r="J8" s="594"/>
      <c r="K8" s="635"/>
    </row>
    <row r="9" spans="1:11" ht="12.75">
      <c r="A9" s="587" t="s">
        <v>11</v>
      </c>
      <c r="B9" s="618" t="s">
        <v>542</v>
      </c>
      <c r="C9" s="619" t="s">
        <v>546</v>
      </c>
      <c r="D9" s="619" t="s">
        <v>435</v>
      </c>
      <c r="E9" s="619" t="s">
        <v>436</v>
      </c>
      <c r="F9" s="619" t="s">
        <v>543</v>
      </c>
      <c r="G9" s="619" t="s">
        <v>437</v>
      </c>
      <c r="H9" s="619" t="s">
        <v>544</v>
      </c>
      <c r="I9" s="619" t="s">
        <v>545</v>
      </c>
      <c r="J9" s="619" t="s">
        <v>37</v>
      </c>
      <c r="K9" s="620" t="s">
        <v>18</v>
      </c>
    </row>
    <row r="10" spans="1:11" ht="12.75">
      <c r="A10" s="585">
        <v>1</v>
      </c>
      <c r="B10" s="612">
        <v>2010</v>
      </c>
      <c r="C10" s="613" t="s">
        <v>440</v>
      </c>
      <c r="D10" s="613" t="s">
        <v>525</v>
      </c>
      <c r="E10" s="613" t="s">
        <v>521</v>
      </c>
      <c r="F10" s="613" t="s">
        <v>449</v>
      </c>
      <c r="G10" s="613" t="s">
        <v>450</v>
      </c>
      <c r="H10" s="613" t="s">
        <v>455</v>
      </c>
      <c r="I10" s="613" t="s">
        <v>446</v>
      </c>
      <c r="J10" s="613" t="s">
        <v>529</v>
      </c>
      <c r="K10" s="621">
        <v>74245.44</v>
      </c>
    </row>
    <row r="11" spans="1:11" ht="12.75">
      <c r="A11" s="586">
        <f>+A10+1</f>
        <v>2</v>
      </c>
      <c r="B11" s="614">
        <v>2010</v>
      </c>
      <c r="C11" s="615" t="s">
        <v>440</v>
      </c>
      <c r="D11" s="615" t="s">
        <v>525</v>
      </c>
      <c r="E11" s="615" t="s">
        <v>521</v>
      </c>
      <c r="F11" s="615" t="s">
        <v>449</v>
      </c>
      <c r="G11" s="615" t="s">
        <v>450</v>
      </c>
      <c r="H11" s="615" t="s">
        <v>523</v>
      </c>
      <c r="I11" s="615" t="s">
        <v>446</v>
      </c>
      <c r="J11" s="615" t="s">
        <v>529</v>
      </c>
      <c r="K11" s="622">
        <v>2458.560000000001</v>
      </c>
    </row>
    <row r="12" spans="1:11" ht="12.75">
      <c r="A12" s="586">
        <f aca="true" t="shared" si="0" ref="A12:A75">+A11+1</f>
        <v>3</v>
      </c>
      <c r="B12" s="614">
        <v>2010</v>
      </c>
      <c r="C12" s="615" t="s">
        <v>440</v>
      </c>
      <c r="D12" s="615" t="s">
        <v>525</v>
      </c>
      <c r="E12" s="615" t="s">
        <v>521</v>
      </c>
      <c r="F12" s="615" t="s">
        <v>443</v>
      </c>
      <c r="G12" s="615" t="s">
        <v>457</v>
      </c>
      <c r="H12" s="615" t="s">
        <v>455</v>
      </c>
      <c r="I12" s="615" t="s">
        <v>446</v>
      </c>
      <c r="J12" s="615" t="s">
        <v>529</v>
      </c>
      <c r="K12" s="624">
        <v>180</v>
      </c>
    </row>
    <row r="13" spans="1:13" ht="12.75">
      <c r="A13" s="586">
        <f t="shared" si="0"/>
        <v>4</v>
      </c>
      <c r="B13" s="614"/>
      <c r="C13" s="615"/>
      <c r="D13" s="615"/>
      <c r="E13" s="615"/>
      <c r="F13" s="615"/>
      <c r="G13" s="615"/>
      <c r="H13" s="615"/>
      <c r="I13" s="615"/>
      <c r="J13" s="615"/>
      <c r="K13" s="622">
        <f>+SUM(K10:K12)</f>
        <v>76884</v>
      </c>
      <c r="M13" s="625"/>
    </row>
    <row r="14" spans="1:11" ht="12.75">
      <c r="A14" s="586">
        <f t="shared" si="0"/>
        <v>5</v>
      </c>
      <c r="B14" s="614"/>
      <c r="C14" s="615"/>
      <c r="D14" s="615"/>
      <c r="E14" s="615"/>
      <c r="F14" s="615"/>
      <c r="G14" s="615"/>
      <c r="H14" s="615"/>
      <c r="I14" s="615"/>
      <c r="J14" s="615"/>
      <c r="K14" s="616"/>
    </row>
    <row r="15" spans="1:11" ht="12.75">
      <c r="A15" s="617">
        <f t="shared" si="0"/>
        <v>6</v>
      </c>
      <c r="B15" s="626">
        <v>2010</v>
      </c>
      <c r="C15" s="615" t="s">
        <v>440</v>
      </c>
      <c r="D15" s="615" t="s">
        <v>441</v>
      </c>
      <c r="E15" s="615" t="s">
        <v>521</v>
      </c>
      <c r="F15" s="615" t="s">
        <v>522</v>
      </c>
      <c r="G15" s="615" t="s">
        <v>460</v>
      </c>
      <c r="H15" s="615" t="s">
        <v>523</v>
      </c>
      <c r="I15" s="615" t="s">
        <v>446</v>
      </c>
      <c r="J15" s="615" t="s">
        <v>524</v>
      </c>
      <c r="K15" s="627">
        <v>-139.44000000000003</v>
      </c>
    </row>
    <row r="16" spans="1:11" ht="12.75">
      <c r="A16" s="617">
        <f t="shared" si="0"/>
        <v>7</v>
      </c>
      <c r="B16" s="626">
        <v>2010</v>
      </c>
      <c r="C16" s="615" t="s">
        <v>440</v>
      </c>
      <c r="D16" s="615" t="s">
        <v>525</v>
      </c>
      <c r="E16" s="615" t="s">
        <v>526</v>
      </c>
      <c r="F16" s="615" t="s">
        <v>449</v>
      </c>
      <c r="G16" s="615" t="s">
        <v>527</v>
      </c>
      <c r="H16" s="615" t="s">
        <v>523</v>
      </c>
      <c r="I16" s="615" t="s">
        <v>446</v>
      </c>
      <c r="J16" s="615" t="s">
        <v>524</v>
      </c>
      <c r="K16" s="627">
        <v>24216</v>
      </c>
    </row>
    <row r="17" spans="1:11" ht="12.75">
      <c r="A17" s="617">
        <f t="shared" si="0"/>
        <v>8</v>
      </c>
      <c r="B17" s="626">
        <v>2010</v>
      </c>
      <c r="C17" s="615" t="s">
        <v>440</v>
      </c>
      <c r="D17" s="615" t="s">
        <v>525</v>
      </c>
      <c r="E17" s="615" t="s">
        <v>526</v>
      </c>
      <c r="F17" s="615" t="s">
        <v>449</v>
      </c>
      <c r="G17" s="615" t="s">
        <v>528</v>
      </c>
      <c r="H17" s="615" t="s">
        <v>523</v>
      </c>
      <c r="I17" s="615" t="s">
        <v>446</v>
      </c>
      <c r="J17" s="615" t="s">
        <v>524</v>
      </c>
      <c r="K17" s="627">
        <v>-24216</v>
      </c>
    </row>
    <row r="18" spans="1:11" ht="12.75">
      <c r="A18" s="617">
        <f t="shared" si="0"/>
        <v>9</v>
      </c>
      <c r="B18" s="626">
        <v>2010</v>
      </c>
      <c r="C18" s="615" t="s">
        <v>440</v>
      </c>
      <c r="D18" s="615" t="s">
        <v>525</v>
      </c>
      <c r="E18" s="615" t="s">
        <v>521</v>
      </c>
      <c r="F18" s="615" t="s">
        <v>449</v>
      </c>
      <c r="G18" s="615" t="s">
        <v>450</v>
      </c>
      <c r="H18" s="615" t="s">
        <v>455</v>
      </c>
      <c r="I18" s="615" t="s">
        <v>446</v>
      </c>
      <c r="J18" s="615" t="s">
        <v>524</v>
      </c>
      <c r="K18" s="627">
        <v>961595.1500000001</v>
      </c>
    </row>
    <row r="19" spans="1:11" ht="12.75">
      <c r="A19" s="617">
        <f t="shared" si="0"/>
        <v>10</v>
      </c>
      <c r="B19" s="626">
        <v>2010</v>
      </c>
      <c r="C19" s="615" t="s">
        <v>440</v>
      </c>
      <c r="D19" s="615" t="s">
        <v>525</v>
      </c>
      <c r="E19" s="615" t="s">
        <v>521</v>
      </c>
      <c r="F19" s="615" t="s">
        <v>449</v>
      </c>
      <c r="G19" s="615" t="s">
        <v>450</v>
      </c>
      <c r="H19" s="615" t="s">
        <v>523</v>
      </c>
      <c r="I19" s="615" t="s">
        <v>446</v>
      </c>
      <c r="J19" s="615" t="s">
        <v>524</v>
      </c>
      <c r="K19" s="627">
        <v>444883.9600000001</v>
      </c>
    </row>
    <row r="20" spans="1:11" ht="12.75">
      <c r="A20" s="617">
        <f t="shared" si="0"/>
        <v>11</v>
      </c>
      <c r="B20" s="626">
        <v>2010</v>
      </c>
      <c r="C20" s="615" t="s">
        <v>440</v>
      </c>
      <c r="D20" s="615" t="s">
        <v>525</v>
      </c>
      <c r="E20" s="615" t="s">
        <v>521</v>
      </c>
      <c r="F20" s="615" t="s">
        <v>449</v>
      </c>
      <c r="G20" s="615" t="s">
        <v>450</v>
      </c>
      <c r="H20" s="615" t="s">
        <v>530</v>
      </c>
      <c r="I20" s="615" t="s">
        <v>446</v>
      </c>
      <c r="J20" s="615" t="s">
        <v>524</v>
      </c>
      <c r="K20" s="627">
        <v>21110.469999999998</v>
      </c>
    </row>
    <row r="21" spans="1:11" ht="12.75">
      <c r="A21" s="617">
        <f t="shared" si="0"/>
        <v>12</v>
      </c>
      <c r="B21" s="626">
        <v>2010</v>
      </c>
      <c r="C21" s="615" t="s">
        <v>440</v>
      </c>
      <c r="D21" s="615" t="s">
        <v>525</v>
      </c>
      <c r="E21" s="615" t="s">
        <v>521</v>
      </c>
      <c r="F21" s="615" t="s">
        <v>449</v>
      </c>
      <c r="G21" s="615" t="s">
        <v>450</v>
      </c>
      <c r="H21" s="615" t="s">
        <v>531</v>
      </c>
      <c r="I21" s="615" t="s">
        <v>446</v>
      </c>
      <c r="J21" s="615" t="s">
        <v>524</v>
      </c>
      <c r="K21" s="627">
        <v>636208.99</v>
      </c>
    </row>
    <row r="22" spans="1:11" ht="12.75">
      <c r="A22" s="617">
        <f t="shared" si="0"/>
        <v>13</v>
      </c>
      <c r="B22" s="626">
        <v>2010</v>
      </c>
      <c r="C22" s="615" t="s">
        <v>440</v>
      </c>
      <c r="D22" s="615" t="s">
        <v>525</v>
      </c>
      <c r="E22" s="615" t="s">
        <v>521</v>
      </c>
      <c r="F22" s="615" t="s">
        <v>449</v>
      </c>
      <c r="G22" s="615" t="s">
        <v>450</v>
      </c>
      <c r="H22" s="615" t="s">
        <v>532</v>
      </c>
      <c r="I22" s="615" t="s">
        <v>446</v>
      </c>
      <c r="J22" s="615" t="s">
        <v>524</v>
      </c>
      <c r="K22" s="627">
        <v>345808.43</v>
      </c>
    </row>
    <row r="23" spans="1:11" ht="12.75">
      <c r="A23" s="617">
        <f t="shared" si="0"/>
        <v>14</v>
      </c>
      <c r="B23" s="626">
        <v>2010</v>
      </c>
      <c r="C23" s="615" t="s">
        <v>440</v>
      </c>
      <c r="D23" s="615" t="s">
        <v>525</v>
      </c>
      <c r="E23" s="615" t="s">
        <v>521</v>
      </c>
      <c r="F23" s="615" t="s">
        <v>449</v>
      </c>
      <c r="G23" s="615" t="s">
        <v>533</v>
      </c>
      <c r="H23" s="615" t="s">
        <v>455</v>
      </c>
      <c r="I23" s="615" t="s">
        <v>446</v>
      </c>
      <c r="J23" s="615" t="s">
        <v>524</v>
      </c>
      <c r="K23" s="627">
        <v>13808.519999999997</v>
      </c>
    </row>
    <row r="24" spans="1:11" ht="12.75">
      <c r="A24" s="617">
        <f t="shared" si="0"/>
        <v>15</v>
      </c>
      <c r="B24" s="626">
        <v>2010</v>
      </c>
      <c r="C24" s="615" t="s">
        <v>440</v>
      </c>
      <c r="D24" s="615" t="s">
        <v>525</v>
      </c>
      <c r="E24" s="615" t="s">
        <v>521</v>
      </c>
      <c r="F24" s="615" t="s">
        <v>449</v>
      </c>
      <c r="G24" s="615" t="s">
        <v>533</v>
      </c>
      <c r="H24" s="615" t="s">
        <v>523</v>
      </c>
      <c r="I24" s="615" t="s">
        <v>446</v>
      </c>
      <c r="J24" s="615" t="s">
        <v>524</v>
      </c>
      <c r="K24" s="627">
        <v>10279.92</v>
      </c>
    </row>
    <row r="25" spans="1:11" ht="12.75">
      <c r="A25" s="617">
        <f t="shared" si="0"/>
        <v>16</v>
      </c>
      <c r="B25" s="626">
        <v>2010</v>
      </c>
      <c r="C25" s="615" t="s">
        <v>440</v>
      </c>
      <c r="D25" s="615" t="s">
        <v>525</v>
      </c>
      <c r="E25" s="615" t="s">
        <v>521</v>
      </c>
      <c r="F25" s="615" t="s">
        <v>449</v>
      </c>
      <c r="G25" s="615" t="s">
        <v>533</v>
      </c>
      <c r="H25" s="615" t="s">
        <v>532</v>
      </c>
      <c r="I25" s="615" t="s">
        <v>446</v>
      </c>
      <c r="J25" s="615" t="s">
        <v>524</v>
      </c>
      <c r="K25" s="627">
        <v>127.55999999999999</v>
      </c>
    </row>
    <row r="26" spans="1:11" ht="12.75">
      <c r="A26" s="617">
        <f t="shared" si="0"/>
        <v>17</v>
      </c>
      <c r="B26" s="626">
        <v>2010</v>
      </c>
      <c r="C26" s="615" t="s">
        <v>440</v>
      </c>
      <c r="D26" s="615" t="s">
        <v>525</v>
      </c>
      <c r="E26" s="615" t="s">
        <v>521</v>
      </c>
      <c r="F26" s="615" t="s">
        <v>443</v>
      </c>
      <c r="G26" s="615" t="s">
        <v>444</v>
      </c>
      <c r="H26" s="615" t="s">
        <v>455</v>
      </c>
      <c r="I26" s="615" t="s">
        <v>446</v>
      </c>
      <c r="J26" s="615" t="s">
        <v>524</v>
      </c>
      <c r="K26" s="627">
        <v>2301.8399999999997</v>
      </c>
    </row>
    <row r="27" spans="1:11" ht="12.75">
      <c r="A27" s="617">
        <f t="shared" si="0"/>
        <v>18</v>
      </c>
      <c r="B27" s="626">
        <v>2010</v>
      </c>
      <c r="C27" s="615" t="s">
        <v>440</v>
      </c>
      <c r="D27" s="615" t="s">
        <v>525</v>
      </c>
      <c r="E27" s="615" t="s">
        <v>521</v>
      </c>
      <c r="F27" s="615" t="s">
        <v>443</v>
      </c>
      <c r="G27" s="615" t="s">
        <v>444</v>
      </c>
      <c r="H27" s="615" t="s">
        <v>523</v>
      </c>
      <c r="I27" s="615" t="s">
        <v>446</v>
      </c>
      <c r="J27" s="615" t="s">
        <v>524</v>
      </c>
      <c r="K27" s="627">
        <v>5716.44</v>
      </c>
    </row>
    <row r="28" spans="1:11" ht="12.75">
      <c r="A28" s="617">
        <f t="shared" si="0"/>
        <v>19</v>
      </c>
      <c r="B28" s="626">
        <v>2010</v>
      </c>
      <c r="C28" s="615" t="s">
        <v>440</v>
      </c>
      <c r="D28" s="615" t="s">
        <v>525</v>
      </c>
      <c r="E28" s="615" t="s">
        <v>521</v>
      </c>
      <c r="F28" s="615" t="s">
        <v>443</v>
      </c>
      <c r="G28" s="615" t="s">
        <v>444</v>
      </c>
      <c r="H28" s="615" t="s">
        <v>531</v>
      </c>
      <c r="I28" s="615" t="s">
        <v>446</v>
      </c>
      <c r="J28" s="615" t="s">
        <v>524</v>
      </c>
      <c r="K28" s="627">
        <v>403.6799999999999</v>
      </c>
    </row>
    <row r="29" spans="1:11" ht="12.75">
      <c r="A29" s="617">
        <f t="shared" si="0"/>
        <v>20</v>
      </c>
      <c r="B29" s="626">
        <v>2010</v>
      </c>
      <c r="C29" s="615" t="s">
        <v>440</v>
      </c>
      <c r="D29" s="615" t="s">
        <v>525</v>
      </c>
      <c r="E29" s="615" t="s">
        <v>521</v>
      </c>
      <c r="F29" s="615" t="s">
        <v>443</v>
      </c>
      <c r="G29" s="615" t="s">
        <v>444</v>
      </c>
      <c r="H29" s="615" t="s">
        <v>532</v>
      </c>
      <c r="I29" s="615" t="s">
        <v>446</v>
      </c>
      <c r="J29" s="615" t="s">
        <v>524</v>
      </c>
      <c r="K29" s="627">
        <v>21578.16</v>
      </c>
    </row>
    <row r="30" spans="1:11" ht="12.75">
      <c r="A30" s="617">
        <f t="shared" si="0"/>
        <v>21</v>
      </c>
      <c r="B30" s="626">
        <v>2010</v>
      </c>
      <c r="C30" s="615" t="s">
        <v>440</v>
      </c>
      <c r="D30" s="615" t="s">
        <v>525</v>
      </c>
      <c r="E30" s="615" t="s">
        <v>521</v>
      </c>
      <c r="F30" s="615" t="s">
        <v>443</v>
      </c>
      <c r="G30" s="615" t="s">
        <v>457</v>
      </c>
      <c r="H30" s="615" t="s">
        <v>455</v>
      </c>
      <c r="I30" s="615" t="s">
        <v>446</v>
      </c>
      <c r="J30" s="615" t="s">
        <v>524</v>
      </c>
      <c r="K30" s="627">
        <v>828.5999999999998</v>
      </c>
    </row>
    <row r="31" spans="1:11" ht="12.75">
      <c r="A31" s="617">
        <f t="shared" si="0"/>
        <v>22</v>
      </c>
      <c r="B31" s="626">
        <v>2010</v>
      </c>
      <c r="C31" s="615" t="s">
        <v>440</v>
      </c>
      <c r="D31" s="615" t="s">
        <v>525</v>
      </c>
      <c r="E31" s="615" t="s">
        <v>521</v>
      </c>
      <c r="F31" s="615" t="s">
        <v>443</v>
      </c>
      <c r="G31" s="615" t="s">
        <v>457</v>
      </c>
      <c r="H31" s="615" t="s">
        <v>523</v>
      </c>
      <c r="I31" s="615" t="s">
        <v>446</v>
      </c>
      <c r="J31" s="615" t="s">
        <v>524</v>
      </c>
      <c r="K31" s="627">
        <v>1362</v>
      </c>
    </row>
    <row r="32" spans="1:11" ht="12.75">
      <c r="A32" s="617">
        <f t="shared" si="0"/>
        <v>23</v>
      </c>
      <c r="B32" s="626">
        <v>2010</v>
      </c>
      <c r="C32" s="615" t="s">
        <v>440</v>
      </c>
      <c r="D32" s="615" t="s">
        <v>525</v>
      </c>
      <c r="E32" s="615" t="s">
        <v>521</v>
      </c>
      <c r="F32" s="615" t="s">
        <v>443</v>
      </c>
      <c r="G32" s="615" t="s">
        <v>457</v>
      </c>
      <c r="H32" s="615" t="s">
        <v>531</v>
      </c>
      <c r="I32" s="615" t="s">
        <v>446</v>
      </c>
      <c r="J32" s="615" t="s">
        <v>524</v>
      </c>
      <c r="K32" s="627">
        <v>174.11999999999998</v>
      </c>
    </row>
    <row r="33" spans="1:11" ht="12.75">
      <c r="A33" s="617">
        <f t="shared" si="0"/>
        <v>24</v>
      </c>
      <c r="B33" s="626">
        <v>2010</v>
      </c>
      <c r="C33" s="615" t="s">
        <v>440</v>
      </c>
      <c r="D33" s="615" t="s">
        <v>525</v>
      </c>
      <c r="E33" s="615" t="s">
        <v>521</v>
      </c>
      <c r="F33" s="615" t="s">
        <v>443</v>
      </c>
      <c r="G33" s="615" t="s">
        <v>457</v>
      </c>
      <c r="H33" s="615" t="s">
        <v>532</v>
      </c>
      <c r="I33" s="615" t="s">
        <v>446</v>
      </c>
      <c r="J33" s="615" t="s">
        <v>524</v>
      </c>
      <c r="K33" s="627">
        <v>21635.400000000005</v>
      </c>
    </row>
    <row r="34" spans="1:11" ht="12.75">
      <c r="A34" s="617">
        <f t="shared" si="0"/>
        <v>25</v>
      </c>
      <c r="B34" s="626">
        <v>2010</v>
      </c>
      <c r="C34" s="615" t="s">
        <v>440</v>
      </c>
      <c r="D34" s="615" t="s">
        <v>525</v>
      </c>
      <c r="E34" s="615" t="s">
        <v>521</v>
      </c>
      <c r="F34" s="615" t="s">
        <v>534</v>
      </c>
      <c r="G34" s="615" t="s">
        <v>460</v>
      </c>
      <c r="H34" s="615" t="s">
        <v>455</v>
      </c>
      <c r="I34" s="615" t="s">
        <v>446</v>
      </c>
      <c r="J34" s="615" t="s">
        <v>524</v>
      </c>
      <c r="K34" s="627">
        <v>204.11999999999998</v>
      </c>
    </row>
    <row r="35" spans="1:11" ht="12.75">
      <c r="A35" s="617">
        <f t="shared" si="0"/>
        <v>26</v>
      </c>
      <c r="B35" s="626">
        <v>2010</v>
      </c>
      <c r="C35" s="615" t="s">
        <v>440</v>
      </c>
      <c r="D35" s="615" t="s">
        <v>525</v>
      </c>
      <c r="E35" s="615" t="s">
        <v>521</v>
      </c>
      <c r="F35" s="615" t="s">
        <v>534</v>
      </c>
      <c r="G35" s="615" t="s">
        <v>460</v>
      </c>
      <c r="H35" s="615" t="s">
        <v>523</v>
      </c>
      <c r="I35" s="615" t="s">
        <v>446</v>
      </c>
      <c r="J35" s="615" t="s">
        <v>524</v>
      </c>
      <c r="K35" s="627">
        <v>175645.56000000003</v>
      </c>
    </row>
    <row r="36" spans="1:11" ht="12.75">
      <c r="A36" s="617">
        <f t="shared" si="0"/>
        <v>27</v>
      </c>
      <c r="B36" s="626">
        <v>2010</v>
      </c>
      <c r="C36" s="615" t="s">
        <v>440</v>
      </c>
      <c r="D36" s="615" t="s">
        <v>525</v>
      </c>
      <c r="E36" s="615" t="s">
        <v>521</v>
      </c>
      <c r="F36" s="615" t="s">
        <v>534</v>
      </c>
      <c r="G36" s="615" t="s">
        <v>460</v>
      </c>
      <c r="H36" s="615" t="s">
        <v>532</v>
      </c>
      <c r="I36" s="615" t="s">
        <v>446</v>
      </c>
      <c r="J36" s="615" t="s">
        <v>524</v>
      </c>
      <c r="K36" s="627">
        <v>18550.320000000003</v>
      </c>
    </row>
    <row r="37" spans="1:11" ht="12.75">
      <c r="A37" s="617">
        <f t="shared" si="0"/>
        <v>28</v>
      </c>
      <c r="B37" s="626">
        <v>2010</v>
      </c>
      <c r="C37" s="615" t="s">
        <v>440</v>
      </c>
      <c r="D37" s="615" t="s">
        <v>525</v>
      </c>
      <c r="E37" s="615" t="s">
        <v>521</v>
      </c>
      <c r="F37" s="615" t="s">
        <v>459</v>
      </c>
      <c r="G37" s="615" t="s">
        <v>460</v>
      </c>
      <c r="H37" s="615" t="s">
        <v>455</v>
      </c>
      <c r="I37" s="615" t="s">
        <v>446</v>
      </c>
      <c r="J37" s="615" t="s">
        <v>524</v>
      </c>
      <c r="K37" s="627">
        <v>3398.76</v>
      </c>
    </row>
    <row r="38" spans="1:11" ht="12.75">
      <c r="A38" s="617">
        <f t="shared" si="0"/>
        <v>29</v>
      </c>
      <c r="B38" s="626">
        <v>2010</v>
      </c>
      <c r="C38" s="615" t="s">
        <v>440</v>
      </c>
      <c r="D38" s="615" t="s">
        <v>525</v>
      </c>
      <c r="E38" s="615" t="s">
        <v>521</v>
      </c>
      <c r="F38" s="615" t="s">
        <v>459</v>
      </c>
      <c r="G38" s="615" t="s">
        <v>460</v>
      </c>
      <c r="H38" s="615" t="s">
        <v>523</v>
      </c>
      <c r="I38" s="615" t="s">
        <v>446</v>
      </c>
      <c r="J38" s="615" t="s">
        <v>524</v>
      </c>
      <c r="K38" s="627">
        <v>7134.600000000001</v>
      </c>
    </row>
    <row r="39" spans="1:11" ht="12.75">
      <c r="A39" s="617">
        <f t="shared" si="0"/>
        <v>30</v>
      </c>
      <c r="B39" s="626">
        <v>2010</v>
      </c>
      <c r="C39" s="615" t="s">
        <v>440</v>
      </c>
      <c r="D39" s="615" t="s">
        <v>525</v>
      </c>
      <c r="E39" s="615" t="s">
        <v>521</v>
      </c>
      <c r="F39" s="615" t="s">
        <v>459</v>
      </c>
      <c r="G39" s="615" t="s">
        <v>460</v>
      </c>
      <c r="H39" s="615" t="s">
        <v>531</v>
      </c>
      <c r="I39" s="615" t="s">
        <v>446</v>
      </c>
      <c r="J39" s="615" t="s">
        <v>524</v>
      </c>
      <c r="K39" s="627">
        <v>1059.36</v>
      </c>
    </row>
    <row r="40" spans="1:11" ht="12.75">
      <c r="A40" s="617">
        <f t="shared" si="0"/>
        <v>31</v>
      </c>
      <c r="B40" s="626">
        <v>2010</v>
      </c>
      <c r="C40" s="615" t="s">
        <v>440</v>
      </c>
      <c r="D40" s="615" t="s">
        <v>525</v>
      </c>
      <c r="E40" s="615" t="s">
        <v>521</v>
      </c>
      <c r="F40" s="615" t="s">
        <v>459</v>
      </c>
      <c r="G40" s="615" t="s">
        <v>460</v>
      </c>
      <c r="H40" s="615" t="s">
        <v>532</v>
      </c>
      <c r="I40" s="615" t="s">
        <v>446</v>
      </c>
      <c r="J40" s="615" t="s">
        <v>524</v>
      </c>
      <c r="K40" s="627">
        <v>12407.280000000004</v>
      </c>
    </row>
    <row r="41" spans="1:11" ht="12.75">
      <c r="A41" s="617">
        <f t="shared" si="0"/>
        <v>32</v>
      </c>
      <c r="B41" s="626">
        <v>2010</v>
      </c>
      <c r="C41" s="615" t="s">
        <v>440</v>
      </c>
      <c r="D41" s="615" t="s">
        <v>525</v>
      </c>
      <c r="E41" s="615" t="s">
        <v>521</v>
      </c>
      <c r="F41" s="615" t="s">
        <v>535</v>
      </c>
      <c r="G41" s="615" t="s">
        <v>460</v>
      </c>
      <c r="H41" s="615" t="s">
        <v>523</v>
      </c>
      <c r="I41" s="615" t="s">
        <v>446</v>
      </c>
      <c r="J41" s="615" t="s">
        <v>524</v>
      </c>
      <c r="K41" s="627">
        <v>13713</v>
      </c>
    </row>
    <row r="42" spans="1:11" ht="12.75">
      <c r="A42" s="617">
        <f t="shared" si="0"/>
        <v>33</v>
      </c>
      <c r="B42" s="626">
        <v>2010</v>
      </c>
      <c r="C42" s="615" t="s">
        <v>440</v>
      </c>
      <c r="D42" s="615" t="s">
        <v>525</v>
      </c>
      <c r="E42" s="615" t="s">
        <v>521</v>
      </c>
      <c r="F42" s="615" t="s">
        <v>535</v>
      </c>
      <c r="G42" s="615" t="s">
        <v>460</v>
      </c>
      <c r="H42" s="615" t="s">
        <v>531</v>
      </c>
      <c r="I42" s="615" t="s">
        <v>446</v>
      </c>
      <c r="J42" s="615" t="s">
        <v>524</v>
      </c>
      <c r="K42" s="627">
        <v>630.3599999999998</v>
      </c>
    </row>
    <row r="43" spans="1:11" ht="12.75">
      <c r="A43" s="617">
        <f t="shared" si="0"/>
        <v>34</v>
      </c>
      <c r="B43" s="626">
        <v>2010</v>
      </c>
      <c r="C43" s="615" t="s">
        <v>440</v>
      </c>
      <c r="D43" s="615" t="s">
        <v>525</v>
      </c>
      <c r="E43" s="615" t="s">
        <v>521</v>
      </c>
      <c r="F43" s="615" t="s">
        <v>535</v>
      </c>
      <c r="G43" s="615" t="s">
        <v>460</v>
      </c>
      <c r="H43" s="615" t="s">
        <v>532</v>
      </c>
      <c r="I43" s="615" t="s">
        <v>446</v>
      </c>
      <c r="J43" s="615" t="s">
        <v>524</v>
      </c>
      <c r="K43" s="627">
        <v>56.63999999999999</v>
      </c>
    </row>
    <row r="44" spans="1:11" ht="12.75">
      <c r="A44" s="617">
        <f t="shared" si="0"/>
        <v>35</v>
      </c>
      <c r="B44" s="626">
        <v>2010</v>
      </c>
      <c r="C44" s="615" t="s">
        <v>440</v>
      </c>
      <c r="D44" s="615" t="s">
        <v>525</v>
      </c>
      <c r="E44" s="615" t="s">
        <v>521</v>
      </c>
      <c r="F44" s="615" t="s">
        <v>468</v>
      </c>
      <c r="G44" s="615" t="s">
        <v>536</v>
      </c>
      <c r="H44" s="615" t="s">
        <v>455</v>
      </c>
      <c r="I44" s="615" t="s">
        <v>446</v>
      </c>
      <c r="J44" s="615" t="s">
        <v>524</v>
      </c>
      <c r="K44" s="627">
        <v>1371.5999999999997</v>
      </c>
    </row>
    <row r="45" spans="1:11" ht="12.75">
      <c r="A45" s="617">
        <f t="shared" si="0"/>
        <v>36</v>
      </c>
      <c r="B45" s="626">
        <v>2010</v>
      </c>
      <c r="C45" s="615" t="s">
        <v>440</v>
      </c>
      <c r="D45" s="615" t="s">
        <v>525</v>
      </c>
      <c r="E45" s="615" t="s">
        <v>521</v>
      </c>
      <c r="F45" s="615" t="s">
        <v>468</v>
      </c>
      <c r="G45" s="615" t="s">
        <v>536</v>
      </c>
      <c r="H45" s="615" t="s">
        <v>523</v>
      </c>
      <c r="I45" s="615" t="s">
        <v>446</v>
      </c>
      <c r="J45" s="615" t="s">
        <v>524</v>
      </c>
      <c r="K45" s="627">
        <v>1028.4000000000003</v>
      </c>
    </row>
    <row r="46" spans="1:11" ht="12.75">
      <c r="A46" s="617">
        <f t="shared" si="0"/>
        <v>37</v>
      </c>
      <c r="B46" s="626">
        <v>2010</v>
      </c>
      <c r="C46" s="615" t="s">
        <v>440</v>
      </c>
      <c r="D46" s="615" t="s">
        <v>525</v>
      </c>
      <c r="E46" s="615" t="s">
        <v>521</v>
      </c>
      <c r="F46" s="615" t="s">
        <v>522</v>
      </c>
      <c r="G46" s="615" t="s">
        <v>460</v>
      </c>
      <c r="H46" s="615" t="s">
        <v>455</v>
      </c>
      <c r="I46" s="615" t="s">
        <v>446</v>
      </c>
      <c r="J46" s="615" t="s">
        <v>524</v>
      </c>
      <c r="K46" s="627">
        <v>-161.39999999999998</v>
      </c>
    </row>
    <row r="47" spans="1:11" ht="12.75">
      <c r="A47" s="617">
        <f t="shared" si="0"/>
        <v>38</v>
      </c>
      <c r="B47" s="626">
        <v>2010</v>
      </c>
      <c r="C47" s="615" t="s">
        <v>440</v>
      </c>
      <c r="D47" s="615" t="s">
        <v>525</v>
      </c>
      <c r="E47" s="615" t="s">
        <v>521</v>
      </c>
      <c r="F47" s="615" t="s">
        <v>522</v>
      </c>
      <c r="G47" s="615" t="s">
        <v>460</v>
      </c>
      <c r="H47" s="615" t="s">
        <v>523</v>
      </c>
      <c r="I47" s="615" t="s">
        <v>446</v>
      </c>
      <c r="J47" s="615" t="s">
        <v>524</v>
      </c>
      <c r="K47" s="627">
        <v>-1858.9200000000003</v>
      </c>
    </row>
    <row r="48" spans="1:11" ht="12.75">
      <c r="A48" s="617">
        <f t="shared" si="0"/>
        <v>39</v>
      </c>
      <c r="B48" s="626">
        <v>2010</v>
      </c>
      <c r="C48" s="615" t="s">
        <v>440</v>
      </c>
      <c r="D48" s="615" t="s">
        <v>525</v>
      </c>
      <c r="E48" s="615" t="s">
        <v>521</v>
      </c>
      <c r="F48" s="615" t="s">
        <v>522</v>
      </c>
      <c r="G48" s="615" t="s">
        <v>460</v>
      </c>
      <c r="H48" s="615" t="s">
        <v>531</v>
      </c>
      <c r="I48" s="615" t="s">
        <v>446</v>
      </c>
      <c r="J48" s="615" t="s">
        <v>524</v>
      </c>
      <c r="K48" s="627">
        <v>-1940.5200000000002</v>
      </c>
    </row>
    <row r="49" spans="1:11" ht="12.75">
      <c r="A49" s="617">
        <f t="shared" si="0"/>
        <v>40</v>
      </c>
      <c r="B49" s="626">
        <v>2010</v>
      </c>
      <c r="C49" s="615" t="s">
        <v>440</v>
      </c>
      <c r="D49" s="615" t="s">
        <v>525</v>
      </c>
      <c r="E49" s="615" t="s">
        <v>521</v>
      </c>
      <c r="F49" s="615" t="s">
        <v>522</v>
      </c>
      <c r="G49" s="615" t="s">
        <v>460</v>
      </c>
      <c r="H49" s="615" t="s">
        <v>532</v>
      </c>
      <c r="I49" s="615" t="s">
        <v>446</v>
      </c>
      <c r="J49" s="615" t="s">
        <v>524</v>
      </c>
      <c r="K49" s="627">
        <v>6500.2800000000025</v>
      </c>
    </row>
    <row r="50" spans="1:11" ht="12.75">
      <c r="A50" s="617">
        <f t="shared" si="0"/>
        <v>41</v>
      </c>
      <c r="B50" s="626">
        <v>2010</v>
      </c>
      <c r="C50" s="615" t="s">
        <v>440</v>
      </c>
      <c r="D50" s="615" t="s">
        <v>525</v>
      </c>
      <c r="E50" s="615" t="s">
        <v>521</v>
      </c>
      <c r="F50" s="615" t="s">
        <v>537</v>
      </c>
      <c r="G50" s="615" t="s">
        <v>460</v>
      </c>
      <c r="H50" s="615" t="s">
        <v>455</v>
      </c>
      <c r="I50" s="615" t="s">
        <v>446</v>
      </c>
      <c r="J50" s="615" t="s">
        <v>524</v>
      </c>
      <c r="K50" s="627">
        <v>-102900</v>
      </c>
    </row>
    <row r="51" spans="1:11" ht="12.75">
      <c r="A51" s="617">
        <f t="shared" si="0"/>
        <v>42</v>
      </c>
      <c r="B51" s="626">
        <v>2010</v>
      </c>
      <c r="C51" s="615" t="s">
        <v>440</v>
      </c>
      <c r="D51" s="615" t="s">
        <v>525</v>
      </c>
      <c r="E51" s="615" t="s">
        <v>521</v>
      </c>
      <c r="F51" s="615" t="s">
        <v>463</v>
      </c>
      <c r="G51" s="615" t="s">
        <v>464</v>
      </c>
      <c r="H51" s="615" t="s">
        <v>455</v>
      </c>
      <c r="I51" s="615" t="s">
        <v>446</v>
      </c>
      <c r="J51" s="615" t="s">
        <v>524</v>
      </c>
      <c r="K51" s="627">
        <v>30015.480000000007</v>
      </c>
    </row>
    <row r="52" spans="1:11" ht="12.75">
      <c r="A52" s="617">
        <f t="shared" si="0"/>
        <v>43</v>
      </c>
      <c r="B52" s="626">
        <v>2010</v>
      </c>
      <c r="C52" s="615" t="s">
        <v>440</v>
      </c>
      <c r="D52" s="615" t="s">
        <v>525</v>
      </c>
      <c r="E52" s="615" t="s">
        <v>521</v>
      </c>
      <c r="F52" s="615" t="s">
        <v>463</v>
      </c>
      <c r="G52" s="615" t="s">
        <v>464</v>
      </c>
      <c r="H52" s="615" t="s">
        <v>523</v>
      </c>
      <c r="I52" s="615" t="s">
        <v>446</v>
      </c>
      <c r="J52" s="615" t="s">
        <v>524</v>
      </c>
      <c r="K52" s="627">
        <v>2518.560000000001</v>
      </c>
    </row>
    <row r="53" spans="1:11" ht="12.75">
      <c r="A53" s="617">
        <f t="shared" si="0"/>
        <v>44</v>
      </c>
      <c r="B53" s="626">
        <v>2010</v>
      </c>
      <c r="C53" s="615" t="s">
        <v>440</v>
      </c>
      <c r="D53" s="615" t="s">
        <v>525</v>
      </c>
      <c r="E53" s="615" t="s">
        <v>521</v>
      </c>
      <c r="F53" s="615" t="s">
        <v>463</v>
      </c>
      <c r="G53" s="615" t="s">
        <v>464</v>
      </c>
      <c r="H53" s="615" t="s">
        <v>532</v>
      </c>
      <c r="I53" s="615" t="s">
        <v>446</v>
      </c>
      <c r="J53" s="615" t="s">
        <v>524</v>
      </c>
      <c r="K53" s="627">
        <v>44265.960000000014</v>
      </c>
    </row>
    <row r="54" spans="1:11" ht="12.75">
      <c r="A54" s="617">
        <f t="shared" si="0"/>
        <v>45</v>
      </c>
      <c r="B54" s="626">
        <v>2010</v>
      </c>
      <c r="C54" s="615" t="s">
        <v>440</v>
      </c>
      <c r="D54" s="615" t="s">
        <v>525</v>
      </c>
      <c r="E54" s="615" t="s">
        <v>521</v>
      </c>
      <c r="F54" s="615" t="s">
        <v>538</v>
      </c>
      <c r="G54" s="615" t="s">
        <v>460</v>
      </c>
      <c r="H54" s="615" t="s">
        <v>455</v>
      </c>
      <c r="I54" s="615" t="s">
        <v>446</v>
      </c>
      <c r="J54" s="615" t="s">
        <v>524</v>
      </c>
      <c r="K54" s="627">
        <v>1161</v>
      </c>
    </row>
    <row r="55" spans="1:11" ht="12.75">
      <c r="A55" s="617">
        <f t="shared" si="0"/>
        <v>46</v>
      </c>
      <c r="B55" s="626">
        <v>2010</v>
      </c>
      <c r="C55" s="615" t="s">
        <v>440</v>
      </c>
      <c r="D55" s="615" t="s">
        <v>525</v>
      </c>
      <c r="E55" s="615" t="s">
        <v>521</v>
      </c>
      <c r="F55" s="615" t="s">
        <v>538</v>
      </c>
      <c r="G55" s="615" t="s">
        <v>460</v>
      </c>
      <c r="H55" s="615" t="s">
        <v>523</v>
      </c>
      <c r="I55" s="615" t="s">
        <v>446</v>
      </c>
      <c r="J55" s="615" t="s">
        <v>524</v>
      </c>
      <c r="K55" s="627">
        <v>29.399999999999995</v>
      </c>
    </row>
    <row r="56" spans="1:11" ht="12.75">
      <c r="A56" s="617">
        <f t="shared" si="0"/>
        <v>47</v>
      </c>
      <c r="B56" s="626">
        <v>2010</v>
      </c>
      <c r="C56" s="615" t="s">
        <v>440</v>
      </c>
      <c r="D56" s="615" t="s">
        <v>525</v>
      </c>
      <c r="E56" s="615" t="s">
        <v>521</v>
      </c>
      <c r="F56" s="615" t="s">
        <v>538</v>
      </c>
      <c r="G56" s="615" t="s">
        <v>460</v>
      </c>
      <c r="H56" s="615" t="s">
        <v>531</v>
      </c>
      <c r="I56" s="615" t="s">
        <v>446</v>
      </c>
      <c r="J56" s="615" t="s">
        <v>524</v>
      </c>
      <c r="K56" s="627">
        <v>1118.5200000000002</v>
      </c>
    </row>
    <row r="57" spans="1:11" ht="12.75">
      <c r="A57" s="617">
        <f t="shared" si="0"/>
        <v>48</v>
      </c>
      <c r="B57" s="626">
        <v>2010</v>
      </c>
      <c r="C57" s="615" t="s">
        <v>440</v>
      </c>
      <c r="D57" s="615" t="s">
        <v>525</v>
      </c>
      <c r="E57" s="615" t="s">
        <v>521</v>
      </c>
      <c r="F57" s="615" t="s">
        <v>538</v>
      </c>
      <c r="G57" s="615" t="s">
        <v>460</v>
      </c>
      <c r="H57" s="615" t="s">
        <v>532</v>
      </c>
      <c r="I57" s="615" t="s">
        <v>446</v>
      </c>
      <c r="J57" s="615" t="s">
        <v>524</v>
      </c>
      <c r="K57" s="627">
        <v>91.08000000000003</v>
      </c>
    </row>
    <row r="58" spans="1:11" ht="12.75">
      <c r="A58" s="617">
        <f t="shared" si="0"/>
        <v>49</v>
      </c>
      <c r="B58" s="626">
        <v>2010</v>
      </c>
      <c r="C58" s="615" t="s">
        <v>440</v>
      </c>
      <c r="D58" s="615" t="s">
        <v>525</v>
      </c>
      <c r="E58" s="615" t="s">
        <v>521</v>
      </c>
      <c r="F58" s="615" t="s">
        <v>539</v>
      </c>
      <c r="G58" s="615" t="s">
        <v>540</v>
      </c>
      <c r="H58" s="615" t="s">
        <v>523</v>
      </c>
      <c r="I58" s="615" t="s">
        <v>446</v>
      </c>
      <c r="J58" s="615" t="s">
        <v>524</v>
      </c>
      <c r="K58" s="627">
        <v>288.71999999999997</v>
      </c>
    </row>
    <row r="59" spans="1:11" ht="12.75">
      <c r="A59" s="617">
        <f t="shared" si="0"/>
        <v>50</v>
      </c>
      <c r="B59" s="626">
        <v>2010</v>
      </c>
      <c r="C59" s="615" t="s">
        <v>440</v>
      </c>
      <c r="D59" s="615" t="s">
        <v>525</v>
      </c>
      <c r="E59" s="615" t="s">
        <v>521</v>
      </c>
      <c r="F59" s="615" t="s">
        <v>539</v>
      </c>
      <c r="G59" s="615" t="s">
        <v>540</v>
      </c>
      <c r="H59" s="615" t="s">
        <v>532</v>
      </c>
      <c r="I59" s="615" t="s">
        <v>446</v>
      </c>
      <c r="J59" s="615" t="s">
        <v>524</v>
      </c>
      <c r="K59" s="627">
        <v>2711.28</v>
      </c>
    </row>
    <row r="60" spans="1:11" ht="12.75">
      <c r="A60" s="617">
        <f t="shared" si="0"/>
        <v>51</v>
      </c>
      <c r="B60" s="626">
        <v>2010</v>
      </c>
      <c r="C60" s="615" t="s">
        <v>440</v>
      </c>
      <c r="D60" s="615" t="s">
        <v>525</v>
      </c>
      <c r="E60" s="615" t="s">
        <v>541</v>
      </c>
      <c r="F60" s="615" t="s">
        <v>449</v>
      </c>
      <c r="G60" s="615" t="s">
        <v>527</v>
      </c>
      <c r="H60" s="615" t="s">
        <v>455</v>
      </c>
      <c r="I60" s="615" t="s">
        <v>446</v>
      </c>
      <c r="J60" s="615" t="s">
        <v>524</v>
      </c>
      <c r="K60" s="627">
        <v>9347</v>
      </c>
    </row>
    <row r="61" spans="1:11" ht="12.75">
      <c r="A61" s="617">
        <f t="shared" si="0"/>
        <v>52</v>
      </c>
      <c r="B61" s="626">
        <v>2010</v>
      </c>
      <c r="C61" s="615" t="s">
        <v>440</v>
      </c>
      <c r="D61" s="615" t="s">
        <v>525</v>
      </c>
      <c r="E61" s="615" t="s">
        <v>541</v>
      </c>
      <c r="F61" s="615" t="s">
        <v>449</v>
      </c>
      <c r="G61" s="615" t="s">
        <v>528</v>
      </c>
      <c r="H61" s="615" t="s">
        <v>455</v>
      </c>
      <c r="I61" s="615" t="s">
        <v>446</v>
      </c>
      <c r="J61" s="615" t="s">
        <v>524</v>
      </c>
      <c r="K61" s="628">
        <v>-9347</v>
      </c>
    </row>
    <row r="62" spans="1:11" ht="12.75">
      <c r="A62" s="586">
        <f t="shared" si="0"/>
        <v>53</v>
      </c>
      <c r="K62" s="629">
        <f>+SUM(K15:K61)</f>
        <v>2704723.24</v>
      </c>
    </row>
    <row r="63" spans="1:11" ht="12.75">
      <c r="A63" s="586">
        <f t="shared" si="0"/>
        <v>54</v>
      </c>
      <c r="K63" s="623"/>
    </row>
    <row r="64" spans="1:11" ht="12.75">
      <c r="A64" s="586">
        <f t="shared" si="0"/>
        <v>55</v>
      </c>
      <c r="B64" s="615">
        <v>2010</v>
      </c>
      <c r="C64" s="615" t="s">
        <v>440</v>
      </c>
      <c r="D64" s="615" t="s">
        <v>525</v>
      </c>
      <c r="E64" s="615" t="s">
        <v>547</v>
      </c>
      <c r="F64" s="615" t="s">
        <v>449</v>
      </c>
      <c r="G64" s="615" t="s">
        <v>450</v>
      </c>
      <c r="H64" s="615" t="s">
        <v>548</v>
      </c>
      <c r="I64" s="615" t="s">
        <v>446</v>
      </c>
      <c r="J64" s="615" t="s">
        <v>549</v>
      </c>
      <c r="K64" s="627">
        <v>467393</v>
      </c>
    </row>
    <row r="65" spans="1:11" ht="12.75">
      <c r="A65" s="586">
        <f t="shared" si="0"/>
        <v>56</v>
      </c>
      <c r="B65" s="615">
        <v>2010</v>
      </c>
      <c r="C65" s="615" t="s">
        <v>440</v>
      </c>
      <c r="D65" s="615" t="s">
        <v>525</v>
      </c>
      <c r="E65" s="615" t="s">
        <v>550</v>
      </c>
      <c r="F65" s="615" t="s">
        <v>449</v>
      </c>
      <c r="G65" s="615" t="s">
        <v>450</v>
      </c>
      <c r="H65" s="615" t="s">
        <v>530</v>
      </c>
      <c r="I65" s="615" t="s">
        <v>446</v>
      </c>
      <c r="J65" s="615" t="s">
        <v>549</v>
      </c>
      <c r="K65" s="627">
        <v>39890</v>
      </c>
    </row>
    <row r="66" spans="1:11" ht="12.75">
      <c r="A66" s="586">
        <f t="shared" si="0"/>
        <v>57</v>
      </c>
      <c r="B66" s="615">
        <v>2010</v>
      </c>
      <c r="C66" s="615" t="s">
        <v>440</v>
      </c>
      <c r="D66" s="615" t="s">
        <v>525</v>
      </c>
      <c r="E66" s="615" t="s">
        <v>541</v>
      </c>
      <c r="F66" s="615" t="s">
        <v>449</v>
      </c>
      <c r="G66" s="615" t="s">
        <v>450</v>
      </c>
      <c r="H66" s="615" t="s">
        <v>523</v>
      </c>
      <c r="I66" s="615" t="s">
        <v>446</v>
      </c>
      <c r="J66" s="615" t="s">
        <v>549</v>
      </c>
      <c r="K66" s="628">
        <v>279</v>
      </c>
    </row>
    <row r="67" spans="1:11" ht="12.75">
      <c r="A67" s="586">
        <f t="shared" si="0"/>
        <v>58</v>
      </c>
      <c r="K67" s="629">
        <f>+SUM(K64:K66)</f>
        <v>507562</v>
      </c>
    </row>
    <row r="68" spans="1:11" ht="12.75">
      <c r="A68" s="586">
        <f t="shared" si="0"/>
        <v>59</v>
      </c>
      <c r="K68" s="575"/>
    </row>
    <row r="69" spans="1:11" ht="12.75">
      <c r="A69" s="586">
        <f t="shared" si="0"/>
        <v>60</v>
      </c>
      <c r="B69" s="582">
        <v>2010</v>
      </c>
      <c r="C69" s="582" t="s">
        <v>440</v>
      </c>
      <c r="D69" s="582" t="s">
        <v>525</v>
      </c>
      <c r="E69" s="582" t="s">
        <v>541</v>
      </c>
      <c r="F69" s="582" t="s">
        <v>449</v>
      </c>
      <c r="G69" s="582" t="s">
        <v>450</v>
      </c>
      <c r="H69" s="582" t="s">
        <v>548</v>
      </c>
      <c r="I69" s="582" t="s">
        <v>446</v>
      </c>
      <c r="J69" s="582" t="s">
        <v>551</v>
      </c>
      <c r="K69" s="634">
        <v>312</v>
      </c>
    </row>
    <row r="70" spans="1:11" ht="12.75">
      <c r="A70" s="586">
        <f t="shared" si="0"/>
        <v>61</v>
      </c>
      <c r="K70" s="575"/>
    </row>
    <row r="71" spans="1:11" ht="15" customHeight="1">
      <c r="A71" s="586">
        <f t="shared" si="0"/>
        <v>62</v>
      </c>
      <c r="B71" s="630"/>
      <c r="H71" s="732" t="s">
        <v>553</v>
      </c>
      <c r="I71" s="732"/>
      <c r="J71" s="732"/>
      <c r="K71" s="623">
        <f>+K13+K62+K67+K69</f>
        <v>3289481.24</v>
      </c>
    </row>
    <row r="72" spans="1:11" ht="12.75">
      <c r="A72" s="586">
        <f t="shared" si="0"/>
        <v>63</v>
      </c>
      <c r="K72" s="575"/>
    </row>
    <row r="73" spans="1:12" ht="15" customHeight="1">
      <c r="A73" s="586">
        <f t="shared" si="0"/>
        <v>64</v>
      </c>
      <c r="G73" s="731" t="s">
        <v>552</v>
      </c>
      <c r="H73" s="731"/>
      <c r="I73" s="731"/>
      <c r="J73" s="731"/>
      <c r="K73" s="631">
        <f>(+K67+K69)</f>
        <v>507874</v>
      </c>
      <c r="L73" s="633" t="s">
        <v>422</v>
      </c>
    </row>
    <row r="74" spans="1:11" ht="12.75">
      <c r="A74" s="586">
        <f t="shared" si="0"/>
        <v>65</v>
      </c>
      <c r="K74" s="575"/>
    </row>
    <row r="75" spans="1:11" ht="13.5" thickBot="1">
      <c r="A75" s="586">
        <f t="shared" si="0"/>
        <v>66</v>
      </c>
      <c r="K75" s="659">
        <f>+K71-K73</f>
        <v>2781607.24</v>
      </c>
    </row>
    <row r="76" spans="1:11" ht="13.5" thickTop="1">
      <c r="A76" s="587"/>
      <c r="B76" s="632"/>
      <c r="C76" s="591"/>
      <c r="D76" s="591"/>
      <c r="E76" s="591"/>
      <c r="F76" s="591"/>
      <c r="G76" s="591"/>
      <c r="H76" s="591"/>
      <c r="I76" s="591"/>
      <c r="J76" s="591"/>
      <c r="K76" s="580"/>
    </row>
    <row r="78" spans="2:11" ht="12.75">
      <c r="B78" s="733" t="s">
        <v>556</v>
      </c>
      <c r="C78" s="733"/>
      <c r="D78" s="733"/>
      <c r="E78" s="733"/>
      <c r="F78" s="733"/>
      <c r="G78" s="733"/>
      <c r="H78" s="733"/>
      <c r="I78" s="733"/>
      <c r="J78" s="733"/>
      <c r="K78" s="733"/>
    </row>
  </sheetData>
  <sheetProtection/>
  <mergeCells count="6">
    <mergeCell ref="G73:J73"/>
    <mergeCell ref="H71:J71"/>
    <mergeCell ref="A2:K2"/>
    <mergeCell ref="A3:K3"/>
    <mergeCell ref="A4:K4"/>
    <mergeCell ref="B78:K78"/>
  </mergeCells>
  <printOptions horizontalCentered="1"/>
  <pageMargins left="0.75" right="0.75" top="0.75" bottom="0.75" header="0.5" footer="0.5"/>
  <pageSetup fitToHeight="1" fitToWidth="1" horizontalDpi="600" verticalDpi="600" orientation="portrait" scale="69" r:id="rId1"/>
  <headerFooter>
    <oddHeader>&amp;R&amp;"Arial,Regular"&amp;10Attachment O Work Paper
Page 16 of 20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J36"/>
  <sheetViews>
    <sheetView showGridLines="0" zoomScalePageLayoutView="0" workbookViewId="0" topLeftCell="A1">
      <selection activeCell="I26" sqref="I26"/>
    </sheetView>
  </sheetViews>
  <sheetFormatPr defaultColWidth="26.99609375" defaultRowHeight="15"/>
  <cols>
    <col min="1" max="1" width="3.4453125" style="30" bestFit="1" customWidth="1"/>
    <col min="2" max="2" width="29.77734375" style="32" customWidth="1"/>
    <col min="3" max="3" width="13.99609375" style="32" hidden="1" customWidth="1"/>
    <col min="4" max="4" width="8.5546875" style="32" hidden="1" customWidth="1"/>
    <col min="5" max="6" width="13.77734375" style="32" customWidth="1"/>
    <col min="7" max="7" width="3.21484375" style="32" customWidth="1"/>
    <col min="8" max="8" width="12.3359375" style="32" customWidth="1"/>
    <col min="9" max="9" width="11.5546875" style="32" customWidth="1"/>
    <col min="10" max="10" width="9.99609375" style="32" customWidth="1"/>
    <col min="11" max="254" width="8.5546875" style="32" customWidth="1"/>
    <col min="255" max="255" width="3.4453125" style="32" bestFit="1" customWidth="1"/>
    <col min="256" max="16384" width="26.99609375" style="32" customWidth="1"/>
  </cols>
  <sheetData>
    <row r="1" spans="2:6" ht="12.75">
      <c r="B1" s="31"/>
      <c r="F1" s="138"/>
    </row>
    <row r="2" spans="2:6" ht="12.75">
      <c r="B2" s="139"/>
      <c r="F2" s="138"/>
    </row>
    <row r="3" spans="1:6" ht="12.75" customHeight="1">
      <c r="A3" s="710" t="s">
        <v>0</v>
      </c>
      <c r="B3" s="734"/>
      <c r="C3" s="734"/>
      <c r="D3" s="734"/>
      <c r="E3" s="734"/>
      <c r="F3" s="734"/>
    </row>
    <row r="4" spans="1:6" ht="12.75" customHeight="1">
      <c r="A4" s="710" t="s">
        <v>81</v>
      </c>
      <c r="B4" s="734"/>
      <c r="C4" s="734"/>
      <c r="D4" s="734"/>
      <c r="E4" s="734"/>
      <c r="F4" s="734"/>
    </row>
    <row r="5" spans="1:6" ht="12.75" customHeight="1">
      <c r="A5" s="711" t="s">
        <v>42</v>
      </c>
      <c r="B5" s="734"/>
      <c r="C5" s="734"/>
      <c r="D5" s="734"/>
      <c r="E5" s="734"/>
      <c r="F5" s="734"/>
    </row>
    <row r="6" spans="3:6" ht="12.75">
      <c r="C6" s="45"/>
      <c r="D6" s="45"/>
      <c r="E6" s="45"/>
      <c r="F6" s="45"/>
    </row>
    <row r="7" spans="2:10" ht="12.75">
      <c r="B7" s="140" t="s">
        <v>2</v>
      </c>
      <c r="E7" s="30" t="s">
        <v>3</v>
      </c>
      <c r="F7" s="30" t="s">
        <v>4</v>
      </c>
      <c r="G7" s="141"/>
      <c r="H7" s="30"/>
      <c r="I7" s="30"/>
      <c r="J7" s="30"/>
    </row>
    <row r="9" spans="1:6" ht="12.75" customHeight="1">
      <c r="A9" s="38"/>
      <c r="B9" s="142"/>
      <c r="C9" s="735" t="s">
        <v>89</v>
      </c>
      <c r="D9" s="736"/>
      <c r="E9" s="735" t="s">
        <v>90</v>
      </c>
      <c r="F9" s="736"/>
    </row>
    <row r="10" spans="1:6" ht="25.5">
      <c r="A10" s="144" t="s">
        <v>43</v>
      </c>
      <c r="B10" s="145" t="s">
        <v>82</v>
      </c>
      <c r="C10" s="146" t="s">
        <v>83</v>
      </c>
      <c r="D10" s="146" t="s">
        <v>84</v>
      </c>
      <c r="E10" s="146" t="s">
        <v>83</v>
      </c>
      <c r="F10" s="146" t="s">
        <v>84</v>
      </c>
    </row>
    <row r="11" spans="1:7" ht="12.75">
      <c r="A11" s="38"/>
      <c r="B11" s="147"/>
      <c r="C11" s="148"/>
      <c r="D11" s="148"/>
      <c r="E11" s="148"/>
      <c r="F11" s="143"/>
      <c r="G11" s="31" t="s">
        <v>85</v>
      </c>
    </row>
    <row r="12" spans="1:6" ht="12.75">
      <c r="A12" s="40">
        <v>1</v>
      </c>
      <c r="B12" s="39" t="s">
        <v>12</v>
      </c>
      <c r="C12" s="149">
        <v>15642742.080000002</v>
      </c>
      <c r="D12" s="150">
        <f>1-SUM(D16:D23)</f>
        <v>0.3854000000000001</v>
      </c>
      <c r="E12" s="502">
        <v>16522165.8</v>
      </c>
      <c r="F12" s="150">
        <f>1-SUM(F16:F22)</f>
        <v>0.3571</v>
      </c>
    </row>
    <row r="13" spans="1:6" ht="12.75">
      <c r="A13" s="40">
        <f>A12+1</f>
        <v>2</v>
      </c>
      <c r="B13" s="162" t="s">
        <v>91</v>
      </c>
      <c r="C13" s="151"/>
      <c r="D13" s="152"/>
      <c r="E13" s="293">
        <v>1833021.8000000007</v>
      </c>
      <c r="F13" s="150"/>
    </row>
    <row r="14" spans="1:6" ht="12.75">
      <c r="A14" s="40">
        <f>A13+1</f>
        <v>3</v>
      </c>
      <c r="B14" s="166" t="s">
        <v>92</v>
      </c>
      <c r="C14" s="165">
        <f>+C12-C13</f>
        <v>15642742.080000002</v>
      </c>
      <c r="D14" s="163"/>
      <c r="E14" s="660">
        <f>+E12-E13</f>
        <v>14689144</v>
      </c>
      <c r="F14" s="164"/>
    </row>
    <row r="15" spans="1:6" ht="12.75">
      <c r="A15" s="40">
        <f>A14+1</f>
        <v>4</v>
      </c>
      <c r="B15" s="39"/>
      <c r="C15" s="151"/>
      <c r="D15" s="152"/>
      <c r="E15" s="153"/>
      <c r="F15" s="150"/>
    </row>
    <row r="16" spans="1:6" ht="12.75">
      <c r="A16" s="40">
        <f>A15+1</f>
        <v>5</v>
      </c>
      <c r="B16" s="39" t="s">
        <v>13</v>
      </c>
      <c r="C16" s="151">
        <v>5597348.97</v>
      </c>
      <c r="D16" s="150">
        <f>ROUND(C16/C$25,4)</f>
        <v>0.1379</v>
      </c>
      <c r="E16" s="661">
        <v>6146326.050000001</v>
      </c>
      <c r="F16" s="150">
        <f>ROUND(E16/E$25,4)</f>
        <v>0.1494</v>
      </c>
    </row>
    <row r="17" spans="1:6" ht="12.75">
      <c r="A17" s="40">
        <f aca="true" t="shared" si="0" ref="A17:A25">A16+1</f>
        <v>6</v>
      </c>
      <c r="B17" s="39"/>
      <c r="C17" s="151"/>
      <c r="D17" s="152"/>
      <c r="E17" s="151"/>
      <c r="F17" s="150"/>
    </row>
    <row r="18" spans="1:6" ht="12.75">
      <c r="A18" s="40">
        <f t="shared" si="0"/>
        <v>7</v>
      </c>
      <c r="B18" s="39" t="s">
        <v>14</v>
      </c>
      <c r="C18" s="149">
        <v>9715532.83</v>
      </c>
      <c r="D18" s="150">
        <f>ROUND(C18/C$25,4)</f>
        <v>0.2394</v>
      </c>
      <c r="E18" s="661">
        <v>11003282.81</v>
      </c>
      <c r="F18" s="150">
        <f>ROUND(E18/E$25,4)</f>
        <v>0.2675</v>
      </c>
    </row>
    <row r="19" spans="1:6" ht="12.75">
      <c r="A19" s="40">
        <f t="shared" si="0"/>
        <v>8</v>
      </c>
      <c r="B19" s="39"/>
      <c r="C19" s="151"/>
      <c r="D19" s="152"/>
      <c r="E19" s="151"/>
      <c r="F19" s="150"/>
    </row>
    <row r="20" spans="1:6" ht="12.75">
      <c r="A20" s="40">
        <f t="shared" si="0"/>
        <v>9</v>
      </c>
      <c r="B20" s="279" t="s">
        <v>400</v>
      </c>
      <c r="C20" s="281"/>
      <c r="D20" s="282"/>
      <c r="E20" s="281"/>
      <c r="F20" s="283"/>
    </row>
    <row r="21" spans="1:6" ht="12.75">
      <c r="A21" s="40">
        <f t="shared" si="0"/>
        <v>10</v>
      </c>
      <c r="B21" s="162" t="s">
        <v>86</v>
      </c>
      <c r="C21" s="149">
        <v>7086030.01</v>
      </c>
      <c r="D21" s="150">
        <f>ROUND(C21/C$25,4)</f>
        <v>0.1746</v>
      </c>
      <c r="E21" s="149">
        <v>7546735.95</v>
      </c>
      <c r="F21" s="150">
        <f>ROUND(E21/E$25,4)</f>
        <v>0.1835</v>
      </c>
    </row>
    <row r="22" spans="1:6" ht="12.75">
      <c r="A22" s="40">
        <f t="shared" si="0"/>
        <v>11</v>
      </c>
      <c r="B22" s="286" t="s">
        <v>87</v>
      </c>
      <c r="C22" s="284">
        <v>2545336.13</v>
      </c>
      <c r="D22" s="285">
        <f>ROUND(C22/C$25,4)</f>
        <v>0.0627</v>
      </c>
      <c r="E22" s="284">
        <v>1749147.98</v>
      </c>
      <c r="F22" s="285">
        <f>ROUND(E22/E$25,4)</f>
        <v>0.0425</v>
      </c>
    </row>
    <row r="23" spans="1:6" ht="12.75">
      <c r="A23" s="40">
        <f t="shared" si="0"/>
        <v>12</v>
      </c>
      <c r="B23" s="279" t="s">
        <v>399</v>
      </c>
      <c r="C23" s="151"/>
      <c r="D23" s="152"/>
      <c r="E23" s="662">
        <f>+E21+E22</f>
        <v>9295883.93</v>
      </c>
      <c r="F23" s="150">
        <f>ROUND(E23/E$25,4)</f>
        <v>0.226</v>
      </c>
    </row>
    <row r="24" spans="1:7" ht="12.75">
      <c r="A24" s="40">
        <f>A23+1</f>
        <v>13</v>
      </c>
      <c r="B24" s="39"/>
      <c r="C24" s="149"/>
      <c r="D24" s="150"/>
      <c r="E24" s="149"/>
      <c r="F24" s="152"/>
      <c r="G24" s="31" t="s">
        <v>85</v>
      </c>
    </row>
    <row r="25" spans="1:6" ht="13.5" thickBot="1">
      <c r="A25" s="40">
        <f t="shared" si="0"/>
        <v>14</v>
      </c>
      <c r="B25" s="279" t="s">
        <v>18</v>
      </c>
      <c r="C25" s="154">
        <f>SUM(C14:C23)</f>
        <v>40586990.02</v>
      </c>
      <c r="D25" s="155">
        <f>SUM(D12:D23)</f>
        <v>1.0000000000000002</v>
      </c>
      <c r="E25" s="280">
        <f>SUM(E14:E19)+E23</f>
        <v>41134636.79</v>
      </c>
      <c r="F25" s="155">
        <f>SUM(F12:F19)+F23</f>
        <v>1</v>
      </c>
    </row>
    <row r="26" spans="1:6" ht="13.5" thickTop="1">
      <c r="A26" s="156"/>
      <c r="B26" s="157"/>
      <c r="C26" s="159"/>
      <c r="D26" s="158"/>
      <c r="E26" s="159"/>
      <c r="F26" s="158"/>
    </row>
    <row r="27" spans="2:6" ht="12.75">
      <c r="B27" s="42"/>
      <c r="C27" s="160"/>
      <c r="D27" s="160"/>
      <c r="E27" s="160"/>
      <c r="F27" s="160"/>
    </row>
    <row r="28" spans="3:6" ht="12.75">
      <c r="C28" s="161"/>
      <c r="D28" s="161"/>
      <c r="E28" s="161"/>
      <c r="F28" s="161"/>
    </row>
    <row r="29" spans="3:6" ht="12.75">
      <c r="C29" s="161"/>
      <c r="D29" s="161"/>
      <c r="E29" s="161"/>
      <c r="F29" s="161"/>
    </row>
    <row r="30" spans="3:6" ht="12.75">
      <c r="C30" s="161"/>
      <c r="D30" s="161"/>
      <c r="E30" s="161"/>
      <c r="F30" s="161"/>
    </row>
    <row r="31" spans="3:6" ht="12.75">
      <c r="C31" s="45"/>
      <c r="D31" s="45"/>
      <c r="E31" s="45"/>
      <c r="F31" s="45"/>
    </row>
    <row r="32" spans="3:6" ht="12.75">
      <c r="C32" s="45"/>
      <c r="D32" s="45"/>
      <c r="E32" s="45"/>
      <c r="F32" s="45"/>
    </row>
    <row r="33" spans="3:6" ht="12.75">
      <c r="C33" s="45"/>
      <c r="D33" s="45"/>
      <c r="E33" s="45"/>
      <c r="F33" s="45"/>
    </row>
    <row r="34" spans="3:6" ht="12.75">
      <c r="C34" s="45"/>
      <c r="D34" s="45"/>
      <c r="E34" s="45"/>
      <c r="F34" s="45"/>
    </row>
    <row r="35" spans="3:6" ht="12.75">
      <c r="C35" s="45"/>
      <c r="D35" s="45"/>
      <c r="E35" s="45"/>
      <c r="F35" s="45"/>
    </row>
    <row r="36" spans="3:6" ht="12.75">
      <c r="C36" s="45"/>
      <c r="D36" s="45"/>
      <c r="E36" s="45"/>
      <c r="F36" s="45"/>
    </row>
  </sheetData>
  <sheetProtection/>
  <mergeCells count="5">
    <mergeCell ref="A3:F3"/>
    <mergeCell ref="A4:F4"/>
    <mergeCell ref="A5:F5"/>
    <mergeCell ref="C9:D9"/>
    <mergeCell ref="E9:F9"/>
  </mergeCells>
  <printOptions horizontalCentered="1"/>
  <pageMargins left="0.75" right="0.75" top="0.75" bottom="0.75" header="0.5" footer="0.5"/>
  <pageSetup horizontalDpi="600" verticalDpi="600" orientation="portrait" scale="80" r:id="rId1"/>
  <headerFooter alignWithMargins="0">
    <oddHeader>&amp;R&amp;"Arial,Regular"&amp;10Attachment O Work Paper
Page 17 of 20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4"/>
  <sheetViews>
    <sheetView showGridLines="0" defaultGridColor="0" zoomScalePageLayoutView="0" colorId="22" workbookViewId="0" topLeftCell="A1">
      <pane xSplit="2" topLeftCell="L1" activePane="topRight" state="frozen"/>
      <selection pane="topLeft" activeCell="A3" sqref="A3:E3"/>
      <selection pane="topRight" activeCell="A3" sqref="A3:O3"/>
    </sheetView>
  </sheetViews>
  <sheetFormatPr defaultColWidth="3.5546875" defaultRowHeight="15"/>
  <cols>
    <col min="1" max="1" width="3.5546875" style="227" bestFit="1" customWidth="1"/>
    <col min="2" max="2" width="39.4453125" style="227" customWidth="1"/>
    <col min="3" max="5" width="12.10546875" style="227" customWidth="1"/>
    <col min="6" max="13" width="13.10546875" style="227" customWidth="1"/>
    <col min="14" max="16" width="13.10546875" style="227" bestFit="1" customWidth="1"/>
    <col min="17" max="255" width="9.77734375" style="227" customWidth="1"/>
    <col min="256" max="16384" width="3.5546875" style="227" bestFit="1" customWidth="1"/>
  </cols>
  <sheetData>
    <row r="1" spans="2:16" ht="12.75">
      <c r="B1" s="228"/>
      <c r="O1" s="229"/>
      <c r="P1" s="229"/>
    </row>
    <row r="2" spans="2:16" ht="12.75">
      <c r="B2" s="230"/>
      <c r="O2" s="229"/>
      <c r="P2" s="229"/>
    </row>
    <row r="3" spans="1:15" ht="15">
      <c r="A3" s="737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</row>
    <row r="4" spans="1:15" ht="15">
      <c r="A4" s="739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</row>
    <row r="5" spans="1:15" ht="15">
      <c r="A5" s="740" t="s">
        <v>0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</row>
    <row r="6" spans="1:15" ht="12.75" customHeight="1">
      <c r="A6" s="740" t="s">
        <v>133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</row>
    <row r="7" spans="1:15" ht="12.75" customHeight="1">
      <c r="A7" s="741" t="s">
        <v>412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</row>
    <row r="9" ht="12.75">
      <c r="C9" s="232"/>
    </row>
    <row r="10" spans="2:17" s="233" customFormat="1" ht="12.75">
      <c r="B10" s="174" t="s">
        <v>2</v>
      </c>
      <c r="C10" s="174" t="s">
        <v>3</v>
      </c>
      <c r="D10" s="174" t="s">
        <v>4</v>
      </c>
      <c r="E10" s="174" t="s">
        <v>5</v>
      </c>
      <c r="F10" s="174" t="s">
        <v>6</v>
      </c>
      <c r="G10" s="174" t="s">
        <v>8</v>
      </c>
      <c r="H10" s="174" t="s">
        <v>7</v>
      </c>
      <c r="I10" s="174" t="s">
        <v>34</v>
      </c>
      <c r="J10" s="174" t="s">
        <v>35</v>
      </c>
      <c r="K10" s="174" t="s">
        <v>36</v>
      </c>
      <c r="L10" s="174" t="s">
        <v>95</v>
      </c>
      <c r="M10" s="174" t="s">
        <v>96</v>
      </c>
      <c r="N10" s="174" t="s">
        <v>97</v>
      </c>
      <c r="O10" s="174" t="s">
        <v>98</v>
      </c>
      <c r="P10" s="668" t="s">
        <v>99</v>
      </c>
      <c r="Q10" s="174"/>
    </row>
    <row r="11" spans="4:14" ht="12.75">
      <c r="D11" s="233"/>
      <c r="E11" s="233"/>
      <c r="F11" s="233"/>
      <c r="G11" s="233"/>
      <c r="H11" s="233"/>
      <c r="I11" s="233"/>
      <c r="J11" s="233"/>
      <c r="N11" s="234"/>
    </row>
    <row r="12" spans="1:16" ht="12.75">
      <c r="A12" s="235"/>
      <c r="B12" s="236" t="s">
        <v>108</v>
      </c>
      <c r="D12" s="1"/>
      <c r="E12" s="236"/>
      <c r="F12" s="231"/>
      <c r="G12" s="237"/>
      <c r="H12" s="237"/>
      <c r="I12" s="237"/>
      <c r="J12" s="237"/>
      <c r="K12" s="237"/>
      <c r="L12" s="236"/>
      <c r="M12" s="236"/>
      <c r="N12" s="236"/>
      <c r="O12" s="236"/>
      <c r="P12" s="236"/>
    </row>
    <row r="13" spans="1:16" ht="25.5">
      <c r="A13" s="238" t="s">
        <v>43</v>
      </c>
      <c r="B13" s="239" t="s">
        <v>134</v>
      </c>
      <c r="C13" s="240" t="s">
        <v>31</v>
      </c>
      <c r="D13" s="240" t="s">
        <v>38</v>
      </c>
      <c r="E13" s="240" t="s">
        <v>21</v>
      </c>
      <c r="F13" s="240" t="s">
        <v>22</v>
      </c>
      <c r="G13" s="240" t="s">
        <v>23</v>
      </c>
      <c r="H13" s="240" t="s">
        <v>24</v>
      </c>
      <c r="I13" s="240" t="s">
        <v>25</v>
      </c>
      <c r="J13" s="240" t="s">
        <v>26</v>
      </c>
      <c r="K13" s="240" t="s">
        <v>27</v>
      </c>
      <c r="L13" s="240" t="s">
        <v>28</v>
      </c>
      <c r="M13" s="240" t="s">
        <v>29</v>
      </c>
      <c r="N13" s="240" t="s">
        <v>30</v>
      </c>
      <c r="O13" s="240" t="s">
        <v>31</v>
      </c>
      <c r="P13" s="663" t="s">
        <v>32</v>
      </c>
    </row>
    <row r="14" spans="1:16" ht="19.5" customHeight="1">
      <c r="A14" s="241">
        <v>1</v>
      </c>
      <c r="B14" s="242" t="s">
        <v>135</v>
      </c>
      <c r="C14" s="243">
        <v>205661391</v>
      </c>
      <c r="D14" s="244">
        <f>C14</f>
        <v>205661391</v>
      </c>
      <c r="E14" s="244">
        <f>D14</f>
        <v>205661391</v>
      </c>
      <c r="F14" s="244">
        <f>E14</f>
        <v>205661391</v>
      </c>
      <c r="G14" s="244">
        <f aca="true" t="shared" si="0" ref="G14:O14">F18</f>
        <v>205661391</v>
      </c>
      <c r="H14" s="244">
        <f t="shared" si="0"/>
        <v>205661391</v>
      </c>
      <c r="I14" s="244">
        <f t="shared" si="0"/>
        <v>205661391</v>
      </c>
      <c r="J14" s="244">
        <f t="shared" si="0"/>
        <v>205661391</v>
      </c>
      <c r="K14" s="244">
        <f t="shared" si="0"/>
        <v>205661391</v>
      </c>
      <c r="L14" s="244">
        <f t="shared" si="0"/>
        <v>205661391</v>
      </c>
      <c r="M14" s="244">
        <f t="shared" si="0"/>
        <v>205661391</v>
      </c>
      <c r="N14" s="244">
        <f t="shared" si="0"/>
        <v>205661391</v>
      </c>
      <c r="O14" s="244">
        <f t="shared" si="0"/>
        <v>205661391</v>
      </c>
      <c r="P14" s="244">
        <f>SUM(C14:O14)/13</f>
        <v>205661391</v>
      </c>
    </row>
    <row r="15" spans="1:16" ht="19.5" customHeight="1">
      <c r="A15" s="241">
        <v>2</v>
      </c>
      <c r="B15" s="242"/>
      <c r="C15" s="243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</row>
    <row r="16" spans="1:16" ht="19.5" customHeight="1">
      <c r="A16" s="241">
        <v>3</v>
      </c>
      <c r="B16" s="242" t="s">
        <v>136</v>
      </c>
      <c r="C16" s="245"/>
      <c r="D16" s="245"/>
      <c r="E16" s="245"/>
      <c r="F16" s="245"/>
      <c r="G16" s="245"/>
      <c r="H16" s="243"/>
      <c r="I16" s="245"/>
      <c r="J16" s="245"/>
      <c r="K16" s="243"/>
      <c r="L16" s="243"/>
      <c r="M16" s="190"/>
      <c r="N16" s="245"/>
      <c r="O16" s="190"/>
      <c r="P16" s="190"/>
    </row>
    <row r="17" spans="1:16" ht="19.5" customHeight="1">
      <c r="A17" s="241">
        <v>4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</row>
    <row r="18" spans="1:16" ht="24" customHeight="1">
      <c r="A18" s="241">
        <v>5</v>
      </c>
      <c r="B18" s="247" t="s">
        <v>137</v>
      </c>
      <c r="C18" s="248">
        <f aca="true" t="shared" si="1" ref="C18:O18">SUM(C14:C17)</f>
        <v>205661391</v>
      </c>
      <c r="D18" s="248">
        <f t="shared" si="1"/>
        <v>205661391</v>
      </c>
      <c r="E18" s="248">
        <f t="shared" si="1"/>
        <v>205661391</v>
      </c>
      <c r="F18" s="248">
        <f t="shared" si="1"/>
        <v>205661391</v>
      </c>
      <c r="G18" s="248">
        <f t="shared" si="1"/>
        <v>205661391</v>
      </c>
      <c r="H18" s="248">
        <f t="shared" si="1"/>
        <v>205661391</v>
      </c>
      <c r="I18" s="248">
        <f t="shared" si="1"/>
        <v>205661391</v>
      </c>
      <c r="J18" s="248">
        <f t="shared" si="1"/>
        <v>205661391</v>
      </c>
      <c r="K18" s="248">
        <f t="shared" si="1"/>
        <v>205661391</v>
      </c>
      <c r="L18" s="248">
        <f t="shared" si="1"/>
        <v>205661391</v>
      </c>
      <c r="M18" s="248">
        <f t="shared" si="1"/>
        <v>205661391</v>
      </c>
      <c r="N18" s="248">
        <f t="shared" si="1"/>
        <v>205661391</v>
      </c>
      <c r="O18" s="248">
        <f t="shared" si="1"/>
        <v>205661391</v>
      </c>
      <c r="P18" s="248">
        <f>SUM(P14:P17)</f>
        <v>205661391</v>
      </c>
    </row>
    <row r="19" spans="1:16" ht="22.5" customHeight="1">
      <c r="A19" s="241">
        <v>6</v>
      </c>
      <c r="B19" s="249" t="s">
        <v>138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</row>
    <row r="20" spans="1:16" ht="19.5" customHeight="1">
      <c r="A20" s="241">
        <v>7</v>
      </c>
      <c r="B20" s="242" t="s">
        <v>139</v>
      </c>
      <c r="C20" s="251">
        <f>126470924-675005</f>
        <v>125795919</v>
      </c>
      <c r="D20" s="245">
        <f aca="true" t="shared" si="2" ref="D20:O20">C24</f>
        <v>123098702</v>
      </c>
      <c r="E20" s="245">
        <f t="shared" si="2"/>
        <v>126486511</v>
      </c>
      <c r="F20" s="245">
        <f t="shared" si="2"/>
        <v>128776476</v>
      </c>
      <c r="G20" s="245">
        <f t="shared" si="2"/>
        <v>122112777</v>
      </c>
      <c r="H20" s="245">
        <f t="shared" si="2"/>
        <v>122908601</v>
      </c>
      <c r="I20" s="245">
        <f t="shared" si="2"/>
        <v>124004541</v>
      </c>
      <c r="J20" s="245">
        <f t="shared" si="2"/>
        <v>117134124</v>
      </c>
      <c r="K20" s="245">
        <f t="shared" si="2"/>
        <v>121050773</v>
      </c>
      <c r="L20" s="245">
        <f t="shared" si="2"/>
        <v>124522375</v>
      </c>
      <c r="M20" s="245">
        <f t="shared" si="2"/>
        <v>117798293</v>
      </c>
      <c r="N20" s="245">
        <f t="shared" si="2"/>
        <v>120059136</v>
      </c>
      <c r="O20" s="245">
        <f t="shared" si="2"/>
        <v>123195967</v>
      </c>
      <c r="P20" s="244">
        <f>SUM(C20:O20)/13</f>
        <v>122841861.15384616</v>
      </c>
    </row>
    <row r="21" spans="1:16" ht="19.5" customHeight="1">
      <c r="A21" s="241">
        <v>8</v>
      </c>
      <c r="B21" s="242" t="s">
        <v>143</v>
      </c>
      <c r="C21" s="190">
        <v>5681991</v>
      </c>
      <c r="D21" s="190">
        <v>3387807</v>
      </c>
      <c r="E21" s="190">
        <v>2289970</v>
      </c>
      <c r="F21" s="190">
        <v>1859129</v>
      </c>
      <c r="G21" s="190">
        <v>795827</v>
      </c>
      <c r="H21" s="190">
        <v>1095945</v>
      </c>
      <c r="I21" s="190">
        <v>1654375</v>
      </c>
      <c r="J21" s="190">
        <v>3916648</v>
      </c>
      <c r="K21" s="190">
        <v>3471601</v>
      </c>
      <c r="L21" s="190">
        <v>1862470</v>
      </c>
      <c r="M21" s="190">
        <v>2260840</v>
      </c>
      <c r="N21" s="190">
        <v>3136832</v>
      </c>
      <c r="O21" s="190">
        <v>3508042</v>
      </c>
      <c r="P21" s="244">
        <f>SUM(C21:O21)/13</f>
        <v>2686267.4615384615</v>
      </c>
    </row>
    <row r="22" spans="1:16" ht="19.5" customHeight="1">
      <c r="A22" s="241">
        <v>9</v>
      </c>
      <c r="B22" s="242" t="s">
        <v>144</v>
      </c>
      <c r="C22" s="190">
        <v>-8467820</v>
      </c>
      <c r="D22" s="190">
        <v>0</v>
      </c>
      <c r="E22" s="190">
        <v>0</v>
      </c>
      <c r="F22" s="190">
        <f>-8611442</f>
        <v>-8611442</v>
      </c>
      <c r="G22" s="190">
        <v>0</v>
      </c>
      <c r="H22" s="190">
        <v>0</v>
      </c>
      <c r="I22" s="190">
        <f>-8613403</f>
        <v>-8613403</v>
      </c>
      <c r="J22" s="190">
        <v>0</v>
      </c>
      <c r="K22" s="190">
        <v>0</v>
      </c>
      <c r="L22" s="190">
        <f>-8675161</f>
        <v>-8675161</v>
      </c>
      <c r="M22" s="190">
        <v>0</v>
      </c>
      <c r="N22" s="190">
        <v>0</v>
      </c>
      <c r="O22" s="190">
        <f>-8737802</f>
        <v>-8737802</v>
      </c>
      <c r="P22" s="244">
        <f>SUM(C22:O22)/13</f>
        <v>-3315817.5384615385</v>
      </c>
    </row>
    <row r="23" spans="1:16" ht="19.5" customHeight="1">
      <c r="A23" s="241">
        <v>10</v>
      </c>
      <c r="B23" s="242" t="s">
        <v>145</v>
      </c>
      <c r="C23" s="190">
        <v>88612</v>
      </c>
      <c r="D23" s="190">
        <v>2</v>
      </c>
      <c r="E23" s="190">
        <v>-5</v>
      </c>
      <c r="F23" s="190">
        <f>586393-497781+2</f>
        <v>88614</v>
      </c>
      <c r="G23" s="190">
        <v>-3</v>
      </c>
      <c r="H23" s="190">
        <v>-5</v>
      </c>
      <c r="I23" s="190">
        <f>497781-409169-1</f>
        <v>88611</v>
      </c>
      <c r="J23" s="190">
        <v>1</v>
      </c>
      <c r="K23" s="190">
        <v>1</v>
      </c>
      <c r="L23" s="190">
        <f>409169-320557-3</f>
        <v>88609</v>
      </c>
      <c r="M23" s="190">
        <v>3</v>
      </c>
      <c r="N23" s="190">
        <v>-1</v>
      </c>
      <c r="O23" s="190">
        <f>320557-231946-1</f>
        <v>88610</v>
      </c>
      <c r="P23" s="244">
        <f>SUM(C23:O23)/13</f>
        <v>34080.692307692305</v>
      </c>
    </row>
    <row r="24" spans="1:16" ht="26.25" customHeight="1">
      <c r="A24" s="241">
        <v>11</v>
      </c>
      <c r="B24" s="242" t="s">
        <v>140</v>
      </c>
      <c r="C24" s="252">
        <f aca="true" t="shared" si="3" ref="C24:O24">SUM(C20:C23)</f>
        <v>123098702</v>
      </c>
      <c r="D24" s="252">
        <f t="shared" si="3"/>
        <v>126486511</v>
      </c>
      <c r="E24" s="250">
        <f t="shared" si="3"/>
        <v>128776476</v>
      </c>
      <c r="F24" s="250">
        <f t="shared" si="3"/>
        <v>122112777</v>
      </c>
      <c r="G24" s="250">
        <f t="shared" si="3"/>
        <v>122908601</v>
      </c>
      <c r="H24" s="250">
        <f t="shared" si="3"/>
        <v>124004541</v>
      </c>
      <c r="I24" s="250">
        <f t="shared" si="3"/>
        <v>117134124</v>
      </c>
      <c r="J24" s="250">
        <f t="shared" si="3"/>
        <v>121050773</v>
      </c>
      <c r="K24" s="250">
        <f t="shared" si="3"/>
        <v>124522375</v>
      </c>
      <c r="L24" s="250">
        <f t="shared" si="3"/>
        <v>117798293</v>
      </c>
      <c r="M24" s="250">
        <f t="shared" si="3"/>
        <v>120059136</v>
      </c>
      <c r="N24" s="250">
        <f t="shared" si="3"/>
        <v>123195967</v>
      </c>
      <c r="O24" s="250">
        <f t="shared" si="3"/>
        <v>118054817</v>
      </c>
      <c r="P24" s="244">
        <f>SUM(C24:O24)/13</f>
        <v>122246391.76923077</v>
      </c>
    </row>
    <row r="25" spans="1:16" ht="20.25" customHeight="1">
      <c r="A25" s="241">
        <v>12</v>
      </c>
      <c r="B25" s="242" t="s">
        <v>141</v>
      </c>
      <c r="C25" s="253">
        <v>0</v>
      </c>
      <c r="D25" s="252">
        <f aca="true" t="shared" si="4" ref="D25:N25">C25</f>
        <v>0</v>
      </c>
      <c r="E25" s="252">
        <f t="shared" si="4"/>
        <v>0</v>
      </c>
      <c r="F25" s="252">
        <f t="shared" si="4"/>
        <v>0</v>
      </c>
      <c r="G25" s="252">
        <f t="shared" si="4"/>
        <v>0</v>
      </c>
      <c r="H25" s="252">
        <f t="shared" si="4"/>
        <v>0</v>
      </c>
      <c r="I25" s="252">
        <f t="shared" si="4"/>
        <v>0</v>
      </c>
      <c r="J25" s="252">
        <f t="shared" si="4"/>
        <v>0</v>
      </c>
      <c r="K25" s="252">
        <f t="shared" si="4"/>
        <v>0</v>
      </c>
      <c r="L25" s="252">
        <f t="shared" si="4"/>
        <v>0</v>
      </c>
      <c r="M25" s="252">
        <f t="shared" si="4"/>
        <v>0</v>
      </c>
      <c r="N25" s="252">
        <f t="shared" si="4"/>
        <v>0</v>
      </c>
      <c r="O25" s="252"/>
      <c r="P25" s="252"/>
    </row>
    <row r="26" spans="1:16" ht="33" customHeight="1">
      <c r="A26" s="254">
        <v>13</v>
      </c>
      <c r="B26" s="247" t="s">
        <v>142</v>
      </c>
      <c r="C26" s="248">
        <f aca="true" t="shared" si="5" ref="C26:O26">C18+C24+C25</f>
        <v>328760093</v>
      </c>
      <c r="D26" s="248">
        <f t="shared" si="5"/>
        <v>332147902</v>
      </c>
      <c r="E26" s="248">
        <f t="shared" si="5"/>
        <v>334437867</v>
      </c>
      <c r="F26" s="248">
        <f t="shared" si="5"/>
        <v>327774168</v>
      </c>
      <c r="G26" s="248">
        <f t="shared" si="5"/>
        <v>328569992</v>
      </c>
      <c r="H26" s="248">
        <f t="shared" si="5"/>
        <v>329665932</v>
      </c>
      <c r="I26" s="248">
        <f t="shared" si="5"/>
        <v>322795515</v>
      </c>
      <c r="J26" s="248">
        <f t="shared" si="5"/>
        <v>326712164</v>
      </c>
      <c r="K26" s="248">
        <f t="shared" si="5"/>
        <v>330183766</v>
      </c>
      <c r="L26" s="248">
        <f t="shared" si="5"/>
        <v>323459684</v>
      </c>
      <c r="M26" s="248">
        <f t="shared" si="5"/>
        <v>325720527</v>
      </c>
      <c r="N26" s="248">
        <f t="shared" si="5"/>
        <v>328857358</v>
      </c>
      <c r="O26" s="664">
        <f t="shared" si="5"/>
        <v>323716208</v>
      </c>
      <c r="P26" s="505">
        <f>P18+P24+P25</f>
        <v>327907782.7692308</v>
      </c>
    </row>
    <row r="27" spans="1:3" ht="12.75">
      <c r="A27" s="233"/>
      <c r="C27" s="228"/>
    </row>
    <row r="28" spans="1:16" ht="12.75">
      <c r="A28" s="233"/>
      <c r="B28" s="74"/>
      <c r="C28" s="232"/>
      <c r="D28" s="255"/>
      <c r="E28" s="232"/>
      <c r="I28" s="232"/>
      <c r="O28" s="232"/>
      <c r="P28" s="232"/>
    </row>
    <row r="29" spans="1:16" ht="12.75">
      <c r="A29" s="233"/>
      <c r="C29" s="232"/>
      <c r="D29" s="255"/>
      <c r="E29" s="232"/>
      <c r="I29" s="232"/>
      <c r="O29" s="232"/>
      <c r="P29" s="232"/>
    </row>
    <row r="30" spans="1:16" ht="12.75">
      <c r="A30" s="233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</row>
    <row r="31" spans="1:16" ht="12.75">
      <c r="A31" s="233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</row>
    <row r="32" ht="12.75">
      <c r="B32" s="257"/>
    </row>
    <row r="33" spans="13:16" s="255" customFormat="1" ht="12.75">
      <c r="M33" s="227"/>
      <c r="O33" s="232"/>
      <c r="P33" s="232"/>
    </row>
    <row r="34" ht="12.75">
      <c r="C34" s="258"/>
    </row>
  </sheetData>
  <sheetProtection/>
  <mergeCells count="5">
    <mergeCell ref="A3:O3"/>
    <mergeCell ref="A4:O4"/>
    <mergeCell ref="A5:O5"/>
    <mergeCell ref="A6:O6"/>
    <mergeCell ref="A7:O7"/>
  </mergeCells>
  <printOptions horizontalCentered="1"/>
  <pageMargins left="0.5" right="0.5" top="0.75" bottom="0.5" header="0.5" footer="0.5"/>
  <pageSetup fitToHeight="1" fitToWidth="1" horizontalDpi="300" verticalDpi="300" orientation="landscape" scale="47" r:id="rId1"/>
  <headerFooter alignWithMargins="0">
    <oddHeader>&amp;R&amp;"Arial,Regular"&amp;10Attachment O Work Paper
Page 18 of 20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59"/>
  <sheetViews>
    <sheetView showGridLines="0" zoomScalePageLayoutView="0" workbookViewId="0" topLeftCell="A1">
      <pane xSplit="3" topLeftCell="O1" activePane="topRight" state="frozen"/>
      <selection pane="topLeft" activeCell="A3" sqref="A3:E3"/>
      <selection pane="topRight" activeCell="T41" sqref="T41"/>
    </sheetView>
  </sheetViews>
  <sheetFormatPr defaultColWidth="3.5546875" defaultRowHeight="12.75" customHeight="1"/>
  <cols>
    <col min="1" max="1" width="3.5546875" style="74" bestFit="1" customWidth="1"/>
    <col min="2" max="2" width="36.6640625" style="74" customWidth="1"/>
    <col min="3" max="3" width="10.77734375" style="74" customWidth="1"/>
    <col min="4" max="18" width="11.88671875" style="74" customWidth="1"/>
    <col min="19" max="19" width="1.5625" style="74" customWidth="1"/>
    <col min="20" max="25" width="15.77734375" style="74" customWidth="1"/>
    <col min="26" max="26" width="7.77734375" style="74" customWidth="1"/>
    <col min="27" max="30" width="15.77734375" style="74" customWidth="1"/>
    <col min="31" max="255" width="9.77734375" style="74" customWidth="1"/>
    <col min="256" max="16384" width="3.5546875" style="74" bestFit="1" customWidth="1"/>
  </cols>
  <sheetData>
    <row r="1" spans="2:18" ht="12.75" customHeight="1">
      <c r="B1" s="16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68"/>
    </row>
    <row r="2" spans="2:18" ht="12.75" customHeight="1">
      <c r="B2" s="16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68"/>
    </row>
    <row r="3" spans="1:18" ht="12.75" customHeight="1">
      <c r="A3" s="730"/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</row>
    <row r="4" spans="2:16" ht="12.75" customHeight="1">
      <c r="B4" s="169"/>
      <c r="C4" s="78"/>
      <c r="D4" s="170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8" ht="12.75" customHeight="1">
      <c r="A5" s="740" t="s">
        <v>0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</row>
    <row r="6" spans="1:18" ht="12.75" customHeight="1">
      <c r="A6" s="730" t="s">
        <v>93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</row>
    <row r="7" spans="1:18" ht="12.75" customHeight="1">
      <c r="A7" s="740" t="s">
        <v>94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</row>
    <row r="8" spans="2:18" ht="12.75" customHeight="1">
      <c r="B8" s="171"/>
      <c r="C8" s="172"/>
      <c r="D8" s="172"/>
      <c r="E8" s="172"/>
      <c r="F8" s="172"/>
      <c r="G8" s="173"/>
      <c r="H8" s="173"/>
      <c r="I8" s="173"/>
      <c r="J8" s="173"/>
      <c r="K8" s="173"/>
      <c r="L8" s="173"/>
      <c r="M8" s="172"/>
      <c r="N8" s="172"/>
      <c r="O8" s="172"/>
      <c r="P8" s="172"/>
      <c r="Q8" s="172"/>
      <c r="R8" s="172"/>
    </row>
    <row r="9" spans="1:18" ht="12.75" customHeight="1">
      <c r="A9" s="73"/>
      <c r="B9" s="174" t="s">
        <v>2</v>
      </c>
      <c r="C9" s="174" t="s">
        <v>3</v>
      </c>
      <c r="D9" s="174" t="s">
        <v>4</v>
      </c>
      <c r="E9" s="174" t="s">
        <v>5</v>
      </c>
      <c r="F9" s="174" t="s">
        <v>6</v>
      </c>
      <c r="G9" s="174" t="s">
        <v>8</v>
      </c>
      <c r="H9" s="174" t="s">
        <v>7</v>
      </c>
      <c r="I9" s="174" t="s">
        <v>34</v>
      </c>
      <c r="J9" s="174" t="s">
        <v>35</v>
      </c>
      <c r="K9" s="174" t="s">
        <v>36</v>
      </c>
      <c r="L9" s="174" t="s">
        <v>95</v>
      </c>
      <c r="M9" s="174" t="s">
        <v>96</v>
      </c>
      <c r="N9" s="174" t="s">
        <v>97</v>
      </c>
      <c r="O9" s="174" t="s">
        <v>98</v>
      </c>
      <c r="P9" s="174" t="s">
        <v>99</v>
      </c>
      <c r="Q9" s="174" t="s">
        <v>100</v>
      </c>
      <c r="R9" s="174" t="s">
        <v>101</v>
      </c>
    </row>
    <row r="10" spans="2:18" ht="12.75" customHeight="1">
      <c r="B10" s="78"/>
      <c r="C10" s="175" t="s">
        <v>102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176" t="s">
        <v>103</v>
      </c>
      <c r="R10" s="176" t="s">
        <v>104</v>
      </c>
    </row>
    <row r="11" spans="2:18" ht="12.75" customHeight="1">
      <c r="B11" s="78"/>
      <c r="C11" s="177" t="s">
        <v>105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178" t="s">
        <v>106</v>
      </c>
      <c r="R11" s="178" t="s">
        <v>107</v>
      </c>
    </row>
    <row r="12" spans="1:18" ht="12.75" customHeight="1">
      <c r="A12" s="76" t="s">
        <v>9</v>
      </c>
      <c r="B12" s="179" t="s">
        <v>39</v>
      </c>
      <c r="C12" s="180" t="s">
        <v>104</v>
      </c>
      <c r="D12" s="742" t="s">
        <v>108</v>
      </c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4"/>
      <c r="Q12" s="180" t="s">
        <v>109</v>
      </c>
      <c r="R12" s="180" t="s">
        <v>110</v>
      </c>
    </row>
    <row r="13" spans="1:18" ht="12.75" customHeight="1">
      <c r="A13" s="80" t="s">
        <v>11</v>
      </c>
      <c r="B13" s="181"/>
      <c r="C13" s="182"/>
      <c r="D13" s="183" t="s">
        <v>31</v>
      </c>
      <c r="E13" s="183" t="s">
        <v>38</v>
      </c>
      <c r="F13" s="183" t="s">
        <v>21</v>
      </c>
      <c r="G13" s="183" t="s">
        <v>22</v>
      </c>
      <c r="H13" s="183" t="s">
        <v>23</v>
      </c>
      <c r="I13" s="183" t="s">
        <v>24</v>
      </c>
      <c r="J13" s="183" t="s">
        <v>25</v>
      </c>
      <c r="K13" s="183" t="s">
        <v>26</v>
      </c>
      <c r="L13" s="183" t="s">
        <v>27</v>
      </c>
      <c r="M13" s="183" t="s">
        <v>28</v>
      </c>
      <c r="N13" s="183" t="s">
        <v>29</v>
      </c>
      <c r="O13" s="183" t="s">
        <v>30</v>
      </c>
      <c r="P13" s="183" t="s">
        <v>31</v>
      </c>
      <c r="Q13" s="181"/>
      <c r="R13" s="181"/>
    </row>
    <row r="14" spans="1:18" ht="12.75" customHeight="1">
      <c r="A14" s="77">
        <v>1</v>
      </c>
      <c r="B14" s="185" t="s">
        <v>111</v>
      </c>
      <c r="C14" s="186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8"/>
      <c r="Q14" s="187"/>
      <c r="R14" s="187"/>
    </row>
    <row r="15" spans="1:18" ht="12.75" customHeight="1">
      <c r="A15" s="77">
        <f>A14+1</f>
        <v>2</v>
      </c>
      <c r="B15" s="189" t="s">
        <v>112</v>
      </c>
      <c r="C15" s="287">
        <v>0.067</v>
      </c>
      <c r="D15" s="605">
        <v>90000000</v>
      </c>
      <c r="E15" s="605">
        <v>90000000</v>
      </c>
      <c r="F15" s="605">
        <v>90000000</v>
      </c>
      <c r="G15" s="605">
        <v>90000000</v>
      </c>
      <c r="H15" s="605">
        <v>90000000</v>
      </c>
      <c r="I15" s="605">
        <v>90000000</v>
      </c>
      <c r="J15" s="605">
        <v>90000000</v>
      </c>
      <c r="K15" s="605">
        <v>90000000</v>
      </c>
      <c r="L15" s="605">
        <v>90000000</v>
      </c>
      <c r="M15" s="605">
        <v>90000000</v>
      </c>
      <c r="N15" s="605">
        <v>90000000</v>
      </c>
      <c r="O15" s="605">
        <v>90000000</v>
      </c>
      <c r="P15" s="605">
        <v>90000000</v>
      </c>
      <c r="Q15" s="191">
        <f>SUM(C15:P15)/13</f>
        <v>90000000.00515383</v>
      </c>
      <c r="R15" s="191">
        <f aca="true" t="shared" si="0" ref="R15:R25">C15*Q15</f>
        <v>6030000.000345307</v>
      </c>
    </row>
    <row r="16" spans="1:18" ht="12.75" customHeight="1">
      <c r="A16" s="77">
        <f aca="true" t="shared" si="1" ref="A16:A39">A15+1</f>
        <v>3</v>
      </c>
      <c r="B16" s="192" t="s">
        <v>113</v>
      </c>
      <c r="C16" s="288">
        <v>0.05778</v>
      </c>
      <c r="D16" s="605">
        <v>0</v>
      </c>
      <c r="E16" s="605">
        <v>0</v>
      </c>
      <c r="F16" s="605">
        <v>0</v>
      </c>
      <c r="G16" s="605">
        <v>0</v>
      </c>
      <c r="H16" s="605">
        <v>0</v>
      </c>
      <c r="I16" s="605">
        <v>0</v>
      </c>
      <c r="J16" s="605">
        <v>0</v>
      </c>
      <c r="K16" s="605">
        <v>0</v>
      </c>
      <c r="L16" s="605">
        <v>0</v>
      </c>
      <c r="M16" s="605">
        <v>0</v>
      </c>
      <c r="N16" s="605">
        <v>0</v>
      </c>
      <c r="O16" s="605">
        <v>0</v>
      </c>
      <c r="P16" s="605">
        <v>0</v>
      </c>
      <c r="Q16" s="191">
        <f aca="true" t="shared" si="2" ref="Q16:Q25">SUM(C16:P16)/13</f>
        <v>0.0044446153846153845</v>
      </c>
      <c r="R16" s="191">
        <f t="shared" si="0"/>
        <v>0.0002568098769230769</v>
      </c>
    </row>
    <row r="17" spans="1:18" ht="12.75" customHeight="1">
      <c r="A17" s="77">
        <f t="shared" si="1"/>
        <v>4</v>
      </c>
      <c r="B17" s="192" t="s">
        <v>114</v>
      </c>
      <c r="C17" s="288">
        <v>0.0595</v>
      </c>
      <c r="D17" s="606">
        <v>33000000</v>
      </c>
      <c r="E17" s="606">
        <v>33000000</v>
      </c>
      <c r="F17" s="606">
        <v>33000000</v>
      </c>
      <c r="G17" s="606">
        <v>33000000</v>
      </c>
      <c r="H17" s="606">
        <v>33000000</v>
      </c>
      <c r="I17" s="606">
        <v>33000000</v>
      </c>
      <c r="J17" s="606">
        <v>33000000</v>
      </c>
      <c r="K17" s="606">
        <v>33000000</v>
      </c>
      <c r="L17" s="606">
        <v>33000000</v>
      </c>
      <c r="M17" s="606">
        <v>33000000</v>
      </c>
      <c r="N17" s="606">
        <v>33000000</v>
      </c>
      <c r="O17" s="606">
        <v>33000000</v>
      </c>
      <c r="P17" s="606">
        <v>33000000</v>
      </c>
      <c r="Q17" s="191">
        <f t="shared" si="2"/>
        <v>33000000.00457692</v>
      </c>
      <c r="R17" s="191">
        <f t="shared" si="0"/>
        <v>1963500.0002723266</v>
      </c>
    </row>
    <row r="18" spans="1:18" ht="12.75" customHeight="1">
      <c r="A18" s="77">
        <f t="shared" si="1"/>
        <v>5</v>
      </c>
      <c r="B18" s="192" t="s">
        <v>115</v>
      </c>
      <c r="C18" s="288">
        <v>0.0615</v>
      </c>
      <c r="D18" s="606">
        <v>30000000</v>
      </c>
      <c r="E18" s="606">
        <v>30000000</v>
      </c>
      <c r="F18" s="606">
        <v>30000000</v>
      </c>
      <c r="G18" s="606">
        <v>30000000</v>
      </c>
      <c r="H18" s="606">
        <v>30000000</v>
      </c>
      <c r="I18" s="606">
        <v>30000000</v>
      </c>
      <c r="J18" s="606">
        <v>30000000</v>
      </c>
      <c r="K18" s="606">
        <v>30000000</v>
      </c>
      <c r="L18" s="606">
        <v>30000000</v>
      </c>
      <c r="M18" s="606">
        <v>30000000</v>
      </c>
      <c r="N18" s="606">
        <v>30000000</v>
      </c>
      <c r="O18" s="606">
        <v>30000000</v>
      </c>
      <c r="P18" s="606">
        <v>30000000</v>
      </c>
      <c r="Q18" s="191">
        <f t="shared" si="2"/>
        <v>30000000.00473077</v>
      </c>
      <c r="R18" s="191">
        <f t="shared" si="0"/>
        <v>1845000.0002909421</v>
      </c>
    </row>
    <row r="19" spans="1:18" ht="12.75" customHeight="1">
      <c r="A19" s="77">
        <f t="shared" si="1"/>
        <v>6</v>
      </c>
      <c r="B19" s="192" t="s">
        <v>116</v>
      </c>
      <c r="C19" s="288">
        <v>0.0637</v>
      </c>
      <c r="D19" s="606">
        <v>42000000</v>
      </c>
      <c r="E19" s="606">
        <v>42000000</v>
      </c>
      <c r="F19" s="606">
        <v>42000000</v>
      </c>
      <c r="G19" s="606">
        <v>42000000</v>
      </c>
      <c r="H19" s="606">
        <v>42000000</v>
      </c>
      <c r="I19" s="606">
        <v>42000000</v>
      </c>
      <c r="J19" s="606">
        <v>42000000</v>
      </c>
      <c r="K19" s="606">
        <v>42000000</v>
      </c>
      <c r="L19" s="606">
        <v>42000000</v>
      </c>
      <c r="M19" s="606">
        <v>42000000</v>
      </c>
      <c r="N19" s="606">
        <v>42000000</v>
      </c>
      <c r="O19" s="606">
        <v>42000000</v>
      </c>
      <c r="P19" s="606">
        <v>42000000</v>
      </c>
      <c r="Q19" s="191">
        <f t="shared" si="2"/>
        <v>42000000.00489999</v>
      </c>
      <c r="R19" s="191">
        <f t="shared" si="0"/>
        <v>2675400.00031213</v>
      </c>
    </row>
    <row r="20" spans="1:18" ht="12.75" customHeight="1">
      <c r="A20" s="77">
        <f t="shared" si="1"/>
        <v>7</v>
      </c>
      <c r="B20" s="192" t="s">
        <v>117</v>
      </c>
      <c r="C20" s="288">
        <v>0.0647</v>
      </c>
      <c r="D20" s="606">
        <v>50000000</v>
      </c>
      <c r="E20" s="606">
        <v>50000000</v>
      </c>
      <c r="F20" s="606">
        <v>50000000</v>
      </c>
      <c r="G20" s="606">
        <v>50000000</v>
      </c>
      <c r="H20" s="606">
        <v>50000000</v>
      </c>
      <c r="I20" s="606">
        <v>50000000</v>
      </c>
      <c r="J20" s="606">
        <v>50000000</v>
      </c>
      <c r="K20" s="606">
        <v>50000000</v>
      </c>
      <c r="L20" s="606">
        <v>50000000</v>
      </c>
      <c r="M20" s="606">
        <v>50000000</v>
      </c>
      <c r="N20" s="606">
        <v>50000000</v>
      </c>
      <c r="O20" s="606">
        <v>50000000</v>
      </c>
      <c r="P20" s="606">
        <v>50000000</v>
      </c>
      <c r="Q20" s="191">
        <f t="shared" si="2"/>
        <v>50000000.00497692</v>
      </c>
      <c r="R20" s="191">
        <f t="shared" si="0"/>
        <v>3235000.0003220066</v>
      </c>
    </row>
    <row r="21" spans="1:18" ht="12.75" customHeight="1">
      <c r="A21" s="77">
        <f t="shared" si="1"/>
        <v>8</v>
      </c>
      <c r="B21" s="192" t="s">
        <v>118</v>
      </c>
      <c r="C21" s="288" t="s">
        <v>119</v>
      </c>
      <c r="D21" s="606">
        <v>53000000</v>
      </c>
      <c r="E21" s="606">
        <v>43000000</v>
      </c>
      <c r="F21" s="606">
        <v>43000000</v>
      </c>
      <c r="G21" s="606">
        <v>43000000</v>
      </c>
      <c r="H21" s="606">
        <v>8000000</v>
      </c>
      <c r="I21" s="606">
        <v>8000000</v>
      </c>
      <c r="J21" s="606">
        <v>8000000</v>
      </c>
      <c r="K21" s="606">
        <v>8000000</v>
      </c>
      <c r="L21" s="606">
        <v>8000000</v>
      </c>
      <c r="M21" s="606">
        <v>8000000</v>
      </c>
      <c r="N21" s="606">
        <v>8000000</v>
      </c>
      <c r="O21" s="606">
        <v>0</v>
      </c>
      <c r="P21" s="606">
        <v>0</v>
      </c>
      <c r="Q21" s="191">
        <f t="shared" si="2"/>
        <v>18307692.307692308</v>
      </c>
      <c r="R21" s="191">
        <f>'[2]Interest Calc'!P18</f>
        <v>1156250</v>
      </c>
    </row>
    <row r="22" spans="1:18" ht="12.75" customHeight="1">
      <c r="A22" s="77">
        <f t="shared" si="1"/>
        <v>9</v>
      </c>
      <c r="B22" s="193" t="s">
        <v>120</v>
      </c>
      <c r="C22" s="288">
        <v>0.0533</v>
      </c>
      <c r="D22" s="606">
        <v>6000000</v>
      </c>
      <c r="E22" s="606">
        <v>6000000</v>
      </c>
      <c r="F22" s="606">
        <v>6000000</v>
      </c>
      <c r="G22" s="606">
        <v>6000000</v>
      </c>
      <c r="H22" s="606">
        <v>6000000</v>
      </c>
      <c r="I22" s="606">
        <v>6000000</v>
      </c>
      <c r="J22" s="606">
        <v>6000000</v>
      </c>
      <c r="K22" s="606">
        <v>6000000</v>
      </c>
      <c r="L22" s="606">
        <v>6000000</v>
      </c>
      <c r="M22" s="606">
        <v>6000000</v>
      </c>
      <c r="N22" s="606">
        <v>6000000</v>
      </c>
      <c r="O22" s="606">
        <v>6000000</v>
      </c>
      <c r="P22" s="606">
        <v>6000000</v>
      </c>
      <c r="Q22" s="191">
        <f t="shared" si="2"/>
        <v>6000000.0041</v>
      </c>
      <c r="R22" s="191">
        <f t="shared" si="0"/>
        <v>319800.00021852995</v>
      </c>
    </row>
    <row r="23" spans="1:18" ht="12.75" customHeight="1">
      <c r="A23" s="77">
        <f t="shared" si="1"/>
        <v>10</v>
      </c>
      <c r="B23" s="193" t="s">
        <v>121</v>
      </c>
      <c r="C23" s="288">
        <v>0.0721</v>
      </c>
      <c r="D23" s="606">
        <v>2500000</v>
      </c>
      <c r="E23" s="606">
        <v>2500000</v>
      </c>
      <c r="F23" s="606">
        <v>2500000</v>
      </c>
      <c r="G23" s="606">
        <v>2500000</v>
      </c>
      <c r="H23" s="606">
        <v>2500000</v>
      </c>
      <c r="I23" s="606">
        <v>2500000</v>
      </c>
      <c r="J23" s="606">
        <v>2500000</v>
      </c>
      <c r="K23" s="606">
        <v>2500000</v>
      </c>
      <c r="L23" s="606">
        <v>2500000</v>
      </c>
      <c r="M23" s="606">
        <v>2500000</v>
      </c>
      <c r="N23" s="606">
        <v>2500000</v>
      </c>
      <c r="O23" s="606">
        <v>2500000</v>
      </c>
      <c r="P23" s="606">
        <v>2500000</v>
      </c>
      <c r="Q23" s="191">
        <f t="shared" si="2"/>
        <v>2500000.0055461535</v>
      </c>
      <c r="R23" s="191">
        <f t="shared" si="0"/>
        <v>180250.00039987767</v>
      </c>
    </row>
    <row r="24" spans="1:18" ht="12.75" customHeight="1">
      <c r="A24" s="77">
        <f t="shared" si="1"/>
        <v>11</v>
      </c>
      <c r="B24" s="193" t="s">
        <v>122</v>
      </c>
      <c r="C24" s="288">
        <v>0.0762</v>
      </c>
      <c r="D24" s="606">
        <v>3000000</v>
      </c>
      <c r="E24" s="606">
        <v>3000000</v>
      </c>
      <c r="F24" s="606">
        <v>3000000</v>
      </c>
      <c r="G24" s="606">
        <v>3000000</v>
      </c>
      <c r="H24" s="606">
        <v>3000000</v>
      </c>
      <c r="I24" s="606">
        <v>3000000</v>
      </c>
      <c r="J24" s="606">
        <v>3000000</v>
      </c>
      <c r="K24" s="606">
        <v>3000000</v>
      </c>
      <c r="L24" s="606">
        <v>3000000</v>
      </c>
      <c r="M24" s="606">
        <v>3000000</v>
      </c>
      <c r="N24" s="606">
        <v>3000000</v>
      </c>
      <c r="O24" s="606">
        <v>3000000</v>
      </c>
      <c r="P24" s="606">
        <v>3000000</v>
      </c>
      <c r="Q24" s="191">
        <f t="shared" si="2"/>
        <v>3000000.0058615385</v>
      </c>
      <c r="R24" s="191">
        <f t="shared" si="0"/>
        <v>228600.00044664924</v>
      </c>
    </row>
    <row r="25" spans="1:18" ht="12.75" customHeight="1">
      <c r="A25" s="77">
        <f t="shared" si="1"/>
        <v>12</v>
      </c>
      <c r="B25" s="193" t="s">
        <v>123</v>
      </c>
      <c r="C25" s="289">
        <v>0.0935</v>
      </c>
      <c r="D25" s="606">
        <v>4000000</v>
      </c>
      <c r="E25" s="606">
        <v>4000000</v>
      </c>
      <c r="F25" s="606">
        <v>4000000</v>
      </c>
      <c r="G25" s="606">
        <v>4000000</v>
      </c>
      <c r="H25" s="606">
        <v>4000000</v>
      </c>
      <c r="I25" s="606">
        <v>4000000</v>
      </c>
      <c r="J25" s="606">
        <v>4000000</v>
      </c>
      <c r="K25" s="606">
        <v>4000000</v>
      </c>
      <c r="L25" s="606">
        <v>4000000</v>
      </c>
      <c r="M25" s="606">
        <v>4000000</v>
      </c>
      <c r="N25" s="606">
        <v>4000000</v>
      </c>
      <c r="O25" s="606">
        <v>4000000</v>
      </c>
      <c r="P25" s="606">
        <v>4000000</v>
      </c>
      <c r="Q25" s="191">
        <f t="shared" si="2"/>
        <v>4000000.007192308</v>
      </c>
      <c r="R25" s="191">
        <f t="shared" si="0"/>
        <v>374000.0006724808</v>
      </c>
    </row>
    <row r="26" spans="1:18" ht="12.75" customHeight="1">
      <c r="A26" s="77">
        <f t="shared" si="1"/>
        <v>13</v>
      </c>
      <c r="B26" s="194" t="s">
        <v>124</v>
      </c>
      <c r="C26" s="290"/>
      <c r="D26" s="607">
        <f aca="true" t="shared" si="3" ref="D26:P26">SUM(D15:D25)</f>
        <v>313500000</v>
      </c>
      <c r="E26" s="607">
        <f t="shared" si="3"/>
        <v>303500000</v>
      </c>
      <c r="F26" s="607">
        <f t="shared" si="3"/>
        <v>303500000</v>
      </c>
      <c r="G26" s="607">
        <f t="shared" si="3"/>
        <v>303500000</v>
      </c>
      <c r="H26" s="607">
        <f t="shared" si="3"/>
        <v>268500000</v>
      </c>
      <c r="I26" s="607">
        <f t="shared" si="3"/>
        <v>268500000</v>
      </c>
      <c r="J26" s="607">
        <f t="shared" si="3"/>
        <v>268500000</v>
      </c>
      <c r="K26" s="607">
        <f t="shared" si="3"/>
        <v>268500000</v>
      </c>
      <c r="L26" s="607">
        <f t="shared" si="3"/>
        <v>268500000</v>
      </c>
      <c r="M26" s="607">
        <f t="shared" si="3"/>
        <v>268500000</v>
      </c>
      <c r="N26" s="607">
        <f t="shared" si="3"/>
        <v>268500000</v>
      </c>
      <c r="O26" s="607">
        <f t="shared" si="3"/>
        <v>260500000</v>
      </c>
      <c r="P26" s="607">
        <f t="shared" si="3"/>
        <v>260500000</v>
      </c>
      <c r="Q26" s="195">
        <f>SUM(Q15:Q25)</f>
        <v>278807692.3591754</v>
      </c>
      <c r="R26" s="195">
        <f>SUM(R15:R25)</f>
        <v>18007800.00353706</v>
      </c>
    </row>
    <row r="27" spans="1:18" ht="12.75" customHeight="1">
      <c r="A27" s="77">
        <f t="shared" si="1"/>
        <v>14</v>
      </c>
      <c r="B27" s="196"/>
      <c r="C27" s="291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8"/>
      <c r="P27" s="608"/>
      <c r="Q27" s="197"/>
      <c r="R27" s="197"/>
    </row>
    <row r="28" spans="1:18" ht="12.75" customHeight="1">
      <c r="A28" s="77">
        <f t="shared" si="1"/>
        <v>15</v>
      </c>
      <c r="B28" s="198" t="s">
        <v>125</v>
      </c>
      <c r="C28" s="292"/>
      <c r="D28" s="609"/>
      <c r="E28" s="610"/>
      <c r="F28" s="610"/>
      <c r="G28" s="610"/>
      <c r="H28" s="610"/>
      <c r="I28" s="610"/>
      <c r="J28" s="610"/>
      <c r="K28" s="610"/>
      <c r="L28" s="610"/>
      <c r="M28" s="610"/>
      <c r="N28" s="610"/>
      <c r="O28" s="610"/>
      <c r="P28" s="610"/>
      <c r="Q28" s="199"/>
      <c r="R28" s="199"/>
    </row>
    <row r="29" spans="1:18" ht="12.75" customHeight="1">
      <c r="A29" s="77">
        <f t="shared" si="1"/>
        <v>16</v>
      </c>
      <c r="B29" s="189" t="s">
        <v>126</v>
      </c>
      <c r="C29" s="287">
        <v>0.0465</v>
      </c>
      <c r="D29" s="605">
        <v>5165000</v>
      </c>
      <c r="E29" s="605">
        <v>5165000</v>
      </c>
      <c r="F29" s="605">
        <v>5165000</v>
      </c>
      <c r="G29" s="605">
        <v>5165000</v>
      </c>
      <c r="H29" s="605">
        <v>5165000</v>
      </c>
      <c r="I29" s="605">
        <v>5165000</v>
      </c>
      <c r="J29" s="605">
        <v>5165000</v>
      </c>
      <c r="K29" s="605">
        <v>5165000</v>
      </c>
      <c r="L29" s="605">
        <v>5165000</v>
      </c>
      <c r="M29" s="605">
        <v>5165000</v>
      </c>
      <c r="N29" s="605">
        <v>5165000</v>
      </c>
      <c r="O29" s="605">
        <v>5165000</v>
      </c>
      <c r="P29" s="605">
        <v>5165000</v>
      </c>
      <c r="Q29" s="191">
        <f>SUM(C29:P29)/13</f>
        <v>5165000.003576923</v>
      </c>
      <c r="R29" s="191">
        <f>C29*Q29</f>
        <v>240172.50016632694</v>
      </c>
    </row>
    <row r="30" spans="1:18" ht="12.75" customHeight="1">
      <c r="A30" s="77">
        <f t="shared" si="1"/>
        <v>17</v>
      </c>
      <c r="B30" s="189" t="s">
        <v>127</v>
      </c>
      <c r="C30" s="287">
        <v>0.0485</v>
      </c>
      <c r="D30" s="605">
        <v>20580000</v>
      </c>
      <c r="E30" s="605">
        <v>20580000</v>
      </c>
      <c r="F30" s="605">
        <v>20580000</v>
      </c>
      <c r="G30" s="605">
        <v>20580000</v>
      </c>
      <c r="H30" s="605">
        <v>20580000</v>
      </c>
      <c r="I30" s="605">
        <v>20580000</v>
      </c>
      <c r="J30" s="605">
        <v>20580000</v>
      </c>
      <c r="K30" s="605">
        <v>20580000</v>
      </c>
      <c r="L30" s="605">
        <v>20580000</v>
      </c>
      <c r="M30" s="605">
        <v>20580000</v>
      </c>
      <c r="N30" s="605">
        <v>20580000</v>
      </c>
      <c r="O30" s="605">
        <v>20580000</v>
      </c>
      <c r="P30" s="605">
        <v>20580000</v>
      </c>
      <c r="Q30" s="191">
        <f>SUM(C30:P30)/13</f>
        <v>20580000.00373077</v>
      </c>
      <c r="R30" s="191">
        <f>C30*Q30</f>
        <v>998130.0001809424</v>
      </c>
    </row>
    <row r="31" spans="1:19" ht="12.75" customHeight="1">
      <c r="A31" s="77">
        <f t="shared" si="1"/>
        <v>18</v>
      </c>
      <c r="B31" s="200" t="s">
        <v>128</v>
      </c>
      <c r="C31" s="201" t="s">
        <v>129</v>
      </c>
      <c r="D31" s="605">
        <v>10400000</v>
      </c>
      <c r="E31" s="605">
        <v>10400000</v>
      </c>
      <c r="F31" s="605">
        <v>10400000</v>
      </c>
      <c r="G31" s="605">
        <v>10400000</v>
      </c>
      <c r="H31" s="605">
        <v>10400000</v>
      </c>
      <c r="I31" s="605">
        <v>10400000</v>
      </c>
      <c r="J31" s="605">
        <v>10400000</v>
      </c>
      <c r="K31" s="605">
        <v>10400000</v>
      </c>
      <c r="L31" s="605">
        <v>10400000</v>
      </c>
      <c r="M31" s="605">
        <v>10400000</v>
      </c>
      <c r="N31" s="605">
        <v>10400000</v>
      </c>
      <c r="O31" s="605">
        <v>10400000</v>
      </c>
      <c r="P31" s="605">
        <v>10400000</v>
      </c>
      <c r="Q31" s="191">
        <f>SUM(C31:P31)/13</f>
        <v>10400000</v>
      </c>
      <c r="R31" s="191">
        <f>'[2]Interest Calc'!P13</f>
        <v>420000</v>
      </c>
      <c r="S31" s="78"/>
    </row>
    <row r="32" spans="1:18" ht="12.75" customHeight="1">
      <c r="A32" s="77">
        <f t="shared" si="1"/>
        <v>19</v>
      </c>
      <c r="B32" s="202" t="s">
        <v>130</v>
      </c>
      <c r="C32" s="203"/>
      <c r="D32" s="204">
        <f aca="true" t="shared" si="4" ref="D32:P32">SUM(D29:D31)</f>
        <v>36145000</v>
      </c>
      <c r="E32" s="204">
        <f t="shared" si="4"/>
        <v>36145000</v>
      </c>
      <c r="F32" s="204">
        <f t="shared" si="4"/>
        <v>36145000</v>
      </c>
      <c r="G32" s="204">
        <f t="shared" si="4"/>
        <v>36145000</v>
      </c>
      <c r="H32" s="204">
        <f t="shared" si="4"/>
        <v>36145000</v>
      </c>
      <c r="I32" s="204">
        <f t="shared" si="4"/>
        <v>36145000</v>
      </c>
      <c r="J32" s="204">
        <f t="shared" si="4"/>
        <v>36145000</v>
      </c>
      <c r="K32" s="204">
        <f t="shared" si="4"/>
        <v>36145000</v>
      </c>
      <c r="L32" s="204">
        <f t="shared" si="4"/>
        <v>36145000</v>
      </c>
      <c r="M32" s="204">
        <f t="shared" si="4"/>
        <v>36145000</v>
      </c>
      <c r="N32" s="204">
        <f t="shared" si="4"/>
        <v>36145000</v>
      </c>
      <c r="O32" s="204">
        <f t="shared" si="4"/>
        <v>36145000</v>
      </c>
      <c r="P32" s="204">
        <f t="shared" si="4"/>
        <v>36145000</v>
      </c>
      <c r="Q32" s="204">
        <f>SUM(Q29:Q31)</f>
        <v>36145000.00730769</v>
      </c>
      <c r="R32" s="204">
        <f>SUM(R29:R31)</f>
        <v>1658302.5003472692</v>
      </c>
    </row>
    <row r="33" spans="1:18" ht="12.75" customHeight="1">
      <c r="A33" s="77">
        <f t="shared" si="1"/>
        <v>20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2.75" customHeight="1">
      <c r="A34" s="77">
        <f t="shared" si="1"/>
        <v>21</v>
      </c>
      <c r="B34" s="179" t="s">
        <v>88</v>
      </c>
      <c r="C34" s="205"/>
      <c r="D34" s="206">
        <f>D32+D26</f>
        <v>349645000</v>
      </c>
      <c r="E34" s="206">
        <f aca="true" t="shared" si="5" ref="E34:P34">E32+E26</f>
        <v>339645000</v>
      </c>
      <c r="F34" s="206">
        <f t="shared" si="5"/>
        <v>339645000</v>
      </c>
      <c r="G34" s="206">
        <f t="shared" si="5"/>
        <v>339645000</v>
      </c>
      <c r="H34" s="206">
        <f t="shared" si="5"/>
        <v>304645000</v>
      </c>
      <c r="I34" s="206">
        <f t="shared" si="5"/>
        <v>304645000</v>
      </c>
      <c r="J34" s="206">
        <f t="shared" si="5"/>
        <v>304645000</v>
      </c>
      <c r="K34" s="206">
        <f t="shared" si="5"/>
        <v>304645000</v>
      </c>
      <c r="L34" s="206">
        <f t="shared" si="5"/>
        <v>304645000</v>
      </c>
      <c r="M34" s="206">
        <f t="shared" si="5"/>
        <v>304645000</v>
      </c>
      <c r="N34" s="206">
        <f t="shared" si="5"/>
        <v>304645000</v>
      </c>
      <c r="O34" s="206">
        <f t="shared" si="5"/>
        <v>296645000</v>
      </c>
      <c r="P34" s="206">
        <f t="shared" si="5"/>
        <v>296645000</v>
      </c>
      <c r="Q34" s="206">
        <f>Q32+Q26</f>
        <v>314952692.3664831</v>
      </c>
      <c r="R34" s="206">
        <f>R32+R26</f>
        <v>19666102.503884327</v>
      </c>
    </row>
    <row r="35" spans="1:18" ht="12.75" customHeight="1">
      <c r="A35" s="77">
        <f t="shared" si="1"/>
        <v>22</v>
      </c>
      <c r="B35" s="185"/>
      <c r="C35" s="207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9"/>
      <c r="P35" s="209"/>
      <c r="Q35" s="207"/>
      <c r="R35" s="207"/>
    </row>
    <row r="36" spans="1:18" ht="12.75" customHeight="1">
      <c r="A36" s="77">
        <f t="shared" si="1"/>
        <v>23</v>
      </c>
      <c r="B36" s="210" t="s">
        <v>131</v>
      </c>
      <c r="C36" s="211"/>
      <c r="D36" s="212">
        <v>-6464889</v>
      </c>
      <c r="E36" s="213">
        <v>-6304059</v>
      </c>
      <c r="F36" s="213">
        <v>-6143229</v>
      </c>
      <c r="G36" s="213">
        <v>-5982399</v>
      </c>
      <c r="H36" s="213">
        <v>-5821569</v>
      </c>
      <c r="I36" s="213">
        <v>-5660739</v>
      </c>
      <c r="J36" s="213">
        <v>-5499909</v>
      </c>
      <c r="K36" s="213">
        <v>-5339079</v>
      </c>
      <c r="L36" s="213">
        <v>-5178249</v>
      </c>
      <c r="M36" s="213">
        <v>-5017419</v>
      </c>
      <c r="N36" s="213">
        <v>-4856589</v>
      </c>
      <c r="O36" s="213">
        <v>-4695759</v>
      </c>
      <c r="P36" s="213">
        <v>-4534929</v>
      </c>
      <c r="Q36" s="214">
        <v>-5499909</v>
      </c>
      <c r="R36" s="215">
        <v>1929960</v>
      </c>
    </row>
    <row r="37" spans="1:18" ht="12.75" customHeight="1">
      <c r="A37" s="77">
        <f t="shared" si="1"/>
        <v>24</v>
      </c>
      <c r="B37" s="193"/>
      <c r="C37" s="216"/>
      <c r="D37" s="217"/>
      <c r="E37" s="218"/>
      <c r="F37" s="218"/>
      <c r="G37" s="218"/>
      <c r="H37" s="218"/>
      <c r="I37" s="218"/>
      <c r="J37" s="218"/>
      <c r="K37" s="219"/>
      <c r="L37" s="219"/>
      <c r="M37" s="219"/>
      <c r="N37" s="219"/>
      <c r="O37" s="219"/>
      <c r="P37" s="219"/>
      <c r="Q37" s="220"/>
      <c r="R37" s="221"/>
    </row>
    <row r="38" spans="1:18" ht="12.75" customHeight="1" thickBot="1">
      <c r="A38" s="77">
        <f t="shared" si="1"/>
        <v>25</v>
      </c>
      <c r="B38" s="185"/>
      <c r="C38" s="196"/>
      <c r="D38" s="184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206"/>
      <c r="Q38" s="222"/>
      <c r="R38" s="196"/>
    </row>
    <row r="39" spans="1:18" ht="12.75" customHeight="1" thickBot="1">
      <c r="A39" s="77">
        <f t="shared" si="1"/>
        <v>26</v>
      </c>
      <c r="B39" s="179" t="s">
        <v>132</v>
      </c>
      <c r="C39" s="181"/>
      <c r="D39" s="206">
        <f aca="true" t="shared" si="6" ref="D39:O39">D34+D36</f>
        <v>343180111</v>
      </c>
      <c r="E39" s="206">
        <f t="shared" si="6"/>
        <v>333340941</v>
      </c>
      <c r="F39" s="206">
        <f t="shared" si="6"/>
        <v>333501771</v>
      </c>
      <c r="G39" s="206">
        <f t="shared" si="6"/>
        <v>333662601</v>
      </c>
      <c r="H39" s="206">
        <f t="shared" si="6"/>
        <v>298823431</v>
      </c>
      <c r="I39" s="206">
        <f t="shared" si="6"/>
        <v>298984261</v>
      </c>
      <c r="J39" s="206">
        <f t="shared" si="6"/>
        <v>299145091</v>
      </c>
      <c r="K39" s="206">
        <f t="shared" si="6"/>
        <v>299305921</v>
      </c>
      <c r="L39" s="206">
        <f t="shared" si="6"/>
        <v>299466751</v>
      </c>
      <c r="M39" s="206">
        <f t="shared" si="6"/>
        <v>299627581</v>
      </c>
      <c r="N39" s="206">
        <f t="shared" si="6"/>
        <v>299788411</v>
      </c>
      <c r="O39" s="206">
        <f t="shared" si="6"/>
        <v>291949241</v>
      </c>
      <c r="P39" s="223">
        <f>P34+P36</f>
        <v>292110071</v>
      </c>
      <c r="Q39" s="503">
        <f>Q34+Q36</f>
        <v>309452783.3664831</v>
      </c>
      <c r="R39" s="504">
        <f>R34+R36</f>
        <v>21596062.503884327</v>
      </c>
    </row>
    <row r="40" spans="1:20" ht="12.75" customHeight="1">
      <c r="A40" s="80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2"/>
      <c r="S40" s="75"/>
      <c r="T40" s="75"/>
    </row>
    <row r="41" spans="7:9" ht="12.75" customHeight="1">
      <c r="G41" s="79"/>
      <c r="I41" s="79"/>
    </row>
    <row r="42" ht="12.75" customHeight="1">
      <c r="I42" s="79"/>
    </row>
    <row r="43" ht="12.75" customHeight="1">
      <c r="I43" s="79"/>
    </row>
    <row r="44" ht="12.75" customHeight="1">
      <c r="I44" s="79"/>
    </row>
    <row r="45" ht="12.75" customHeight="1">
      <c r="I45" s="79"/>
    </row>
    <row r="46" ht="12.75" customHeight="1">
      <c r="I46" s="79"/>
    </row>
    <row r="47" spans="9:18" ht="12.75" customHeight="1">
      <c r="I47" s="79"/>
      <c r="R47" s="224"/>
    </row>
    <row r="48" spans="9:18" ht="12.75" customHeight="1">
      <c r="I48" s="79"/>
      <c r="R48" s="225"/>
    </row>
    <row r="49" ht="12.75" customHeight="1">
      <c r="I49" s="79"/>
    </row>
    <row r="50" spans="9:15" ht="12.75" customHeight="1">
      <c r="I50" s="79"/>
      <c r="O50" s="226"/>
    </row>
    <row r="59" ht="12.75" customHeight="1">
      <c r="S59" s="167"/>
    </row>
  </sheetData>
  <sheetProtection/>
  <mergeCells count="5">
    <mergeCell ref="A3:R3"/>
    <mergeCell ref="A5:R5"/>
    <mergeCell ref="A6:R6"/>
    <mergeCell ref="A7:R7"/>
    <mergeCell ref="D12:P12"/>
  </mergeCells>
  <printOptions horizontalCentered="1"/>
  <pageMargins left="0.25" right="0.25" top="0.5" bottom="0.5" header="0.5" footer="0.36"/>
  <pageSetup fitToHeight="1" fitToWidth="1" horizontalDpi="600" verticalDpi="600" orientation="landscape" scale="49" r:id="rId1"/>
  <headerFooter alignWithMargins="0">
    <oddHeader>&amp;R&amp;"Arial,Regular"&amp;10Attachment O Work Paper
Page 19 of 20</oddHeader>
  </headerFooter>
  <colBreaks count="1" manualBreakCount="1"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3:S29"/>
  <sheetViews>
    <sheetView showGridLines="0" zoomScalePageLayoutView="0" workbookViewId="0" topLeftCell="A1">
      <selection activeCell="I35" sqref="I35"/>
    </sheetView>
  </sheetViews>
  <sheetFormatPr defaultColWidth="8.88671875" defaultRowHeight="15"/>
  <cols>
    <col min="1" max="1" width="3.6640625" style="582" customWidth="1"/>
    <col min="2" max="2" width="3.88671875" style="559" bestFit="1" customWidth="1"/>
    <col min="3" max="3" width="4.10546875" style="582" customWidth="1"/>
    <col min="4" max="4" width="3.3359375" style="582" customWidth="1"/>
    <col min="5" max="5" width="4.10546875" style="582" customWidth="1"/>
    <col min="6" max="6" width="4.21484375" style="582" customWidth="1"/>
    <col min="7" max="7" width="3.88671875" style="582" bestFit="1" customWidth="1"/>
    <col min="8" max="8" width="4.4453125" style="582" customWidth="1"/>
    <col min="9" max="9" width="5.4453125" style="582" bestFit="1" customWidth="1"/>
    <col min="10" max="10" width="4.99609375" style="582" customWidth="1"/>
    <col min="11" max="11" width="9.99609375" style="641" bestFit="1" customWidth="1"/>
    <col min="12" max="12" width="2.4453125" style="559" bestFit="1" customWidth="1"/>
    <col min="13" max="16384" width="8.88671875" style="559" customWidth="1"/>
  </cols>
  <sheetData>
    <row r="3" spans="1:19" ht="12.75">
      <c r="A3" s="727" t="s">
        <v>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643"/>
      <c r="M3" s="643"/>
      <c r="N3" s="643"/>
      <c r="O3" s="643"/>
      <c r="P3" s="643"/>
      <c r="Q3" s="643"/>
      <c r="R3" s="643"/>
      <c r="S3" s="643"/>
    </row>
    <row r="4" spans="1:19" ht="12.75">
      <c r="A4" s="727" t="s">
        <v>558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643"/>
      <c r="M4" s="643"/>
      <c r="N4" s="643"/>
      <c r="O4" s="643"/>
      <c r="P4" s="643"/>
      <c r="Q4" s="643"/>
      <c r="R4" s="643"/>
      <c r="S4" s="643"/>
    </row>
    <row r="5" spans="1:19" ht="12.75">
      <c r="A5" s="729" t="s">
        <v>79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644"/>
      <c r="M5" s="644"/>
      <c r="N5" s="644"/>
      <c r="O5" s="644"/>
      <c r="P5" s="644"/>
      <c r="Q5" s="644"/>
      <c r="R5" s="644"/>
      <c r="S5" s="644"/>
    </row>
    <row r="6" spans="2:18" ht="12.75">
      <c r="B6" s="582"/>
      <c r="K6" s="642"/>
      <c r="L6" s="582"/>
      <c r="M6" s="582"/>
      <c r="N6" s="582"/>
      <c r="O6" s="582"/>
      <c r="P6" s="582"/>
      <c r="Q6" s="582"/>
      <c r="R6" s="582"/>
    </row>
    <row r="7" spans="2:11" ht="12.75">
      <c r="B7" s="747" t="s">
        <v>2</v>
      </c>
      <c r="C7" s="747"/>
      <c r="D7" s="747"/>
      <c r="E7" s="747"/>
      <c r="F7" s="747"/>
      <c r="G7" s="747"/>
      <c r="H7" s="747"/>
      <c r="I7" s="747"/>
      <c r="J7" s="747"/>
      <c r="K7" s="582" t="s">
        <v>3</v>
      </c>
    </row>
    <row r="9" spans="1:11" ht="12.75">
      <c r="A9" s="585" t="s">
        <v>9</v>
      </c>
      <c r="B9" s="560"/>
      <c r="C9" s="647"/>
      <c r="D9" s="647"/>
      <c r="E9" s="647"/>
      <c r="F9" s="647"/>
      <c r="G9" s="647"/>
      <c r="H9" s="647"/>
      <c r="I9" s="647"/>
      <c r="J9" s="647"/>
      <c r="K9" s="645"/>
    </row>
    <row r="10" spans="1:11" ht="12.75">
      <c r="A10" s="587" t="s">
        <v>11</v>
      </c>
      <c r="B10" s="578"/>
      <c r="C10" s="591"/>
      <c r="D10" s="591"/>
      <c r="E10" s="591"/>
      <c r="F10" s="591"/>
      <c r="G10" s="591"/>
      <c r="H10" s="591"/>
      <c r="I10" s="591"/>
      <c r="J10" s="591"/>
      <c r="K10" s="646" t="s">
        <v>83</v>
      </c>
    </row>
    <row r="11" spans="1:11" ht="12.75">
      <c r="A11" s="585">
        <v>1</v>
      </c>
      <c r="B11" s="751" t="s">
        <v>564</v>
      </c>
      <c r="C11" s="752"/>
      <c r="D11" s="752"/>
      <c r="E11" s="752"/>
      <c r="F11" s="752"/>
      <c r="G11" s="752"/>
      <c r="H11" s="752"/>
      <c r="I11" s="752"/>
      <c r="J11" s="752"/>
      <c r="K11" s="562"/>
    </row>
    <row r="12" spans="1:11" ht="12.75">
      <c r="A12" s="586">
        <f aca="true" t="shared" si="0" ref="A12:A24">+A11+1</f>
        <v>2</v>
      </c>
      <c r="B12" s="651" t="s">
        <v>542</v>
      </c>
      <c r="C12" s="652" t="s">
        <v>546</v>
      </c>
      <c r="D12" s="652" t="s">
        <v>435</v>
      </c>
      <c r="E12" s="652" t="s">
        <v>436</v>
      </c>
      <c r="F12" s="652" t="s">
        <v>543</v>
      </c>
      <c r="G12" s="652" t="s">
        <v>437</v>
      </c>
      <c r="H12" s="652" t="s">
        <v>544</v>
      </c>
      <c r="I12" s="652" t="s">
        <v>545</v>
      </c>
      <c r="J12" s="652" t="s">
        <v>37</v>
      </c>
      <c r="K12" s="650"/>
    </row>
    <row r="13" spans="1:11" ht="13.5" thickBot="1">
      <c r="A13" s="586">
        <f t="shared" si="0"/>
        <v>3</v>
      </c>
      <c r="B13" s="617">
        <v>2010</v>
      </c>
      <c r="C13" s="648" t="s">
        <v>440</v>
      </c>
      <c r="D13" s="589" t="s">
        <v>447</v>
      </c>
      <c r="E13" s="589" t="s">
        <v>460</v>
      </c>
      <c r="F13" s="589" t="s">
        <v>562</v>
      </c>
      <c r="G13" s="589" t="s">
        <v>563</v>
      </c>
      <c r="H13" s="589" t="s">
        <v>460</v>
      </c>
      <c r="I13" s="589" t="s">
        <v>446</v>
      </c>
      <c r="J13" s="589" t="s">
        <v>563</v>
      </c>
      <c r="K13" s="665">
        <v>109675.23</v>
      </c>
    </row>
    <row r="14" spans="1:11" ht="13.5" thickTop="1">
      <c r="A14" s="586">
        <f t="shared" si="0"/>
        <v>4</v>
      </c>
      <c r="B14" s="569"/>
      <c r="C14" s="648"/>
      <c r="D14" s="648"/>
      <c r="E14" s="648"/>
      <c r="F14" s="648"/>
      <c r="G14" s="648"/>
      <c r="H14" s="648"/>
      <c r="I14" s="648"/>
      <c r="J14" s="648"/>
      <c r="K14" s="575"/>
    </row>
    <row r="15" spans="1:11" ht="12.75">
      <c r="A15" s="586">
        <f t="shared" si="0"/>
        <v>5</v>
      </c>
      <c r="B15" s="753" t="s">
        <v>567</v>
      </c>
      <c r="C15" s="754"/>
      <c r="D15" s="754"/>
      <c r="E15" s="754"/>
      <c r="F15" s="754"/>
      <c r="G15" s="754"/>
      <c r="H15" s="754"/>
      <c r="I15" s="754"/>
      <c r="J15" s="754"/>
      <c r="K15" s="575"/>
    </row>
    <row r="16" spans="1:11" ht="12.75">
      <c r="A16" s="586">
        <f t="shared" si="0"/>
        <v>6</v>
      </c>
      <c r="B16" s="745" t="s">
        <v>559</v>
      </c>
      <c r="C16" s="746"/>
      <c r="D16" s="746"/>
      <c r="E16" s="746"/>
      <c r="F16" s="746"/>
      <c r="G16" s="746"/>
      <c r="H16" s="746"/>
      <c r="I16" s="746"/>
      <c r="J16" s="746"/>
      <c r="K16" s="649">
        <v>3618870.2240999956</v>
      </c>
    </row>
    <row r="17" spans="1:11" ht="12.75">
      <c r="A17" s="586">
        <f t="shared" si="0"/>
        <v>7</v>
      </c>
      <c r="B17" s="745" t="s">
        <v>560</v>
      </c>
      <c r="C17" s="746"/>
      <c r="D17" s="746"/>
      <c r="E17" s="746"/>
      <c r="F17" s="746"/>
      <c r="G17" s="746"/>
      <c r="H17" s="746"/>
      <c r="I17" s="746"/>
      <c r="J17" s="746"/>
      <c r="K17" s="649">
        <v>436869.1299999999</v>
      </c>
    </row>
    <row r="18" spans="1:11" ht="12.75">
      <c r="A18" s="586">
        <f t="shared" si="0"/>
        <v>8</v>
      </c>
      <c r="B18" s="745" t="s">
        <v>561</v>
      </c>
      <c r="C18" s="746"/>
      <c r="D18" s="746"/>
      <c r="E18" s="746"/>
      <c r="F18" s="746"/>
      <c r="G18" s="746"/>
      <c r="H18" s="746"/>
      <c r="I18" s="746"/>
      <c r="J18" s="746"/>
      <c r="K18" s="649">
        <v>2460000</v>
      </c>
    </row>
    <row r="19" spans="1:12" ht="12.75">
      <c r="A19" s="586">
        <f t="shared" si="0"/>
        <v>9</v>
      </c>
      <c r="B19" s="745" t="s">
        <v>566</v>
      </c>
      <c r="C19" s="746"/>
      <c r="D19" s="746"/>
      <c r="E19" s="746"/>
      <c r="F19" s="746"/>
      <c r="G19" s="746"/>
      <c r="H19" s="746"/>
      <c r="I19" s="746"/>
      <c r="J19" s="746"/>
      <c r="K19" s="634">
        <f>+K18*0.35</f>
        <v>861000</v>
      </c>
      <c r="L19" s="633" t="s">
        <v>422</v>
      </c>
    </row>
    <row r="20" spans="1:11" ht="12.75">
      <c r="A20" s="586">
        <f t="shared" si="0"/>
        <v>10</v>
      </c>
      <c r="B20" s="748" t="s">
        <v>568</v>
      </c>
      <c r="C20" s="749"/>
      <c r="D20" s="749"/>
      <c r="E20" s="749"/>
      <c r="F20" s="749"/>
      <c r="G20" s="749"/>
      <c r="H20" s="749"/>
      <c r="I20" s="749"/>
      <c r="J20" s="749"/>
      <c r="K20" s="666">
        <f>+SUM(K16:K18)-K19</f>
        <v>5654739.354099995</v>
      </c>
    </row>
    <row r="21" spans="1:11" ht="12.75">
      <c r="A21" s="586">
        <f t="shared" si="0"/>
        <v>11</v>
      </c>
      <c r="B21" s="569"/>
      <c r="C21" s="589"/>
      <c r="D21" s="589"/>
      <c r="E21" s="589"/>
      <c r="F21" s="589"/>
      <c r="G21" s="589"/>
      <c r="H21" s="589"/>
      <c r="I21" s="589"/>
      <c r="J21" s="589"/>
      <c r="K21" s="649"/>
    </row>
    <row r="22" spans="1:11" ht="12.75">
      <c r="A22" s="586">
        <f t="shared" si="0"/>
        <v>12</v>
      </c>
      <c r="B22" s="748" t="s">
        <v>565</v>
      </c>
      <c r="C22" s="749"/>
      <c r="D22" s="749"/>
      <c r="E22" s="749"/>
      <c r="F22" s="749"/>
      <c r="G22" s="749"/>
      <c r="H22" s="749"/>
      <c r="I22" s="749"/>
      <c r="J22" s="749"/>
      <c r="K22" s="667">
        <f>+K17</f>
        <v>436869.1299999999</v>
      </c>
    </row>
    <row r="23" spans="1:11" ht="12.75">
      <c r="A23" s="586">
        <f t="shared" si="0"/>
        <v>13</v>
      </c>
      <c r="B23" s="569"/>
      <c r="C23" s="589"/>
      <c r="D23" s="589"/>
      <c r="E23" s="589"/>
      <c r="F23" s="589"/>
      <c r="G23" s="589"/>
      <c r="H23" s="589"/>
      <c r="I23" s="589"/>
      <c r="J23" s="589"/>
      <c r="K23" s="649"/>
    </row>
    <row r="24" spans="1:11" ht="13.5" thickBot="1">
      <c r="A24" s="586">
        <f t="shared" si="0"/>
        <v>14</v>
      </c>
      <c r="B24" s="748" t="s">
        <v>569</v>
      </c>
      <c r="C24" s="749"/>
      <c r="D24" s="749"/>
      <c r="E24" s="749"/>
      <c r="F24" s="749"/>
      <c r="G24" s="749"/>
      <c r="H24" s="749"/>
      <c r="I24" s="749"/>
      <c r="J24" s="749"/>
      <c r="K24" s="653">
        <f>+K20-K22</f>
        <v>5217870.224099996</v>
      </c>
    </row>
    <row r="25" spans="1:11" ht="13.5" thickTop="1">
      <c r="A25" s="587"/>
      <c r="B25" s="578"/>
      <c r="C25" s="591"/>
      <c r="D25" s="591"/>
      <c r="E25" s="591"/>
      <c r="F25" s="591"/>
      <c r="G25" s="591"/>
      <c r="H25" s="591"/>
      <c r="I25" s="591"/>
      <c r="J25" s="591"/>
      <c r="K25" s="634"/>
    </row>
    <row r="27" spans="2:11" ht="12.75">
      <c r="B27" s="750" t="s">
        <v>570</v>
      </c>
      <c r="C27" s="750"/>
      <c r="D27" s="750"/>
      <c r="E27" s="750"/>
      <c r="F27" s="750"/>
      <c r="G27" s="750"/>
      <c r="H27" s="750"/>
      <c r="I27" s="750"/>
      <c r="J27" s="750"/>
      <c r="K27" s="750"/>
    </row>
    <row r="29" spans="1:2" ht="12.75">
      <c r="A29" s="673" t="s">
        <v>581</v>
      </c>
      <c r="B29" s="559" t="s">
        <v>582</v>
      </c>
    </row>
  </sheetData>
  <sheetProtection/>
  <mergeCells count="14">
    <mergeCell ref="B22:J22"/>
    <mergeCell ref="B27:K27"/>
    <mergeCell ref="B20:J20"/>
    <mergeCell ref="B24:J24"/>
    <mergeCell ref="B11:J11"/>
    <mergeCell ref="B15:J15"/>
    <mergeCell ref="B16:J16"/>
    <mergeCell ref="B17:J17"/>
    <mergeCell ref="B18:J18"/>
    <mergeCell ref="B19:J19"/>
    <mergeCell ref="A3:K3"/>
    <mergeCell ref="A4:K4"/>
    <mergeCell ref="A5:K5"/>
    <mergeCell ref="B7:J7"/>
  </mergeCells>
  <printOptions horizontalCentered="1"/>
  <pageMargins left="0.75" right="0.75" top="0.75" bottom="0.75" header="0.5" footer="0.5"/>
  <pageSetup horizontalDpi="600" verticalDpi="600" orientation="portrait" r:id="rId1"/>
  <headerFooter>
    <oddHeader>&amp;R&amp;"Arial,Regular"&amp;10Attachment O Work Paper
Page 20 of 20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62"/>
  <sheetViews>
    <sheetView showGridLines="0" tabSelected="1" zoomScalePageLayoutView="0" workbookViewId="0" topLeftCell="A1">
      <selection activeCell="I7" sqref="I7"/>
    </sheetView>
  </sheetViews>
  <sheetFormatPr defaultColWidth="8.88671875" defaultRowHeight="15"/>
  <cols>
    <col min="1" max="1" width="3.6640625" style="318" customWidth="1"/>
    <col min="2" max="2" width="20.3359375" style="319" customWidth="1"/>
    <col min="3" max="6" width="15.77734375" style="319" customWidth="1"/>
    <col min="7" max="7" width="12.77734375" style="319" customWidth="1"/>
    <col min="8" max="16384" width="8.88671875" style="559" customWidth="1"/>
  </cols>
  <sheetData>
    <row r="4" spans="1:7" ht="12.75">
      <c r="A4" s="706" t="s">
        <v>0</v>
      </c>
      <c r="B4" s="706"/>
      <c r="C4" s="706"/>
      <c r="D4" s="706"/>
      <c r="E4" s="706"/>
      <c r="F4" s="706"/>
      <c r="G4" s="706"/>
    </row>
    <row r="5" spans="1:7" ht="12.75">
      <c r="A5" s="706" t="s">
        <v>583</v>
      </c>
      <c r="B5" s="706"/>
      <c r="C5" s="706"/>
      <c r="D5" s="706"/>
      <c r="E5" s="706"/>
      <c r="F5" s="706"/>
      <c r="G5" s="706"/>
    </row>
    <row r="6" spans="1:7" ht="12.75">
      <c r="A6" s="706" t="s">
        <v>409</v>
      </c>
      <c r="B6" s="706"/>
      <c r="C6" s="706"/>
      <c r="D6" s="706"/>
      <c r="E6" s="706"/>
      <c r="F6" s="706"/>
      <c r="G6" s="706"/>
    </row>
    <row r="8" spans="2:7" ht="12.75">
      <c r="B8" s="318" t="s">
        <v>2</v>
      </c>
      <c r="C8" s="318" t="s">
        <v>3</v>
      </c>
      <c r="D8" s="318" t="s">
        <v>4</v>
      </c>
      <c r="E8" s="318" t="s">
        <v>5</v>
      </c>
      <c r="F8" s="318" t="s">
        <v>6</v>
      </c>
      <c r="G8" s="672" t="s">
        <v>8</v>
      </c>
    </row>
    <row r="10" spans="1:7" ht="12.75">
      <c r="A10" s="320"/>
      <c r="B10" s="351"/>
      <c r="C10" s="321" t="s">
        <v>404</v>
      </c>
      <c r="D10" s="321" t="s">
        <v>403</v>
      </c>
      <c r="E10" s="321" t="s">
        <v>591</v>
      </c>
      <c r="F10" s="321" t="s">
        <v>593</v>
      </c>
      <c r="G10" s="322"/>
    </row>
    <row r="11" spans="1:7" ht="12.75">
      <c r="A11" s="332" t="s">
        <v>9</v>
      </c>
      <c r="B11" s="324"/>
      <c r="C11" s="325" t="s">
        <v>575</v>
      </c>
      <c r="D11" s="325" t="s">
        <v>573</v>
      </c>
      <c r="E11" s="670" t="s">
        <v>579</v>
      </c>
      <c r="F11" s="670" t="s">
        <v>592</v>
      </c>
      <c r="G11" s="326"/>
    </row>
    <row r="12" spans="1:7" ht="12.75">
      <c r="A12" s="327" t="s">
        <v>11</v>
      </c>
      <c r="B12" s="352" t="s">
        <v>52</v>
      </c>
      <c r="C12" s="669" t="s">
        <v>576</v>
      </c>
      <c r="D12" s="669" t="s">
        <v>574</v>
      </c>
      <c r="E12" s="671" t="s">
        <v>580</v>
      </c>
      <c r="F12" s="671" t="s">
        <v>594</v>
      </c>
      <c r="G12" s="329" t="s">
        <v>18</v>
      </c>
    </row>
    <row r="13" spans="1:11" ht="12.75">
      <c r="A13" s="320">
        <v>1</v>
      </c>
      <c r="B13" s="353" t="s">
        <v>19</v>
      </c>
      <c r="C13" s="674">
        <f>1394559.0785743-0</f>
        <v>1394559.0785743</v>
      </c>
      <c r="D13" s="674">
        <f>1580935.34244398-0</f>
        <v>1580935.34244398</v>
      </c>
      <c r="E13" s="330">
        <v>230560</v>
      </c>
      <c r="F13" s="330">
        <v>747205</v>
      </c>
      <c r="G13" s="361">
        <f>+SUM(C13:F13)</f>
        <v>3953259.42101828</v>
      </c>
      <c r="I13" s="674"/>
      <c r="J13" s="674"/>
      <c r="K13" s="674"/>
    </row>
    <row r="14" spans="1:11" ht="12.75">
      <c r="A14" s="332">
        <f>+A13+1</f>
        <v>2</v>
      </c>
      <c r="B14" s="333" t="s">
        <v>20</v>
      </c>
      <c r="C14" s="674">
        <f>1881647.59664315-167319</f>
        <v>1714328.59664315</v>
      </c>
      <c r="D14" s="674">
        <f>1937956.96146651-172326</f>
        <v>1765630.96146651</v>
      </c>
      <c r="E14" s="334">
        <v>230560</v>
      </c>
      <c r="F14" s="334">
        <v>747205</v>
      </c>
      <c r="G14" s="361">
        <f>+SUM(C14:F14)</f>
        <v>4457724.55810966</v>
      </c>
      <c r="I14" s="674"/>
      <c r="J14" s="674"/>
      <c r="K14" s="674"/>
    </row>
    <row r="15" spans="1:11" ht="12.75">
      <c r="A15" s="332">
        <f>+A14+1</f>
        <v>3</v>
      </c>
      <c r="B15" s="336" t="s">
        <v>21</v>
      </c>
      <c r="C15" s="674">
        <f>2238337.76072793-199036</f>
        <v>2039301.7607279299</v>
      </c>
      <c r="D15" s="674">
        <f>2146974.71549888-190912</f>
        <v>1956062.71549888</v>
      </c>
      <c r="E15" s="334">
        <v>230560</v>
      </c>
      <c r="F15" s="334">
        <v>747205</v>
      </c>
      <c r="G15" s="361">
        <f aca="true" t="shared" si="0" ref="G15:G25">+SUM(C15:F15)</f>
        <v>4973129.47622681</v>
      </c>
      <c r="I15" s="674"/>
      <c r="J15" s="674"/>
      <c r="K15" s="674"/>
    </row>
    <row r="16" spans="1:11" ht="12.75">
      <c r="A16" s="332">
        <f>+A15+1</f>
        <v>4</v>
      </c>
      <c r="B16" s="336" t="s">
        <v>22</v>
      </c>
      <c r="C16" s="674">
        <f>2596669.41989298-230899</f>
        <v>2365770.41989298</v>
      </c>
      <c r="D16" s="674">
        <f>2357096.82757287-209596</f>
        <v>2147500.82757287</v>
      </c>
      <c r="E16" s="334">
        <v>230560</v>
      </c>
      <c r="F16" s="334">
        <v>747205</v>
      </c>
      <c r="G16" s="361">
        <f t="shared" si="0"/>
        <v>5491036.24746585</v>
      </c>
      <c r="I16" s="674"/>
      <c r="J16" s="674"/>
      <c r="K16" s="674"/>
    </row>
    <row r="17" spans="1:11" ht="12.75">
      <c r="A17" s="332">
        <f>+A16+1</f>
        <v>5</v>
      </c>
      <c r="B17" s="336" t="s">
        <v>23</v>
      </c>
      <c r="C17" s="674">
        <f>2957170.75459206-262955</f>
        <v>2694215.75459206</v>
      </c>
      <c r="D17" s="674">
        <f>2568771.60709437-228418</f>
        <v>2340353.60709437</v>
      </c>
      <c r="E17" s="334">
        <v>230560</v>
      </c>
      <c r="F17" s="334">
        <v>747205</v>
      </c>
      <c r="G17" s="361">
        <f t="shared" si="0"/>
        <v>6012334.36168643</v>
      </c>
      <c r="I17" s="674"/>
      <c r="J17" s="674"/>
      <c r="K17" s="674"/>
    </row>
    <row r="18" spans="1:11" ht="12.75">
      <c r="A18" s="332">
        <f>+A17+1</f>
        <v>6</v>
      </c>
      <c r="B18" s="336" t="s">
        <v>24</v>
      </c>
      <c r="C18" s="674">
        <f>3318163.83694378-295055</f>
        <v>3023108.83694378</v>
      </c>
      <c r="D18" s="674">
        <f>2780422.72243264-247239</f>
        <v>2533183.72243264</v>
      </c>
      <c r="E18" s="334">
        <v>230560</v>
      </c>
      <c r="F18" s="334">
        <v>747205</v>
      </c>
      <c r="G18" s="361">
        <f t="shared" si="0"/>
        <v>6534057.55937642</v>
      </c>
      <c r="I18" s="674"/>
      <c r="J18" s="674"/>
      <c r="K18" s="674"/>
    </row>
    <row r="19" spans="1:11" ht="12.75">
      <c r="A19" s="332">
        <f aca="true" t="shared" si="1" ref="A19:A27">+A18+1</f>
        <v>7</v>
      </c>
      <c r="B19" s="336" t="s">
        <v>25</v>
      </c>
      <c r="C19" s="674">
        <f>3682079.53619711-327415</f>
        <v>3354664.53619711</v>
      </c>
      <c r="D19" s="674">
        <f>2994200.22838716-266248</f>
        <v>2727952.22838716</v>
      </c>
      <c r="E19" s="334">
        <v>230560</v>
      </c>
      <c r="F19" s="334">
        <v>747205</v>
      </c>
      <c r="G19" s="361">
        <f t="shared" si="0"/>
        <v>7060381.76458427</v>
      </c>
      <c r="I19" s="674"/>
      <c r="J19" s="674"/>
      <c r="K19" s="674"/>
    </row>
    <row r="20" spans="1:11" ht="12.75">
      <c r="A20" s="332">
        <f t="shared" si="1"/>
        <v>8</v>
      </c>
      <c r="B20" s="336" t="s">
        <v>26</v>
      </c>
      <c r="C20" s="674">
        <f>4047508.53602188-359910</f>
        <v>3687598.53602188</v>
      </c>
      <c r="D20" s="674">
        <f>3208848.39017337-285335</f>
        <v>2923513.39017337</v>
      </c>
      <c r="E20" s="334">
        <v>230560</v>
      </c>
      <c r="F20" s="334">
        <v>747205</v>
      </c>
      <c r="G20" s="361">
        <f t="shared" si="0"/>
        <v>7588876.92619525</v>
      </c>
      <c r="I20" s="674"/>
      <c r="J20" s="674"/>
      <c r="K20" s="674"/>
    </row>
    <row r="21" spans="1:11" ht="12.75">
      <c r="A21" s="332">
        <f t="shared" si="1"/>
        <v>9</v>
      </c>
      <c r="B21" s="336" t="s">
        <v>27</v>
      </c>
      <c r="C21" s="674">
        <f>4415434.07276259-392626</f>
        <v>4022808.07276259</v>
      </c>
      <c r="D21" s="674">
        <f>3425156.10793819-304569</f>
        <v>3120587.10793819</v>
      </c>
      <c r="E21" s="334">
        <v>230560</v>
      </c>
      <c r="F21" s="334">
        <v>747205</v>
      </c>
      <c r="G21" s="361">
        <f t="shared" si="0"/>
        <v>8121160.18070078</v>
      </c>
      <c r="I21" s="674"/>
      <c r="J21" s="674"/>
      <c r="K21" s="674"/>
    </row>
    <row r="22" spans="1:11" ht="12.75">
      <c r="A22" s="332">
        <f t="shared" si="1"/>
        <v>10</v>
      </c>
      <c r="B22" s="336" t="s">
        <v>28</v>
      </c>
      <c r="C22" s="674">
        <f>4784431.13084017-425438</f>
        <v>4358993.13084017</v>
      </c>
      <c r="D22" s="674">
        <f>3641970.86766432-323849</f>
        <v>3318121.86766432</v>
      </c>
      <c r="E22" s="334">
        <v>230560</v>
      </c>
      <c r="F22" s="334">
        <v>747205</v>
      </c>
      <c r="G22" s="361">
        <f t="shared" si="0"/>
        <v>8654879.99850449</v>
      </c>
      <c r="I22" s="674"/>
      <c r="J22" s="674"/>
      <c r="K22" s="674"/>
    </row>
    <row r="23" spans="1:11" ht="12.75">
      <c r="A23" s="332">
        <f t="shared" si="1"/>
        <v>11</v>
      </c>
      <c r="B23" s="336" t="s">
        <v>29</v>
      </c>
      <c r="C23" s="674">
        <f>5156125.41409626-458489</f>
        <v>4697636.41409626</v>
      </c>
      <c r="D23" s="674">
        <f>3860555.48966157-343286</f>
        <v>3517269.48966157</v>
      </c>
      <c r="E23" s="334">
        <v>230560</v>
      </c>
      <c r="F23" s="334">
        <v>747205</v>
      </c>
      <c r="G23" s="361">
        <f t="shared" si="0"/>
        <v>9192670.903757831</v>
      </c>
      <c r="I23" s="674"/>
      <c r="J23" s="674"/>
      <c r="K23" s="674"/>
    </row>
    <row r="24" spans="1:11" ht="12.75">
      <c r="A24" s="332">
        <f t="shared" si="1"/>
        <v>12</v>
      </c>
      <c r="B24" s="336" t="s">
        <v>30</v>
      </c>
      <c r="C24" s="674">
        <f>5528638.97651526-491614</f>
        <v>5037024.97651526</v>
      </c>
      <c r="D24" s="674">
        <f>4079466.69786786-362751</f>
        <v>3716715.69786786</v>
      </c>
      <c r="E24" s="334">
        <v>230560</v>
      </c>
      <c r="F24" s="334">
        <v>747205</v>
      </c>
      <c r="G24" s="361">
        <f t="shared" si="0"/>
        <v>9731505.674383119</v>
      </c>
      <c r="I24" s="674"/>
      <c r="J24" s="674"/>
      <c r="K24" s="674"/>
    </row>
    <row r="25" spans="1:11" ht="12.75">
      <c r="A25" s="332">
        <f t="shared" si="1"/>
        <v>13</v>
      </c>
      <c r="B25" s="336" t="s">
        <v>31</v>
      </c>
      <c r="C25" s="674">
        <f>5902163.43372891-524828</f>
        <v>5377335.43372891</v>
      </c>
      <c r="D25" s="674">
        <f>4298862.11240147-382260</f>
        <v>3916602.1124014696</v>
      </c>
      <c r="E25" s="334">
        <v>230560</v>
      </c>
      <c r="F25" s="334">
        <v>747205</v>
      </c>
      <c r="G25" s="361">
        <f t="shared" si="0"/>
        <v>10271702.54613038</v>
      </c>
      <c r="I25" s="674"/>
      <c r="J25" s="674"/>
      <c r="K25" s="674"/>
    </row>
    <row r="26" spans="1:7" ht="12.75">
      <c r="A26" s="332">
        <f t="shared" si="1"/>
        <v>14</v>
      </c>
      <c r="B26" s="336"/>
      <c r="C26" s="362"/>
      <c r="D26" s="362"/>
      <c r="E26" s="362"/>
      <c r="F26" s="362"/>
      <c r="G26" s="363"/>
    </row>
    <row r="27" spans="1:7" ht="12.75">
      <c r="A27" s="332">
        <f t="shared" si="1"/>
        <v>15</v>
      </c>
      <c r="B27" s="337" t="s">
        <v>32</v>
      </c>
      <c r="C27" s="690">
        <f>+AVERAGE(C13:C25)</f>
        <v>3366718.8882720293</v>
      </c>
      <c r="D27" s="690">
        <f>+AVERAGE(D13:D25)</f>
        <v>2735725.313123322</v>
      </c>
      <c r="E27" s="690">
        <f>+AVERAGE(E13:E25)</f>
        <v>230560</v>
      </c>
      <c r="F27" s="690">
        <f>+AVERAGE(F13:F25)</f>
        <v>747205</v>
      </c>
      <c r="G27" s="691">
        <f>+AVERAGE(G13:G25)</f>
        <v>7080209.201395351</v>
      </c>
    </row>
    <row r="28" spans="1:7" ht="12.75">
      <c r="A28" s="338"/>
      <c r="B28" s="354"/>
      <c r="C28" s="687" t="s">
        <v>422</v>
      </c>
      <c r="D28" s="687" t="s">
        <v>422</v>
      </c>
      <c r="E28" s="687" t="s">
        <v>424</v>
      </c>
      <c r="F28" s="687" t="s">
        <v>427</v>
      </c>
      <c r="G28" s="340"/>
    </row>
    <row r="30" ht="12.75">
      <c r="B30" s="688" t="s">
        <v>596</v>
      </c>
    </row>
    <row r="31" ht="12.75">
      <c r="B31" s="688" t="s">
        <v>584</v>
      </c>
    </row>
    <row r="32" ht="12.75">
      <c r="B32" s="688" t="s">
        <v>595</v>
      </c>
    </row>
    <row r="33" ht="12.75">
      <c r="B33" s="688"/>
    </row>
    <row r="34" ht="12.75">
      <c r="B34" s="688"/>
    </row>
    <row r="35" spans="1:7" ht="12.75">
      <c r="A35" s="706" t="s">
        <v>0</v>
      </c>
      <c r="B35" s="706"/>
      <c r="C35" s="706"/>
      <c r="D35" s="706"/>
      <c r="E35" s="706"/>
      <c r="F35" s="706"/>
      <c r="G35" s="706"/>
    </row>
    <row r="36" spans="1:7" ht="12.75">
      <c r="A36" s="706" t="s">
        <v>586</v>
      </c>
      <c r="B36" s="706"/>
      <c r="C36" s="706"/>
      <c r="D36" s="706"/>
      <c r="E36" s="706"/>
      <c r="F36" s="706"/>
      <c r="G36" s="706"/>
    </row>
    <row r="37" spans="1:7" ht="12.75">
      <c r="A37" s="706" t="s">
        <v>409</v>
      </c>
      <c r="B37" s="706"/>
      <c r="C37" s="706"/>
      <c r="D37" s="706"/>
      <c r="E37" s="706"/>
      <c r="F37" s="706"/>
      <c r="G37" s="706"/>
    </row>
    <row r="39" spans="2:7" ht="12.75">
      <c r="B39" s="318" t="s">
        <v>2</v>
      </c>
      <c r="C39" s="318" t="s">
        <v>3</v>
      </c>
      <c r="D39" s="318" t="s">
        <v>4</v>
      </c>
      <c r="E39" s="318" t="s">
        <v>5</v>
      </c>
      <c r="F39" s="318" t="s">
        <v>6</v>
      </c>
      <c r="G39" s="672" t="s">
        <v>8</v>
      </c>
    </row>
    <row r="41" spans="1:7" ht="12.75">
      <c r="A41" s="320"/>
      <c r="B41" s="692" t="s">
        <v>589</v>
      </c>
      <c r="C41" s="321" t="s">
        <v>404</v>
      </c>
      <c r="D41" s="321" t="s">
        <v>403</v>
      </c>
      <c r="E41" s="321" t="s">
        <v>591</v>
      </c>
      <c r="F41" s="321" t="s">
        <v>593</v>
      </c>
      <c r="G41" s="322"/>
    </row>
    <row r="42" spans="1:7" ht="12.75">
      <c r="A42" s="332" t="s">
        <v>9</v>
      </c>
      <c r="B42" s="689" t="s">
        <v>590</v>
      </c>
      <c r="C42" s="325" t="s">
        <v>575</v>
      </c>
      <c r="D42" s="325" t="s">
        <v>573</v>
      </c>
      <c r="E42" s="670" t="s">
        <v>579</v>
      </c>
      <c r="F42" s="670" t="s">
        <v>592</v>
      </c>
      <c r="G42" s="326"/>
    </row>
    <row r="43" spans="1:7" ht="12.75">
      <c r="A43" s="327" t="s">
        <v>11</v>
      </c>
      <c r="B43" s="352" t="s">
        <v>52</v>
      </c>
      <c r="C43" s="669" t="s">
        <v>576</v>
      </c>
      <c r="D43" s="669" t="s">
        <v>574</v>
      </c>
      <c r="E43" s="671" t="s">
        <v>580</v>
      </c>
      <c r="F43" s="671" t="s">
        <v>594</v>
      </c>
      <c r="G43" s="329" t="s">
        <v>18</v>
      </c>
    </row>
    <row r="44" spans="1:7" ht="12.75">
      <c r="A44" s="320">
        <v>1</v>
      </c>
      <c r="B44" s="353" t="s">
        <v>19</v>
      </c>
      <c r="C44" s="674">
        <v>0</v>
      </c>
      <c r="D44" s="674">
        <v>0</v>
      </c>
      <c r="E44" s="330">
        <f>$E$27/60/12</f>
        <v>320.22222222222223</v>
      </c>
      <c r="F44" s="330">
        <v>0</v>
      </c>
      <c r="G44" s="361">
        <f>+SUM(C44:F44)</f>
        <v>320.22222222222223</v>
      </c>
    </row>
    <row r="45" spans="1:7" ht="12.75">
      <c r="A45" s="332">
        <f>+A44+1</f>
        <v>2</v>
      </c>
      <c r="B45" s="333" t="s">
        <v>20</v>
      </c>
      <c r="C45" s="674">
        <v>0</v>
      </c>
      <c r="D45" s="674">
        <v>0</v>
      </c>
      <c r="E45" s="334">
        <f>$E$27/60/12+E44</f>
        <v>640.4444444444445</v>
      </c>
      <c r="F45" s="334">
        <f>$F$27/60/12+F44</f>
        <v>1037.7847222222222</v>
      </c>
      <c r="G45" s="361">
        <f>+SUM(C45:F45)</f>
        <v>1678.2291666666665</v>
      </c>
    </row>
    <row r="46" spans="1:7" ht="12.75">
      <c r="A46" s="332">
        <f>+A45+1</f>
        <v>3</v>
      </c>
      <c r="B46" s="336" t="s">
        <v>21</v>
      </c>
      <c r="C46" s="674">
        <v>0</v>
      </c>
      <c r="D46" s="674">
        <v>0</v>
      </c>
      <c r="E46" s="334">
        <f aca="true" t="shared" si="2" ref="E46:E56">$E$27/60/12+E45</f>
        <v>960.6666666666667</v>
      </c>
      <c r="F46" s="334">
        <f aca="true" t="shared" si="3" ref="F46:F56">$F$27/60/12+F45</f>
        <v>2075.5694444444443</v>
      </c>
      <c r="G46" s="361">
        <f aca="true" t="shared" si="4" ref="G46:G56">+SUM(C46:F46)</f>
        <v>3036.2361111111113</v>
      </c>
    </row>
    <row r="47" spans="1:7" ht="12.75">
      <c r="A47" s="332">
        <f>+A46+1</f>
        <v>4</v>
      </c>
      <c r="B47" s="336" t="s">
        <v>22</v>
      </c>
      <c r="C47" s="674">
        <v>0</v>
      </c>
      <c r="D47" s="674">
        <v>0</v>
      </c>
      <c r="E47" s="334">
        <f t="shared" si="2"/>
        <v>1280.888888888889</v>
      </c>
      <c r="F47" s="334">
        <f t="shared" si="3"/>
        <v>3113.3541666666665</v>
      </c>
      <c r="G47" s="361">
        <f t="shared" si="4"/>
        <v>4394.243055555556</v>
      </c>
    </row>
    <row r="48" spans="1:7" ht="12.75">
      <c r="A48" s="332">
        <f>+A47+1</f>
        <v>5</v>
      </c>
      <c r="B48" s="336" t="s">
        <v>23</v>
      </c>
      <c r="C48" s="674">
        <v>0</v>
      </c>
      <c r="D48" s="674">
        <v>0</v>
      </c>
      <c r="E48" s="334">
        <f t="shared" si="2"/>
        <v>1601.111111111111</v>
      </c>
      <c r="F48" s="334">
        <f t="shared" si="3"/>
        <v>4151.138888888889</v>
      </c>
      <c r="G48" s="361">
        <f t="shared" si="4"/>
        <v>5752.25</v>
      </c>
    </row>
    <row r="49" spans="1:7" ht="12.75">
      <c r="A49" s="332">
        <f>+A48+1</f>
        <v>6</v>
      </c>
      <c r="B49" s="336" t="s">
        <v>24</v>
      </c>
      <c r="C49" s="674">
        <v>0</v>
      </c>
      <c r="D49" s="674">
        <v>0</v>
      </c>
      <c r="E49" s="334">
        <f t="shared" si="2"/>
        <v>1921.3333333333333</v>
      </c>
      <c r="F49" s="334">
        <f t="shared" si="3"/>
        <v>5188.923611111111</v>
      </c>
      <c r="G49" s="361">
        <f t="shared" si="4"/>
        <v>7110.256944444444</v>
      </c>
    </row>
    <row r="50" spans="1:7" ht="12.75">
      <c r="A50" s="332">
        <f aca="true" t="shared" si="5" ref="A50:A58">+A49+1</f>
        <v>7</v>
      </c>
      <c r="B50" s="336" t="s">
        <v>25</v>
      </c>
      <c r="C50" s="674">
        <v>0</v>
      </c>
      <c r="D50" s="674">
        <v>0</v>
      </c>
      <c r="E50" s="334">
        <f t="shared" si="2"/>
        <v>2241.5555555555557</v>
      </c>
      <c r="F50" s="334">
        <f t="shared" si="3"/>
        <v>6226.708333333334</v>
      </c>
      <c r="G50" s="361">
        <f t="shared" si="4"/>
        <v>8468.26388888889</v>
      </c>
    </row>
    <row r="51" spans="1:7" ht="12.75">
      <c r="A51" s="332">
        <f t="shared" si="5"/>
        <v>8</v>
      </c>
      <c r="B51" s="336" t="s">
        <v>26</v>
      </c>
      <c r="C51" s="674">
        <v>0</v>
      </c>
      <c r="D51" s="674">
        <v>0</v>
      </c>
      <c r="E51" s="334">
        <f t="shared" si="2"/>
        <v>2561.777777777778</v>
      </c>
      <c r="F51" s="334">
        <f t="shared" si="3"/>
        <v>7264.493055555557</v>
      </c>
      <c r="G51" s="361">
        <f t="shared" si="4"/>
        <v>9826.270833333334</v>
      </c>
    </row>
    <row r="52" spans="1:7" ht="12.75">
      <c r="A52" s="332">
        <f t="shared" si="5"/>
        <v>9</v>
      </c>
      <c r="B52" s="336" t="s">
        <v>27</v>
      </c>
      <c r="C52" s="674">
        <v>0</v>
      </c>
      <c r="D52" s="674">
        <v>0</v>
      </c>
      <c r="E52" s="334">
        <f t="shared" si="2"/>
        <v>2882</v>
      </c>
      <c r="F52" s="334">
        <f t="shared" si="3"/>
        <v>8302.27777777778</v>
      </c>
      <c r="G52" s="361">
        <f t="shared" si="4"/>
        <v>11184.27777777778</v>
      </c>
    </row>
    <row r="53" spans="1:7" ht="12.75">
      <c r="A53" s="332">
        <f t="shared" si="5"/>
        <v>10</v>
      </c>
      <c r="B53" s="336" t="s">
        <v>28</v>
      </c>
      <c r="C53" s="674">
        <v>0</v>
      </c>
      <c r="D53" s="674">
        <v>0</v>
      </c>
      <c r="E53" s="334">
        <f t="shared" si="2"/>
        <v>3202.222222222222</v>
      </c>
      <c r="F53" s="334">
        <f t="shared" si="3"/>
        <v>9340.062500000002</v>
      </c>
      <c r="G53" s="361">
        <f t="shared" si="4"/>
        <v>12542.284722222224</v>
      </c>
    </row>
    <row r="54" spans="1:7" ht="12.75">
      <c r="A54" s="332">
        <f t="shared" si="5"/>
        <v>11</v>
      </c>
      <c r="B54" s="336" t="s">
        <v>29</v>
      </c>
      <c r="C54" s="674">
        <v>0</v>
      </c>
      <c r="D54" s="674">
        <v>0</v>
      </c>
      <c r="E54" s="334">
        <f t="shared" si="2"/>
        <v>3522.4444444444443</v>
      </c>
      <c r="F54" s="334">
        <f t="shared" si="3"/>
        <v>10377.847222222224</v>
      </c>
      <c r="G54" s="361">
        <f t="shared" si="4"/>
        <v>13900.291666666668</v>
      </c>
    </row>
    <row r="55" spans="1:7" ht="12.75">
      <c r="A55" s="332">
        <f t="shared" si="5"/>
        <v>12</v>
      </c>
      <c r="B55" s="336" t="s">
        <v>30</v>
      </c>
      <c r="C55" s="674">
        <v>0</v>
      </c>
      <c r="D55" s="674">
        <v>0</v>
      </c>
      <c r="E55" s="334">
        <f t="shared" si="2"/>
        <v>3842.6666666666665</v>
      </c>
      <c r="F55" s="334">
        <f t="shared" si="3"/>
        <v>11415.631944444447</v>
      </c>
      <c r="G55" s="361">
        <f t="shared" si="4"/>
        <v>15258.298611111113</v>
      </c>
    </row>
    <row r="56" spans="1:8" ht="12.75">
      <c r="A56" s="332">
        <f t="shared" si="5"/>
        <v>13</v>
      </c>
      <c r="B56" s="336" t="s">
        <v>31</v>
      </c>
      <c r="C56" s="674">
        <v>0</v>
      </c>
      <c r="D56" s="674">
        <v>0</v>
      </c>
      <c r="E56" s="334">
        <f t="shared" si="2"/>
        <v>4162.888888888889</v>
      </c>
      <c r="F56" s="334">
        <f t="shared" si="3"/>
        <v>12453.41666666667</v>
      </c>
      <c r="G56" s="361">
        <f t="shared" si="4"/>
        <v>16616.30555555556</v>
      </c>
      <c r="H56" s="701"/>
    </row>
    <row r="57" spans="1:7" ht="12.75">
      <c r="A57" s="332">
        <f t="shared" si="5"/>
        <v>14</v>
      </c>
      <c r="B57" s="336"/>
      <c r="C57" s="362"/>
      <c r="D57" s="362"/>
      <c r="E57" s="362"/>
      <c r="F57" s="362"/>
      <c r="G57" s="363"/>
    </row>
    <row r="58" spans="1:7" ht="12.75">
      <c r="A58" s="332">
        <f t="shared" si="5"/>
        <v>15</v>
      </c>
      <c r="B58" s="689" t="s">
        <v>588</v>
      </c>
      <c r="C58" s="694">
        <f>+AVERAGE(C44:C56)</f>
        <v>0</v>
      </c>
      <c r="D58" s="694">
        <f>+AVERAGE(D44:D56)</f>
        <v>0</v>
      </c>
      <c r="E58" s="694">
        <f>+AVERAGE(E44:E56)</f>
        <v>2241.5555555555557</v>
      </c>
      <c r="F58" s="694">
        <f>+AVERAGE(F44:F56)</f>
        <v>6226.708333333335</v>
      </c>
      <c r="G58" s="696">
        <f>+AVERAGE(G44:G56)</f>
        <v>8468.26388888889</v>
      </c>
    </row>
    <row r="59" spans="1:7" ht="12.75">
      <c r="A59" s="332"/>
      <c r="B59" s="337"/>
      <c r="C59" s="697"/>
      <c r="D59" s="697"/>
      <c r="E59" s="697"/>
      <c r="F59" s="697"/>
      <c r="G59" s="698"/>
    </row>
    <row r="60" spans="1:7" ht="13.5" thickBot="1">
      <c r="A60" s="332"/>
      <c r="B60" s="689" t="s">
        <v>587</v>
      </c>
      <c r="C60" s="699">
        <f>C27-C58</f>
        <v>3366718.8882720293</v>
      </c>
      <c r="D60" s="699">
        <f>D27-D58</f>
        <v>2735725.313123322</v>
      </c>
      <c r="E60" s="699">
        <f>E27-E58</f>
        <v>228318.44444444444</v>
      </c>
      <c r="F60" s="699">
        <f>F27-F58</f>
        <v>740978.2916666666</v>
      </c>
      <c r="G60" s="700">
        <f>G27-G58</f>
        <v>7071740.937506462</v>
      </c>
    </row>
    <row r="61" spans="1:7" ht="13.5" thickTop="1">
      <c r="A61" s="332"/>
      <c r="B61" s="337"/>
      <c r="C61" s="697"/>
      <c r="D61" s="697"/>
      <c r="E61" s="697"/>
      <c r="F61" s="697"/>
      <c r="G61" s="698"/>
    </row>
    <row r="62" spans="1:7" ht="12.75">
      <c r="A62" s="338"/>
      <c r="B62" s="693" t="s">
        <v>585</v>
      </c>
      <c r="C62" s="695">
        <f>C56-C44</f>
        <v>0</v>
      </c>
      <c r="D62" s="695">
        <f>D56-D44</f>
        <v>0</v>
      </c>
      <c r="E62" s="702">
        <f>E56-E44</f>
        <v>3842.6666666666665</v>
      </c>
      <c r="F62" s="702">
        <f>F56-F44</f>
        <v>12453.41666666667</v>
      </c>
      <c r="G62" s="696">
        <f>G56-G44</f>
        <v>16296.083333333336</v>
      </c>
    </row>
  </sheetData>
  <sheetProtection/>
  <mergeCells count="6">
    <mergeCell ref="A4:G4"/>
    <mergeCell ref="A5:G5"/>
    <mergeCell ref="A6:G6"/>
    <mergeCell ref="A35:G35"/>
    <mergeCell ref="A36:G36"/>
    <mergeCell ref="A37:G37"/>
  </mergeCells>
  <printOptions horizontalCentered="1"/>
  <pageMargins left="0.75" right="0.75" top="0.75" bottom="0.75" header="0.5" footer="0.5"/>
  <pageSetup fitToHeight="1" fitToWidth="1" horizontalDpi="600" verticalDpi="600" orientation="portrait" scale="74" r:id="rId1"/>
  <headerFooter>
    <oddHeader>&amp;R&amp;"Arial,Regular"&amp;10Attachment GG Work Paper
Page 1 of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149"/>
  <sheetViews>
    <sheetView showGridLines="0" zoomScalePageLayoutView="0" workbookViewId="0" topLeftCell="B1">
      <selection activeCell="B2" sqref="B2"/>
    </sheetView>
  </sheetViews>
  <sheetFormatPr defaultColWidth="8.88671875" defaultRowHeight="15"/>
  <cols>
    <col min="1" max="1" width="3.4453125" style="1" bestFit="1" customWidth="1"/>
    <col min="2" max="2" width="18.6640625" style="1" bestFit="1" customWidth="1"/>
    <col min="3" max="6" width="11.77734375" style="1" customWidth="1"/>
    <col min="7" max="8" width="11.77734375" style="1" hidden="1" customWidth="1"/>
    <col min="9" max="9" width="11.77734375" style="1" customWidth="1"/>
    <col min="10" max="14" width="11.5546875" style="1" bestFit="1" customWidth="1"/>
    <col min="15" max="16384" width="8.88671875" style="1" customWidth="1"/>
  </cols>
  <sheetData>
    <row r="3" spans="1:9" ht="12.75">
      <c r="A3" s="705" t="s">
        <v>0</v>
      </c>
      <c r="B3" s="705"/>
      <c r="C3" s="705"/>
      <c r="D3" s="705"/>
      <c r="E3" s="705"/>
      <c r="F3" s="705"/>
      <c r="G3" s="705"/>
      <c r="H3" s="705"/>
      <c r="I3" s="705"/>
    </row>
    <row r="4" spans="1:9" ht="12.75">
      <c r="A4" s="705" t="s">
        <v>1</v>
      </c>
      <c r="B4" s="705"/>
      <c r="C4" s="705"/>
      <c r="D4" s="705"/>
      <c r="E4" s="705"/>
      <c r="F4" s="705"/>
      <c r="G4" s="705"/>
      <c r="H4" s="705"/>
      <c r="I4" s="705"/>
    </row>
    <row r="5" spans="1:9" ht="12.75">
      <c r="A5" s="705" t="s">
        <v>409</v>
      </c>
      <c r="B5" s="705"/>
      <c r="C5" s="705"/>
      <c r="D5" s="705"/>
      <c r="E5" s="705"/>
      <c r="F5" s="705"/>
      <c r="G5" s="705"/>
      <c r="H5" s="705"/>
      <c r="I5" s="705"/>
    </row>
    <row r="6" ht="12.75">
      <c r="A6" s="2"/>
    </row>
    <row r="7" spans="1:9" s="4" customFormat="1" ht="12.75">
      <c r="A7" s="3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H7" s="4" t="s">
        <v>7</v>
      </c>
      <c r="I7" s="4" t="s">
        <v>8</v>
      </c>
    </row>
    <row r="9" spans="1:9" ht="12.75">
      <c r="A9" s="5" t="s">
        <v>9</v>
      </c>
      <c r="B9" s="6"/>
      <c r="C9" s="7"/>
      <c r="D9" s="8"/>
      <c r="E9" s="9"/>
      <c r="F9" s="9"/>
      <c r="G9" s="9"/>
      <c r="H9" s="7" t="s">
        <v>10</v>
      </c>
      <c r="I9" s="10"/>
    </row>
    <row r="10" spans="1:9" ht="12.75">
      <c r="A10" s="11" t="s">
        <v>11</v>
      </c>
      <c r="B10" s="12" t="s">
        <v>52</v>
      </c>
      <c r="C10" s="13" t="s">
        <v>12</v>
      </c>
      <c r="D10" s="13" t="s">
        <v>13</v>
      </c>
      <c r="E10" s="13" t="s">
        <v>14</v>
      </c>
      <c r="F10" s="13" t="s">
        <v>15</v>
      </c>
      <c r="G10" s="13" t="s">
        <v>16</v>
      </c>
      <c r="H10" s="13" t="s">
        <v>17</v>
      </c>
      <c r="I10" s="14" t="s">
        <v>18</v>
      </c>
    </row>
    <row r="11" spans="1:9" ht="12.75">
      <c r="A11" s="5">
        <v>1</v>
      </c>
      <c r="B11" s="15" t="s">
        <v>19</v>
      </c>
      <c r="C11" s="16">
        <v>240035865.94</v>
      </c>
      <c r="D11" s="17">
        <v>84289221.6</v>
      </c>
      <c r="E11" s="16">
        <v>149153900.33999997</v>
      </c>
      <c r="F11" s="16">
        <v>31080745.310000002</v>
      </c>
      <c r="G11" s="16">
        <v>1615581.06</v>
      </c>
      <c r="H11" s="16">
        <v>337228.18</v>
      </c>
      <c r="I11" s="18">
        <f aca="true" t="shared" si="0" ref="I11:I23">+SUM(C11:F11)</f>
        <v>504559733.18999994</v>
      </c>
    </row>
    <row r="12" spans="1:9" ht="12.75">
      <c r="A12" s="19">
        <f aca="true" t="shared" si="1" ref="A12:A25">+A11+1</f>
        <v>2</v>
      </c>
      <c r="B12" s="20" t="s">
        <v>20</v>
      </c>
      <c r="C12" s="16">
        <v>240201918.33999997</v>
      </c>
      <c r="D12" s="17">
        <v>84673734.36999999</v>
      </c>
      <c r="E12" s="16">
        <v>149995438.15999997</v>
      </c>
      <c r="F12" s="16">
        <v>31370689.17</v>
      </c>
      <c r="G12" s="16">
        <v>1669717.63</v>
      </c>
      <c r="H12" s="16">
        <v>337228.18</v>
      </c>
      <c r="I12" s="18">
        <f t="shared" si="0"/>
        <v>506241780.03999996</v>
      </c>
    </row>
    <row r="13" spans="1:9" ht="12.75">
      <c r="A13" s="19">
        <f t="shared" si="1"/>
        <v>3</v>
      </c>
      <c r="B13" s="21" t="s">
        <v>21</v>
      </c>
      <c r="C13" s="16">
        <v>241948916.30999997</v>
      </c>
      <c r="D13" s="17">
        <v>85058247.13999999</v>
      </c>
      <c r="E13" s="16">
        <v>150658948.75999996</v>
      </c>
      <c r="F13" s="16">
        <v>31490635.79</v>
      </c>
      <c r="G13" s="16">
        <v>1723854.1999999997</v>
      </c>
      <c r="H13" s="16">
        <v>337228.18</v>
      </c>
      <c r="I13" s="18">
        <f t="shared" si="0"/>
        <v>509156747.99999994</v>
      </c>
    </row>
    <row r="14" spans="1:9" ht="12.75">
      <c r="A14" s="19">
        <f t="shared" si="1"/>
        <v>4</v>
      </c>
      <c r="B14" s="21" t="s">
        <v>22</v>
      </c>
      <c r="C14" s="16">
        <v>243388836.92999995</v>
      </c>
      <c r="D14" s="17">
        <v>85442759.90999998</v>
      </c>
      <c r="E14" s="16">
        <v>151503197.72999996</v>
      </c>
      <c r="F14" s="16">
        <v>31770618.599999994</v>
      </c>
      <c r="G14" s="16">
        <v>1777990.7699999998</v>
      </c>
      <c r="H14" s="16">
        <v>337228.18</v>
      </c>
      <c r="I14" s="18">
        <f t="shared" si="0"/>
        <v>512105413.16999984</v>
      </c>
    </row>
    <row r="15" spans="1:9" ht="12.75">
      <c r="A15" s="19">
        <f t="shared" si="1"/>
        <v>5</v>
      </c>
      <c r="B15" s="21" t="s">
        <v>23</v>
      </c>
      <c r="C15" s="16">
        <v>245203195.94999993</v>
      </c>
      <c r="D15" s="17">
        <v>85631353.08999997</v>
      </c>
      <c r="E15" s="16">
        <v>152016350.43999994</v>
      </c>
      <c r="F15" s="16">
        <v>32077989.259999998</v>
      </c>
      <c r="G15" s="16">
        <v>1832127.3399999999</v>
      </c>
      <c r="H15" s="16">
        <v>337228.18</v>
      </c>
      <c r="I15" s="18">
        <f t="shared" si="0"/>
        <v>514928888.73999983</v>
      </c>
    </row>
    <row r="16" spans="1:9" ht="12.75">
      <c r="A16" s="19">
        <f t="shared" si="1"/>
        <v>6</v>
      </c>
      <c r="B16" s="21" t="s">
        <v>24</v>
      </c>
      <c r="C16" s="16">
        <v>246818109.84999993</v>
      </c>
      <c r="D16" s="17">
        <v>86022307.44999997</v>
      </c>
      <c r="E16" s="16">
        <v>152865645.65999994</v>
      </c>
      <c r="F16" s="16">
        <v>32377099.559999995</v>
      </c>
      <c r="G16" s="16">
        <v>1886263.9099999997</v>
      </c>
      <c r="H16" s="16">
        <v>337228.18</v>
      </c>
      <c r="I16" s="18">
        <f t="shared" si="0"/>
        <v>518083162.5199998</v>
      </c>
    </row>
    <row r="17" spans="1:9" ht="12.75">
      <c r="A17" s="19">
        <f t="shared" si="1"/>
        <v>7</v>
      </c>
      <c r="B17" s="21" t="s">
        <v>25</v>
      </c>
      <c r="C17" s="16">
        <v>248547906.3899999</v>
      </c>
      <c r="D17" s="17">
        <v>86413261.80999997</v>
      </c>
      <c r="E17" s="16">
        <v>153319371.91999993</v>
      </c>
      <c r="F17" s="16">
        <v>32415564.169999994</v>
      </c>
      <c r="G17" s="16">
        <v>1940400.4799999997</v>
      </c>
      <c r="H17" s="16">
        <v>337228.18</v>
      </c>
      <c r="I17" s="18">
        <f t="shared" si="0"/>
        <v>520696104.2899998</v>
      </c>
    </row>
    <row r="18" spans="1:9" ht="12.75">
      <c r="A18" s="19">
        <f t="shared" si="1"/>
        <v>8</v>
      </c>
      <c r="B18" s="21" t="s">
        <v>26</v>
      </c>
      <c r="C18" s="16">
        <v>249711675.6999999</v>
      </c>
      <c r="D18" s="17">
        <v>86804216.16999997</v>
      </c>
      <c r="E18" s="16">
        <v>154174704.91999993</v>
      </c>
      <c r="F18" s="16">
        <v>32439761.15</v>
      </c>
      <c r="G18" s="16">
        <v>1994537.0499999998</v>
      </c>
      <c r="H18" s="16">
        <v>337228.18</v>
      </c>
      <c r="I18" s="18">
        <f t="shared" si="0"/>
        <v>523130357.9399998</v>
      </c>
    </row>
    <row r="19" spans="1:9" ht="12.75">
      <c r="A19" s="19">
        <f t="shared" si="1"/>
        <v>9</v>
      </c>
      <c r="B19" s="21" t="s">
        <v>27</v>
      </c>
      <c r="C19" s="16">
        <v>251532627.5099999</v>
      </c>
      <c r="D19" s="17">
        <v>87100223.58999996</v>
      </c>
      <c r="E19" s="16">
        <v>154714777.44999993</v>
      </c>
      <c r="F19" s="16">
        <v>32688992.209999993</v>
      </c>
      <c r="G19" s="16">
        <v>2048673.6199999996</v>
      </c>
      <c r="H19" s="16">
        <v>337228.18</v>
      </c>
      <c r="I19" s="18">
        <f t="shared" si="0"/>
        <v>526036620.75999975</v>
      </c>
    </row>
    <row r="20" spans="1:9" ht="12.75">
      <c r="A20" s="19">
        <f t="shared" si="1"/>
        <v>10</v>
      </c>
      <c r="B20" s="21" t="s">
        <v>28</v>
      </c>
      <c r="C20" s="16">
        <v>252726531.4599999</v>
      </c>
      <c r="D20" s="17">
        <v>87494301.77999996</v>
      </c>
      <c r="E20" s="16">
        <v>155574930.86999992</v>
      </c>
      <c r="F20" s="16">
        <v>32458076.299999997</v>
      </c>
      <c r="G20" s="16">
        <v>2102810.1899999995</v>
      </c>
      <c r="H20" s="16">
        <v>337228.18</v>
      </c>
      <c r="I20" s="18">
        <f t="shared" si="0"/>
        <v>528253840.4099998</v>
      </c>
    </row>
    <row r="21" spans="1:9" ht="12.75">
      <c r="A21" s="19">
        <f t="shared" si="1"/>
        <v>11</v>
      </c>
      <c r="B21" s="21" t="s">
        <v>29</v>
      </c>
      <c r="C21" s="16">
        <v>254516805.88999987</v>
      </c>
      <c r="D21" s="17">
        <v>87822494.60999995</v>
      </c>
      <c r="E21" s="16">
        <v>156082371.9199999</v>
      </c>
      <c r="F21" s="16">
        <v>31612277.779999994</v>
      </c>
      <c r="G21" s="16">
        <v>2156946.76</v>
      </c>
      <c r="H21" s="16">
        <v>337228.18</v>
      </c>
      <c r="I21" s="18">
        <f t="shared" si="0"/>
        <v>530033950.1999997</v>
      </c>
    </row>
    <row r="22" spans="1:9" ht="12.75">
      <c r="A22" s="19">
        <f t="shared" si="1"/>
        <v>12</v>
      </c>
      <c r="B22" s="21" t="s">
        <v>30</v>
      </c>
      <c r="C22" s="16">
        <v>256240342.7099999</v>
      </c>
      <c r="D22" s="17">
        <v>88218741.17999995</v>
      </c>
      <c r="E22" s="16">
        <v>156947925.8899999</v>
      </c>
      <c r="F22" s="16">
        <v>30270017.279999994</v>
      </c>
      <c r="G22" s="16">
        <v>562827.0599999995</v>
      </c>
      <c r="H22" s="16">
        <v>337228.18</v>
      </c>
      <c r="I22" s="18">
        <f t="shared" si="0"/>
        <v>531677027.0599997</v>
      </c>
    </row>
    <row r="23" spans="1:9" ht="12.75">
      <c r="A23" s="19">
        <f t="shared" si="1"/>
        <v>13</v>
      </c>
      <c r="B23" s="21" t="s">
        <v>31</v>
      </c>
      <c r="C23" s="16">
        <v>258049533.3299999</v>
      </c>
      <c r="D23" s="17">
        <v>88548785.07999994</v>
      </c>
      <c r="E23" s="16">
        <v>157358599.5499999</v>
      </c>
      <c r="F23" s="16">
        <v>30580412.163999997</v>
      </c>
      <c r="G23" s="16">
        <v>617725.9199999995</v>
      </c>
      <c r="H23" s="16">
        <v>337228.18</v>
      </c>
      <c r="I23" s="18">
        <f t="shared" si="0"/>
        <v>534537330.1239997</v>
      </c>
    </row>
    <row r="24" spans="1:9" ht="12.75">
      <c r="A24" s="19">
        <f t="shared" si="1"/>
        <v>14</v>
      </c>
      <c r="B24" s="21"/>
      <c r="C24" s="16"/>
      <c r="D24" s="16"/>
      <c r="E24" s="16"/>
      <c r="F24" s="16"/>
      <c r="G24" s="16"/>
      <c r="H24" s="16"/>
      <c r="I24" s="18"/>
    </row>
    <row r="25" spans="1:9" ht="12.75">
      <c r="A25" s="19">
        <f t="shared" si="1"/>
        <v>15</v>
      </c>
      <c r="B25" s="350" t="s">
        <v>32</v>
      </c>
      <c r="C25" s="342">
        <f aca="true" t="shared" si="2" ref="C25:H25">AVERAGE(C11:C23)</f>
        <v>248378635.86999992</v>
      </c>
      <c r="D25" s="342">
        <f t="shared" si="2"/>
        <v>86424588.2907692</v>
      </c>
      <c r="E25" s="342">
        <f t="shared" si="2"/>
        <v>153412781.8161538</v>
      </c>
      <c r="F25" s="342">
        <f t="shared" si="2"/>
        <v>31740990.672615375</v>
      </c>
      <c r="G25" s="343">
        <f t="shared" si="2"/>
        <v>1686881.2299999995</v>
      </c>
      <c r="H25" s="343">
        <f t="shared" si="2"/>
        <v>337228.18000000005</v>
      </c>
      <c r="I25" s="341">
        <f>AVERAGE(I11:I23)</f>
        <v>519956996.64953834</v>
      </c>
    </row>
    <row r="26" spans="1:9" ht="12.75">
      <c r="A26" s="19"/>
      <c r="B26" s="24"/>
      <c r="C26" s="25"/>
      <c r="D26" s="25"/>
      <c r="E26" s="25"/>
      <c r="F26" s="25"/>
      <c r="G26" s="25"/>
      <c r="H26" s="25"/>
      <c r="I26" s="26"/>
    </row>
    <row r="27" ht="12.75">
      <c r="A27" s="27"/>
    </row>
    <row r="28" ht="12.75">
      <c r="A28" s="28"/>
    </row>
    <row r="29" ht="12.75">
      <c r="A29" s="28"/>
    </row>
    <row r="30" s="16" customFormat="1" ht="12.75">
      <c r="A30" s="29"/>
    </row>
    <row r="31" s="16" customFormat="1" ht="12.75">
      <c r="A31" s="29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</sheetData>
  <sheetProtection/>
  <mergeCells count="3">
    <mergeCell ref="A3:I3"/>
    <mergeCell ref="A4:I4"/>
    <mergeCell ref="A5:I5"/>
  </mergeCells>
  <printOptions horizontalCentered="1"/>
  <pageMargins left="0.75" right="0.75" top="0.75" bottom="0.75" header="0.5" footer="0.3"/>
  <pageSetup horizontalDpi="600" verticalDpi="600" orientation="portrait" scale="80" r:id="rId1"/>
  <headerFooter>
    <oddHeader>&amp;R&amp;"Arial,Regular"&amp;10Attachment O Work Paper
Page 2 of 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P28"/>
  <sheetViews>
    <sheetView showGridLines="0" zoomScalePageLayoutView="0" workbookViewId="0" topLeftCell="A1">
      <selection activeCell="G9" sqref="G9"/>
    </sheetView>
  </sheetViews>
  <sheetFormatPr defaultColWidth="8.88671875" defaultRowHeight="15"/>
  <cols>
    <col min="1" max="1" width="3.6640625" style="318" customWidth="1"/>
    <col min="2" max="2" width="18.6640625" style="319" bestFit="1" customWidth="1"/>
    <col min="3" max="5" width="15.77734375" style="319" customWidth="1"/>
    <col min="6" max="6" width="12.77734375" style="319" customWidth="1"/>
    <col min="7" max="16" width="9.10546875" style="319" customWidth="1"/>
    <col min="17" max="16384" width="8.88671875" style="319" customWidth="1"/>
  </cols>
  <sheetData>
    <row r="4" spans="1:6" ht="12.75">
      <c r="A4" s="706" t="s">
        <v>0</v>
      </c>
      <c r="B4" s="706"/>
      <c r="C4" s="706"/>
      <c r="D4" s="706"/>
      <c r="E4" s="706"/>
      <c r="F4" s="706"/>
    </row>
    <row r="5" spans="1:6" ht="12.75">
      <c r="A5" s="706" t="s">
        <v>402</v>
      </c>
      <c r="B5" s="706"/>
      <c r="C5" s="706"/>
      <c r="D5" s="706"/>
      <c r="E5" s="706"/>
      <c r="F5" s="706"/>
    </row>
    <row r="6" spans="1:6" ht="12.75">
      <c r="A6" s="706" t="s">
        <v>409</v>
      </c>
      <c r="B6" s="706"/>
      <c r="C6" s="706"/>
      <c r="D6" s="706"/>
      <c r="E6" s="706"/>
      <c r="F6" s="706"/>
    </row>
    <row r="8" spans="2:6" ht="12.75">
      <c r="B8" s="318" t="s">
        <v>2</v>
      </c>
      <c r="C8" s="318" t="s">
        <v>3</v>
      </c>
      <c r="D8" s="318" t="s">
        <v>4</v>
      </c>
      <c r="E8" s="318" t="s">
        <v>5</v>
      </c>
      <c r="F8" s="318" t="s">
        <v>6</v>
      </c>
    </row>
    <row r="10" spans="1:6" ht="12.75">
      <c r="A10" s="320"/>
      <c r="B10" s="351"/>
      <c r="C10" s="321" t="s">
        <v>403</v>
      </c>
      <c r="D10" s="321" t="s">
        <v>404</v>
      </c>
      <c r="E10" s="321" t="s">
        <v>405</v>
      </c>
      <c r="F10" s="322"/>
    </row>
    <row r="11" spans="1:6" ht="12.75">
      <c r="A11" s="323" t="s">
        <v>9</v>
      </c>
      <c r="B11" s="324"/>
      <c r="C11" s="325" t="s">
        <v>573</v>
      </c>
      <c r="D11" s="325" t="s">
        <v>575</v>
      </c>
      <c r="E11" s="325" t="s">
        <v>577</v>
      </c>
      <c r="F11" s="326"/>
    </row>
    <row r="12" spans="1:6" ht="12.75">
      <c r="A12" s="327" t="s">
        <v>11</v>
      </c>
      <c r="B12" s="352" t="s">
        <v>52</v>
      </c>
      <c r="C12" s="669" t="s">
        <v>574</v>
      </c>
      <c r="D12" s="669" t="s">
        <v>576</v>
      </c>
      <c r="E12" s="669" t="s">
        <v>578</v>
      </c>
      <c r="F12" s="329" t="s">
        <v>18</v>
      </c>
    </row>
    <row r="13" spans="1:16" ht="12.75">
      <c r="A13" s="320">
        <v>1</v>
      </c>
      <c r="B13" s="353" t="s">
        <v>19</v>
      </c>
      <c r="C13" s="680">
        <v>1580935.3424439793</v>
      </c>
      <c r="D13" s="680">
        <v>1394559.078574296</v>
      </c>
      <c r="E13" s="680">
        <v>889310.6224449233</v>
      </c>
      <c r="F13" s="675">
        <f aca="true" t="shared" si="0" ref="F13:F25">+SUM(C13:E13)</f>
        <v>3864805.0434631985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</row>
    <row r="14" spans="1:16" s="331" customFormat="1" ht="12.75">
      <c r="A14" s="332">
        <f>+A13+1</f>
        <v>2</v>
      </c>
      <c r="B14" s="333" t="s">
        <v>20</v>
      </c>
      <c r="C14" s="680">
        <v>1937956.9614665117</v>
      </c>
      <c r="D14" s="680">
        <v>1881647.596643147</v>
      </c>
      <c r="E14" s="680">
        <v>1144450.6415955476</v>
      </c>
      <c r="F14" s="675">
        <f t="shared" si="0"/>
        <v>4964055.199705206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</row>
    <row r="15" spans="1:7" ht="12.75">
      <c r="A15" s="332">
        <f>+A14+1</f>
        <v>3</v>
      </c>
      <c r="B15" s="336" t="s">
        <v>21</v>
      </c>
      <c r="C15" s="680">
        <v>2146974.71549888</v>
      </c>
      <c r="D15" s="680">
        <v>2238337.7607279336</v>
      </c>
      <c r="E15" s="680">
        <v>1316425.1087868945</v>
      </c>
      <c r="F15" s="675">
        <f t="shared" si="0"/>
        <v>5701737.585013708</v>
      </c>
      <c r="G15" s="331"/>
    </row>
    <row r="16" spans="1:6" ht="12.75">
      <c r="A16" s="332">
        <f>+A15+1</f>
        <v>4</v>
      </c>
      <c r="B16" s="336" t="s">
        <v>22</v>
      </c>
      <c r="C16" s="680">
        <v>2357096.827572868</v>
      </c>
      <c r="D16" s="680">
        <v>2596669.419892977</v>
      </c>
      <c r="E16" s="680">
        <v>1489233.4106221108</v>
      </c>
      <c r="F16" s="675">
        <f t="shared" si="0"/>
        <v>6442999.658087956</v>
      </c>
    </row>
    <row r="17" spans="1:6" ht="12.75">
      <c r="A17" s="332">
        <f>+A16+1</f>
        <v>5</v>
      </c>
      <c r="B17" s="336" t="s">
        <v>23</v>
      </c>
      <c r="C17" s="680">
        <v>2568771.6070943656</v>
      </c>
      <c r="D17" s="680">
        <v>2957170.754592059</v>
      </c>
      <c r="E17" s="680">
        <v>1663171.5207454846</v>
      </c>
      <c r="F17" s="675">
        <f t="shared" si="0"/>
        <v>7189113.882431909</v>
      </c>
    </row>
    <row r="18" spans="1:13" ht="12.75">
      <c r="A18" s="332">
        <f>+A17+1</f>
        <v>6</v>
      </c>
      <c r="B18" s="336" t="s">
        <v>24</v>
      </c>
      <c r="C18" s="680">
        <v>2780422.7224326376</v>
      </c>
      <c r="D18" s="680">
        <v>3318163.836943779</v>
      </c>
      <c r="E18" s="680">
        <v>1837253.900120102</v>
      </c>
      <c r="F18" s="675">
        <f t="shared" si="0"/>
        <v>7935840.459496519</v>
      </c>
      <c r="G18" s="331"/>
      <c r="H18" s="331"/>
      <c r="I18" s="331"/>
      <c r="J18" s="331"/>
      <c r="K18" s="331"/>
      <c r="L18" s="331"/>
      <c r="M18" s="331"/>
    </row>
    <row r="19" spans="1:16" ht="12.75">
      <c r="A19" s="332">
        <f aca="true" t="shared" si="1" ref="A19:A27">+A18+1</f>
        <v>7</v>
      </c>
      <c r="B19" s="336" t="s">
        <v>25</v>
      </c>
      <c r="C19" s="680">
        <v>2994200.22838716</v>
      </c>
      <c r="D19" s="680">
        <v>3682079.536197109</v>
      </c>
      <c r="E19" s="680">
        <v>2012868.553887203</v>
      </c>
      <c r="F19" s="675">
        <f t="shared" si="0"/>
        <v>8689148.318471473</v>
      </c>
      <c r="I19" s="331"/>
      <c r="J19" s="331"/>
      <c r="K19" s="331"/>
      <c r="L19" s="331"/>
      <c r="M19" s="331"/>
      <c r="N19" s="331"/>
      <c r="O19" s="331"/>
      <c r="P19" s="331"/>
    </row>
    <row r="20" spans="1:6" ht="12.75">
      <c r="A20" s="332">
        <f t="shared" si="1"/>
        <v>8</v>
      </c>
      <c r="B20" s="336" t="s">
        <v>26</v>
      </c>
      <c r="C20" s="680">
        <v>3208848.3901733686</v>
      </c>
      <c r="D20" s="680">
        <v>4047508.536021879</v>
      </c>
      <c r="E20" s="680">
        <v>2189208.029295804</v>
      </c>
      <c r="F20" s="675">
        <f t="shared" si="0"/>
        <v>9445564.955491051</v>
      </c>
    </row>
    <row r="21" spans="1:6" ht="12.75">
      <c r="A21" s="332">
        <f t="shared" si="1"/>
        <v>9</v>
      </c>
      <c r="B21" s="336" t="s">
        <v>27</v>
      </c>
      <c r="C21" s="680">
        <v>3425156.107938193</v>
      </c>
      <c r="D21" s="680">
        <v>4415434.072762594</v>
      </c>
      <c r="E21" s="680">
        <v>2366809.707862442</v>
      </c>
      <c r="F21" s="675">
        <f t="shared" si="0"/>
        <v>10207399.888563229</v>
      </c>
    </row>
    <row r="22" spans="1:8" ht="12.75">
      <c r="A22" s="332">
        <f t="shared" si="1"/>
        <v>10</v>
      </c>
      <c r="B22" s="336" t="s">
        <v>28</v>
      </c>
      <c r="C22" s="680">
        <v>3641970.8676643246</v>
      </c>
      <c r="D22" s="680">
        <v>4784431.130840166</v>
      </c>
      <c r="E22" s="680">
        <v>2544892.032132722</v>
      </c>
      <c r="F22" s="675">
        <f t="shared" si="0"/>
        <v>10971294.030637212</v>
      </c>
      <c r="G22" s="331"/>
      <c r="H22" s="334"/>
    </row>
    <row r="23" spans="1:6" ht="12.75">
      <c r="A23" s="332">
        <f t="shared" si="1"/>
        <v>11</v>
      </c>
      <c r="B23" s="336" t="s">
        <v>29</v>
      </c>
      <c r="C23" s="680">
        <v>3860555.489661571</v>
      </c>
      <c r="D23" s="680">
        <v>5156125.414096263</v>
      </c>
      <c r="E23" s="680">
        <v>2724331.1476478195</v>
      </c>
      <c r="F23" s="675">
        <f t="shared" si="0"/>
        <v>11741012.051405653</v>
      </c>
    </row>
    <row r="24" spans="1:6" ht="12.75">
      <c r="A24" s="332">
        <f t="shared" si="1"/>
        <v>12</v>
      </c>
      <c r="B24" s="336" t="s">
        <v>30</v>
      </c>
      <c r="C24" s="680">
        <v>4079466.697867856</v>
      </c>
      <c r="D24" s="680">
        <v>5528638.976515261</v>
      </c>
      <c r="E24" s="680">
        <v>2904119.5757552977</v>
      </c>
      <c r="F24" s="675">
        <f t="shared" si="0"/>
        <v>12512225.250138415</v>
      </c>
    </row>
    <row r="25" spans="1:6" ht="12.75">
      <c r="A25" s="332">
        <f t="shared" si="1"/>
        <v>13</v>
      </c>
      <c r="B25" s="336" t="s">
        <v>31</v>
      </c>
      <c r="C25" s="680">
        <v>4298862.11240147</v>
      </c>
      <c r="D25" s="680">
        <v>5902163.433728906</v>
      </c>
      <c r="E25" s="680">
        <v>3084366.6989987674</v>
      </c>
      <c r="F25" s="675">
        <f t="shared" si="0"/>
        <v>13285392.245129144</v>
      </c>
    </row>
    <row r="26" spans="1:6" ht="12.75">
      <c r="A26" s="332">
        <f t="shared" si="1"/>
        <v>14</v>
      </c>
      <c r="B26" s="336"/>
      <c r="C26" s="678"/>
      <c r="D26" s="678"/>
      <c r="E26" s="678"/>
      <c r="F26" s="679"/>
    </row>
    <row r="27" spans="1:6" ht="12.75">
      <c r="A27" s="332">
        <f t="shared" si="1"/>
        <v>15</v>
      </c>
      <c r="B27" s="337" t="s">
        <v>32</v>
      </c>
      <c r="C27" s="676">
        <f>+AVERAGE(C13:C25)</f>
        <v>2990862.928507938</v>
      </c>
      <c r="D27" s="676">
        <f>+AVERAGE(D13:D25)</f>
        <v>3684840.734425875</v>
      </c>
      <c r="E27" s="676">
        <f>+AVERAGE(E13:E25)</f>
        <v>2012803.1499919323</v>
      </c>
      <c r="F27" s="677">
        <f>+SUM(C27:E27)</f>
        <v>8688506.812925745</v>
      </c>
    </row>
    <row r="28" spans="1:6" ht="12.75">
      <c r="A28" s="338"/>
      <c r="B28" s="354"/>
      <c r="C28" s="339"/>
      <c r="D28" s="339"/>
      <c r="E28" s="339"/>
      <c r="F28" s="340"/>
    </row>
  </sheetData>
  <sheetProtection/>
  <mergeCells count="3">
    <mergeCell ref="A6:F6"/>
    <mergeCell ref="A4:F4"/>
    <mergeCell ref="A5:F5"/>
  </mergeCells>
  <printOptions horizontalCentered="1"/>
  <pageMargins left="0.75" right="0.75" top="0.75" bottom="0.75" header="0.5" footer="0.3"/>
  <pageSetup horizontalDpi="600" verticalDpi="600" orientation="portrait" scale="78" r:id="rId1"/>
  <headerFooter>
    <oddHeader>&amp;R&amp;"Arial,Regular"&amp;10Attachment O Work Paper
Page 3 of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6"/>
  <sheetViews>
    <sheetView showGridLines="0" zoomScalePageLayoutView="0" workbookViewId="0" topLeftCell="A1">
      <selection activeCell="A5" sqref="A5:F5"/>
    </sheetView>
  </sheetViews>
  <sheetFormatPr defaultColWidth="8.5546875" defaultRowHeight="15"/>
  <cols>
    <col min="1" max="1" width="3.5546875" style="30" bestFit="1" customWidth="1"/>
    <col min="2" max="2" width="43.77734375" style="32" bestFit="1" customWidth="1"/>
    <col min="3" max="5" width="12.77734375" style="32" customWidth="1"/>
    <col min="6" max="6" width="12.77734375" style="33" customWidth="1"/>
    <col min="7" max="7" width="8.5546875" style="33" customWidth="1"/>
    <col min="8" max="8" width="9.10546875" style="33" customWidth="1"/>
    <col min="9" max="16384" width="8.5546875" style="33" customWidth="1"/>
  </cols>
  <sheetData>
    <row r="1" ht="12.75">
      <c r="B1" s="31"/>
    </row>
    <row r="2" ht="12.75">
      <c r="B2" s="34"/>
    </row>
    <row r="3" spans="1:6" ht="12.75" customHeight="1">
      <c r="A3" s="707" t="s">
        <v>0</v>
      </c>
      <c r="B3" s="707"/>
      <c r="C3" s="707"/>
      <c r="D3" s="707"/>
      <c r="E3" s="707"/>
      <c r="F3" s="707"/>
    </row>
    <row r="4" spans="1:6" ht="12.75" customHeight="1">
      <c r="A4" s="707" t="s">
        <v>41</v>
      </c>
      <c r="B4" s="707"/>
      <c r="C4" s="707"/>
      <c r="D4" s="707"/>
      <c r="E4" s="707"/>
      <c r="F4" s="707"/>
    </row>
    <row r="5" spans="1:6" ht="12.75" customHeight="1">
      <c r="A5" s="707" t="s">
        <v>410</v>
      </c>
      <c r="B5" s="707"/>
      <c r="C5" s="707"/>
      <c r="D5" s="707"/>
      <c r="E5" s="707"/>
      <c r="F5" s="707"/>
    </row>
    <row r="6" spans="3:4" ht="12.75" customHeight="1">
      <c r="C6" s="35"/>
      <c r="D6" s="36"/>
    </row>
    <row r="7" spans="2:6" ht="12.75" customHeight="1">
      <c r="B7" s="30" t="s">
        <v>2</v>
      </c>
      <c r="C7" s="30" t="s">
        <v>3</v>
      </c>
      <c r="D7" s="30" t="s">
        <v>4</v>
      </c>
      <c r="E7" s="30" t="s">
        <v>5</v>
      </c>
      <c r="F7" s="266" t="s">
        <v>6</v>
      </c>
    </row>
    <row r="9" spans="1:6" ht="25.5">
      <c r="A9" s="259" t="s">
        <v>43</v>
      </c>
      <c r="B9" s="37" t="s">
        <v>44</v>
      </c>
      <c r="C9" s="49">
        <v>40178</v>
      </c>
      <c r="D9" s="53" t="s">
        <v>45</v>
      </c>
      <c r="E9" s="49">
        <v>40543</v>
      </c>
      <c r="F9" s="268" t="s">
        <v>387</v>
      </c>
    </row>
    <row r="10" spans="1:6" ht="12.75">
      <c r="A10" s="119">
        <v>1</v>
      </c>
      <c r="B10" s="36" t="s">
        <v>49</v>
      </c>
      <c r="C10" s="41">
        <v>38316720</v>
      </c>
      <c r="D10" s="41">
        <v>-1192694</v>
      </c>
      <c r="E10" s="41">
        <f>C10-D10</f>
        <v>39509414</v>
      </c>
      <c r="F10" s="270">
        <f>(C10+E10)/2</f>
        <v>38913067</v>
      </c>
    </row>
    <row r="11" spans="1:6" ht="12.75">
      <c r="A11" s="125">
        <f>A10+1</f>
        <v>2</v>
      </c>
      <c r="B11" s="36"/>
      <c r="C11" s="41"/>
      <c r="D11" s="41"/>
      <c r="E11" s="41"/>
      <c r="F11" s="270"/>
    </row>
    <row r="12" spans="1:6" ht="12.75">
      <c r="A12" s="125">
        <f aca="true" t="shared" si="0" ref="A12:A18">A11+1</f>
        <v>3</v>
      </c>
      <c r="B12" s="36" t="s">
        <v>46</v>
      </c>
      <c r="C12" s="41">
        <v>-208568157</v>
      </c>
      <c r="D12" s="41">
        <v>16160184</v>
      </c>
      <c r="E12" s="41">
        <f>C12-D12</f>
        <v>-224728341</v>
      </c>
      <c r="F12" s="270">
        <f>(C12+E12)/2</f>
        <v>-216648249</v>
      </c>
    </row>
    <row r="13" spans="1:6" ht="12.75">
      <c r="A13" s="125">
        <f t="shared" si="0"/>
        <v>4</v>
      </c>
      <c r="B13" s="36"/>
      <c r="C13" s="41"/>
      <c r="D13" s="41"/>
      <c r="E13" s="41"/>
      <c r="F13" s="270"/>
    </row>
    <row r="14" spans="1:6" ht="12.75">
      <c r="A14" s="125">
        <f t="shared" si="0"/>
        <v>5</v>
      </c>
      <c r="B14" s="36" t="s">
        <v>47</v>
      </c>
      <c r="C14" s="41">
        <v>-1416504</v>
      </c>
      <c r="D14" s="41">
        <v>1951950</v>
      </c>
      <c r="E14" s="41">
        <f>C14-D14</f>
        <v>-3368454</v>
      </c>
      <c r="F14" s="270">
        <f>(C14+E14)/2</f>
        <v>-2392479</v>
      </c>
    </row>
    <row r="15" spans="1:6" ht="12.75">
      <c r="A15" s="125">
        <f t="shared" si="0"/>
        <v>6</v>
      </c>
      <c r="B15" s="36" t="s">
        <v>48</v>
      </c>
      <c r="C15" s="272">
        <v>-2767.66</v>
      </c>
      <c r="D15" s="272">
        <v>-6679</v>
      </c>
      <c r="E15" s="272">
        <f>C15-D15</f>
        <v>3911.34</v>
      </c>
      <c r="F15" s="271">
        <f>(C15+E15)/2</f>
        <v>571.8400000000001</v>
      </c>
    </row>
    <row r="16" spans="1:6" ht="12.75">
      <c r="A16" s="125">
        <f t="shared" si="0"/>
        <v>7</v>
      </c>
      <c r="B16" s="265" t="s">
        <v>386</v>
      </c>
      <c r="C16" s="41">
        <f>+SUM(C14:C15)</f>
        <v>-1419271.66</v>
      </c>
      <c r="D16" s="41">
        <f>+SUM(D14:D15)</f>
        <v>1945271</v>
      </c>
      <c r="E16" s="41">
        <f>+SUM(E14:E15)</f>
        <v>-3364542.66</v>
      </c>
      <c r="F16" s="275">
        <f>+SUM(F14:F15)</f>
        <v>-2391907.16</v>
      </c>
    </row>
    <row r="17" spans="1:6" ht="12.75">
      <c r="A17" s="125">
        <f t="shared" si="0"/>
        <v>8</v>
      </c>
      <c r="B17" s="265"/>
      <c r="C17" s="41"/>
      <c r="D17" s="41"/>
      <c r="E17" s="274"/>
      <c r="F17" s="273"/>
    </row>
    <row r="18" spans="1:6" ht="12.75">
      <c r="A18" s="125">
        <f t="shared" si="0"/>
        <v>9</v>
      </c>
      <c r="B18" s="264" t="s">
        <v>388</v>
      </c>
      <c r="C18" s="276">
        <f>SUM(C10:C12)+C16</f>
        <v>-171670708.66</v>
      </c>
      <c r="D18" s="276">
        <f>SUM(D10:D12)+D16</f>
        <v>16912761</v>
      </c>
      <c r="E18" s="277">
        <f>SUM(E10:E12)+E16</f>
        <v>-188583469.66</v>
      </c>
      <c r="F18" s="346">
        <f>SUM(F10:F12)+F16</f>
        <v>-180127089.16</v>
      </c>
    </row>
    <row r="19" spans="1:6" ht="12.75">
      <c r="A19" s="121"/>
      <c r="B19" s="51"/>
      <c r="C19" s="52"/>
      <c r="D19" s="52"/>
      <c r="E19" s="267"/>
      <c r="F19" s="269"/>
    </row>
    <row r="20" spans="3:5" ht="12.75">
      <c r="C20" s="43"/>
      <c r="D20" s="43"/>
      <c r="E20" s="43"/>
    </row>
    <row r="21" spans="1:10" s="32" customFormat="1" ht="12.75">
      <c r="A21" s="30"/>
      <c r="B21" s="47"/>
      <c r="C21" s="46"/>
      <c r="F21" s="33"/>
      <c r="G21" s="33"/>
      <c r="H21" s="33"/>
      <c r="I21" s="33"/>
      <c r="J21" s="33"/>
    </row>
    <row r="22" spans="1:10" s="32" customFormat="1" ht="12.75">
      <c r="A22" s="30"/>
      <c r="B22" s="36"/>
      <c r="C22" s="46"/>
      <c r="F22" s="33"/>
      <c r="G22" s="33"/>
      <c r="H22" s="33"/>
      <c r="I22" s="33"/>
      <c r="J22" s="33"/>
    </row>
    <row r="23" spans="1:10" s="32" customFormat="1" ht="12.75">
      <c r="A23" s="30"/>
      <c r="B23" s="36"/>
      <c r="C23" s="46"/>
      <c r="F23" s="33"/>
      <c r="G23" s="33"/>
      <c r="H23" s="33"/>
      <c r="I23" s="33"/>
      <c r="J23" s="33"/>
    </row>
    <row r="24" spans="1:10" s="32" customFormat="1" ht="12.75">
      <c r="A24" s="30"/>
      <c r="B24" s="36"/>
      <c r="C24" s="46"/>
      <c r="F24" s="33"/>
      <c r="G24" s="33"/>
      <c r="H24" s="33"/>
      <c r="I24" s="33"/>
      <c r="J24" s="33"/>
    </row>
    <row r="25" spans="1:10" s="32" customFormat="1" ht="12.75">
      <c r="A25" s="30"/>
      <c r="B25" s="36"/>
      <c r="C25" s="46"/>
      <c r="F25" s="33"/>
      <c r="G25" s="33"/>
      <c r="H25" s="33"/>
      <c r="I25" s="33"/>
      <c r="J25" s="33"/>
    </row>
    <row r="26" spans="1:10" s="32" customFormat="1" ht="12.75">
      <c r="A26" s="30"/>
      <c r="B26" s="36"/>
      <c r="C26" s="36"/>
      <c r="F26" s="33"/>
      <c r="G26" s="33"/>
      <c r="H26" s="33"/>
      <c r="I26" s="33"/>
      <c r="J26" s="33"/>
    </row>
    <row r="27" spans="1:10" s="32" customFormat="1" ht="12.75">
      <c r="A27" s="30"/>
      <c r="B27" s="36"/>
      <c r="C27" s="36"/>
      <c r="F27" s="33"/>
      <c r="G27" s="33"/>
      <c r="H27" s="33"/>
      <c r="I27" s="33"/>
      <c r="J27" s="33"/>
    </row>
    <row r="28" spans="1:10" s="32" customFormat="1" ht="12.75">
      <c r="A28" s="30"/>
      <c r="B28" s="36"/>
      <c r="C28" s="46"/>
      <c r="F28" s="33"/>
      <c r="G28" s="33"/>
      <c r="H28" s="33"/>
      <c r="I28" s="33"/>
      <c r="J28" s="33"/>
    </row>
    <row r="29" spans="1:10" s="32" customFormat="1" ht="12.75">
      <c r="A29" s="30"/>
      <c r="B29" s="36"/>
      <c r="C29" s="46"/>
      <c r="F29" s="33"/>
      <c r="G29" s="33"/>
      <c r="H29" s="33"/>
      <c r="I29" s="33"/>
      <c r="J29" s="33"/>
    </row>
    <row r="30" spans="1:10" s="32" customFormat="1" ht="12.75">
      <c r="A30" s="30"/>
      <c r="B30" s="36"/>
      <c r="C30" s="46"/>
      <c r="F30" s="33"/>
      <c r="G30" s="33"/>
      <c r="H30" s="33"/>
      <c r="I30" s="33"/>
      <c r="J30" s="33"/>
    </row>
    <row r="31" spans="1:10" s="32" customFormat="1" ht="12.75">
      <c r="A31" s="30"/>
      <c r="B31" s="36"/>
      <c r="C31" s="46"/>
      <c r="F31" s="33"/>
      <c r="G31" s="33"/>
      <c r="H31" s="33"/>
      <c r="I31" s="33"/>
      <c r="J31" s="33"/>
    </row>
    <row r="32" spans="1:10" s="32" customFormat="1" ht="12.75">
      <c r="A32" s="30"/>
      <c r="B32" s="36"/>
      <c r="C32" s="46"/>
      <c r="F32" s="33"/>
      <c r="G32" s="33"/>
      <c r="H32" s="33"/>
      <c r="I32" s="33"/>
      <c r="J32" s="33"/>
    </row>
    <row r="33" spans="1:10" s="32" customFormat="1" ht="12.75">
      <c r="A33" s="30"/>
      <c r="B33" s="36"/>
      <c r="C33" s="46"/>
      <c r="F33" s="33"/>
      <c r="G33" s="33"/>
      <c r="H33" s="33"/>
      <c r="I33" s="33"/>
      <c r="J33" s="33"/>
    </row>
    <row r="34" spans="1:10" s="32" customFormat="1" ht="12.75">
      <c r="A34" s="30"/>
      <c r="B34" s="36"/>
      <c r="C34" s="36"/>
      <c r="F34" s="33"/>
      <c r="G34" s="33"/>
      <c r="H34" s="33"/>
      <c r="I34" s="33"/>
      <c r="J34" s="33"/>
    </row>
    <row r="35" spans="1:10" s="32" customFormat="1" ht="12.75">
      <c r="A35" s="30"/>
      <c r="B35" s="36"/>
      <c r="C35" s="48"/>
      <c r="F35" s="33"/>
      <c r="G35" s="33"/>
      <c r="H35" s="33"/>
      <c r="I35" s="33"/>
      <c r="J35" s="33"/>
    </row>
    <row r="36" spans="1:10" s="32" customFormat="1" ht="12.75">
      <c r="A36" s="30"/>
      <c r="B36" s="36"/>
      <c r="C36" s="48"/>
      <c r="F36" s="33"/>
      <c r="G36" s="33"/>
      <c r="H36" s="33"/>
      <c r="I36" s="33"/>
      <c r="J36" s="33"/>
    </row>
  </sheetData>
  <sheetProtection/>
  <mergeCells count="3">
    <mergeCell ref="A3:F3"/>
    <mergeCell ref="A4:F4"/>
    <mergeCell ref="A5:F5"/>
  </mergeCells>
  <printOptions horizontalCentered="1"/>
  <pageMargins left="0.75" right="0.75" top="0.75" bottom="0.75" header="0.5" footer="0.5"/>
  <pageSetup fitToHeight="1" fitToWidth="1" horizontalDpi="600" verticalDpi="600" orientation="portrait" scale="76" r:id="rId1"/>
  <headerFooter alignWithMargins="0">
    <oddHeader>&amp;R&amp;"Arial,Regular"&amp;10Attachment O Work Paper
Page 4 of 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P28"/>
  <sheetViews>
    <sheetView showGridLines="0" zoomScalePageLayoutView="0" workbookViewId="0" topLeftCell="A1">
      <selection activeCell="A6" sqref="A6:F6"/>
    </sheetView>
  </sheetViews>
  <sheetFormatPr defaultColWidth="8.88671875" defaultRowHeight="15"/>
  <cols>
    <col min="1" max="1" width="3.6640625" style="318" customWidth="1"/>
    <col min="2" max="2" width="18.6640625" style="319" bestFit="1" customWidth="1"/>
    <col min="3" max="5" width="15.77734375" style="319" customWidth="1"/>
    <col min="6" max="6" width="12.77734375" style="319" customWidth="1"/>
    <col min="7" max="16" width="9.10546875" style="319" customWidth="1"/>
    <col min="17" max="16384" width="8.88671875" style="319" customWidth="1"/>
  </cols>
  <sheetData>
    <row r="4" spans="1:6" ht="12.75">
      <c r="A4" s="706" t="s">
        <v>0</v>
      </c>
      <c r="B4" s="706"/>
      <c r="C4" s="706"/>
      <c r="D4" s="706"/>
      <c r="E4" s="706"/>
      <c r="F4" s="706"/>
    </row>
    <row r="5" spans="1:6" ht="12.75">
      <c r="A5" s="706" t="s">
        <v>413</v>
      </c>
      <c r="B5" s="706"/>
      <c r="C5" s="706"/>
      <c r="D5" s="706"/>
      <c r="E5" s="706"/>
      <c r="F5" s="706"/>
    </row>
    <row r="6" spans="1:6" ht="12.75">
      <c r="A6" s="706" t="s">
        <v>409</v>
      </c>
      <c r="B6" s="706"/>
      <c r="C6" s="706"/>
      <c r="D6" s="706"/>
      <c r="E6" s="706"/>
      <c r="F6" s="706"/>
    </row>
    <row r="8" spans="2:6" ht="12.75">
      <c r="B8" s="318" t="s">
        <v>2</v>
      </c>
      <c r="C8" s="318" t="s">
        <v>3</v>
      </c>
      <c r="D8" s="318" t="s">
        <v>4</v>
      </c>
      <c r="E8" s="318" t="s">
        <v>5</v>
      </c>
      <c r="F8" s="318" t="s">
        <v>6</v>
      </c>
    </row>
    <row r="10" spans="1:6" ht="12.75">
      <c r="A10" s="320"/>
      <c r="B10" s="351"/>
      <c r="C10" s="321" t="s">
        <v>403</v>
      </c>
      <c r="D10" s="321" t="s">
        <v>404</v>
      </c>
      <c r="E10" s="321" t="s">
        <v>405</v>
      </c>
      <c r="F10" s="322"/>
    </row>
    <row r="11" spans="1:6" ht="12.75">
      <c r="A11" s="332" t="s">
        <v>9</v>
      </c>
      <c r="B11" s="324"/>
      <c r="C11" s="325" t="s">
        <v>414</v>
      </c>
      <c r="D11" s="325" t="s">
        <v>414</v>
      </c>
      <c r="E11" s="325" t="s">
        <v>414</v>
      </c>
      <c r="F11" s="326"/>
    </row>
    <row r="12" spans="1:6" ht="12.75">
      <c r="A12" s="327" t="s">
        <v>11</v>
      </c>
      <c r="B12" s="352" t="s">
        <v>52</v>
      </c>
      <c r="C12" s="328" t="s">
        <v>406</v>
      </c>
      <c r="D12" s="328" t="s">
        <v>407</v>
      </c>
      <c r="E12" s="328" t="s">
        <v>408</v>
      </c>
      <c r="F12" s="329" t="s">
        <v>18</v>
      </c>
    </row>
    <row r="13" spans="1:16" ht="12.75">
      <c r="A13" s="320">
        <v>1</v>
      </c>
      <c r="B13" s="353" t="s">
        <v>19</v>
      </c>
      <c r="C13" s="681">
        <v>0</v>
      </c>
      <c r="D13" s="681">
        <v>0</v>
      </c>
      <c r="E13" s="681">
        <v>0</v>
      </c>
      <c r="F13" s="682">
        <f aca="true" t="shared" si="0" ref="F13:F25">+SUM(C13:E13)</f>
        <v>0</v>
      </c>
      <c r="G13" s="331"/>
      <c r="H13" s="331"/>
      <c r="I13" s="331"/>
      <c r="J13" s="331"/>
      <c r="K13" s="331"/>
      <c r="L13" s="331"/>
      <c r="M13" s="331"/>
      <c r="N13" s="331"/>
      <c r="O13" s="331"/>
      <c r="P13" s="331"/>
    </row>
    <row r="14" spans="1:16" s="331" customFormat="1" ht="12.75">
      <c r="A14" s="332">
        <f>+A13+1</f>
        <v>2</v>
      </c>
      <c r="B14" s="333" t="s">
        <v>20</v>
      </c>
      <c r="C14" s="681">
        <v>172325.6190225324</v>
      </c>
      <c r="D14" s="681">
        <v>167318.5180688513</v>
      </c>
      <c r="E14" s="681">
        <v>101766.0191506245</v>
      </c>
      <c r="F14" s="682">
        <f t="shared" si="0"/>
        <v>441410.1562420082</v>
      </c>
      <c r="G14" s="335"/>
      <c r="H14" s="335"/>
      <c r="I14" s="335"/>
      <c r="J14" s="335"/>
      <c r="K14" s="335"/>
      <c r="L14" s="335"/>
      <c r="M14" s="335"/>
      <c r="N14" s="335"/>
      <c r="O14" s="335"/>
      <c r="P14" s="335"/>
    </row>
    <row r="15" spans="1:7" ht="12.75">
      <c r="A15" s="332">
        <f>+A14+1</f>
        <v>3</v>
      </c>
      <c r="B15" s="336" t="s">
        <v>21</v>
      </c>
      <c r="C15" s="681">
        <v>190911.7458388217</v>
      </c>
      <c r="D15" s="681">
        <v>199035.86502099704</v>
      </c>
      <c r="E15" s="681">
        <v>117058.20938192503</v>
      </c>
      <c r="F15" s="682">
        <f t="shared" si="0"/>
        <v>507005.8202417438</v>
      </c>
      <c r="G15" s="331"/>
    </row>
    <row r="16" spans="1:6" ht="12.75">
      <c r="A16" s="332">
        <f>+A15+1</f>
        <v>4</v>
      </c>
      <c r="B16" s="336" t="s">
        <v>22</v>
      </c>
      <c r="C16" s="681">
        <v>209596.07358884104</v>
      </c>
      <c r="D16" s="681">
        <v>230899.17582138718</v>
      </c>
      <c r="E16" s="681">
        <v>132424.54525940053</v>
      </c>
      <c r="F16" s="682">
        <f t="shared" si="0"/>
        <v>572919.7946696287</v>
      </c>
    </row>
    <row r="17" spans="1:6" ht="12.75">
      <c r="A17" s="332">
        <f>+A16+1</f>
        <v>5</v>
      </c>
      <c r="B17" s="336" t="s">
        <v>23</v>
      </c>
      <c r="C17" s="681">
        <v>228418.46652005293</v>
      </c>
      <c r="D17" s="681">
        <v>262955.4169535213</v>
      </c>
      <c r="E17" s="681">
        <v>147891.34513917577</v>
      </c>
      <c r="F17" s="682">
        <f t="shared" si="0"/>
        <v>639265.2286127501</v>
      </c>
    </row>
    <row r="18" spans="1:13" ht="12.75">
      <c r="A18" s="332">
        <f>+A17+1</f>
        <v>6</v>
      </c>
      <c r="B18" s="336" t="s">
        <v>24</v>
      </c>
      <c r="C18" s="681">
        <v>247238.755201736</v>
      </c>
      <c r="D18" s="681">
        <v>295055.38491774135</v>
      </c>
      <c r="E18" s="681">
        <v>163370.97362584</v>
      </c>
      <c r="F18" s="682">
        <f t="shared" si="0"/>
        <v>705665.1137453174</v>
      </c>
      <c r="G18" s="331"/>
      <c r="H18" s="331"/>
      <c r="I18" s="331"/>
      <c r="J18" s="331"/>
      <c r="K18" s="331"/>
      <c r="L18" s="331"/>
      <c r="M18" s="331"/>
    </row>
    <row r="19" spans="1:16" ht="12.75">
      <c r="A19" s="332">
        <f aca="true" t="shared" si="1" ref="A19:A27">+A18+1</f>
        <v>7</v>
      </c>
      <c r="B19" s="336" t="s">
        <v>25</v>
      </c>
      <c r="C19" s="681">
        <v>266248.1252647475</v>
      </c>
      <c r="D19" s="681">
        <v>327415.235725982</v>
      </c>
      <c r="E19" s="681">
        <v>178986.85391708367</v>
      </c>
      <c r="F19" s="682">
        <f t="shared" si="0"/>
        <v>772650.2149078131</v>
      </c>
      <c r="I19" s="331"/>
      <c r="J19" s="331"/>
      <c r="K19" s="331"/>
      <c r="L19" s="331"/>
      <c r="M19" s="331"/>
      <c r="N19" s="331"/>
      <c r="O19" s="331"/>
      <c r="P19" s="331"/>
    </row>
    <row r="20" spans="1:6" ht="12.75">
      <c r="A20" s="332">
        <f t="shared" si="1"/>
        <v>8</v>
      </c>
      <c r="B20" s="336" t="s">
        <v>26</v>
      </c>
      <c r="C20" s="681">
        <v>285334.9151611888</v>
      </c>
      <c r="D20" s="681">
        <v>359909.65116229537</v>
      </c>
      <c r="E20" s="681">
        <v>194667.18627848988</v>
      </c>
      <c r="F20" s="682">
        <f t="shared" si="0"/>
        <v>839911.7526019741</v>
      </c>
    </row>
    <row r="21" spans="1:6" ht="12.75">
      <c r="A21" s="332">
        <f t="shared" si="1"/>
        <v>9</v>
      </c>
      <c r="B21" s="336" t="s">
        <v>27</v>
      </c>
      <c r="C21" s="681">
        <v>304569.274904125</v>
      </c>
      <c r="D21" s="681">
        <v>392626.0618637292</v>
      </c>
      <c r="E21" s="681">
        <v>210459.75536386145</v>
      </c>
      <c r="F21" s="682">
        <f t="shared" si="0"/>
        <v>907655.0921317156</v>
      </c>
    </row>
    <row r="22" spans="1:8" ht="12.75">
      <c r="A22" s="332">
        <f t="shared" si="1"/>
        <v>10</v>
      </c>
      <c r="B22" s="336" t="s">
        <v>28</v>
      </c>
      <c r="C22" s="681">
        <v>323848.72146869363</v>
      </c>
      <c r="D22" s="681">
        <v>425437.75361698266</v>
      </c>
      <c r="E22" s="681">
        <v>226295.06408177267</v>
      </c>
      <c r="F22" s="682">
        <f t="shared" si="0"/>
        <v>975581.539167449</v>
      </c>
      <c r="G22" s="331"/>
      <c r="H22" s="334"/>
    </row>
    <row r="23" spans="1:6" ht="12.75">
      <c r="A23" s="332">
        <f t="shared" si="1"/>
        <v>11</v>
      </c>
      <c r="B23" s="336" t="s">
        <v>29</v>
      </c>
      <c r="C23" s="681">
        <v>343285.546456787</v>
      </c>
      <c r="D23" s="681">
        <v>458489.28609310795</v>
      </c>
      <c r="E23" s="681">
        <v>242251.02041766327</v>
      </c>
      <c r="F23" s="682">
        <f t="shared" si="0"/>
        <v>1044025.8529675582</v>
      </c>
    </row>
    <row r="24" spans="1:6" ht="12.75">
      <c r="A24" s="332">
        <f t="shared" si="1"/>
        <v>12</v>
      </c>
      <c r="B24" s="336" t="s">
        <v>30</v>
      </c>
      <c r="C24" s="681">
        <v>362751.4119095324</v>
      </c>
      <c r="D24" s="681">
        <v>491613.6699233687</v>
      </c>
      <c r="E24" s="681">
        <v>258238.03807736613</v>
      </c>
      <c r="F24" s="682">
        <f t="shared" si="0"/>
        <v>1112603.1199102672</v>
      </c>
    </row>
    <row r="25" spans="1:6" ht="12.75">
      <c r="A25" s="332">
        <f t="shared" si="1"/>
        <v>13</v>
      </c>
      <c r="B25" s="336" t="s">
        <v>31</v>
      </c>
      <c r="C25" s="681">
        <v>382260.3336100433</v>
      </c>
      <c r="D25" s="681">
        <v>524827.9438155441</v>
      </c>
      <c r="E25" s="681">
        <v>274265.84349697497</v>
      </c>
      <c r="F25" s="682">
        <f t="shared" si="0"/>
        <v>1181354.1209225624</v>
      </c>
    </row>
    <row r="26" spans="1:6" ht="12.75">
      <c r="A26" s="332">
        <f t="shared" si="1"/>
        <v>14</v>
      </c>
      <c r="B26" s="336"/>
      <c r="C26" s="683"/>
      <c r="D26" s="683"/>
      <c r="E26" s="683"/>
      <c r="F26" s="684"/>
    </row>
    <row r="27" spans="1:6" ht="12.75">
      <c r="A27" s="332">
        <f t="shared" si="1"/>
        <v>15</v>
      </c>
      <c r="B27" s="337" t="s">
        <v>32</v>
      </c>
      <c r="C27" s="685">
        <f>+AVERAGE(C13:C25)</f>
        <v>255137.61453439243</v>
      </c>
      <c r="D27" s="685">
        <f>+AVERAGE(D13:D25)</f>
        <v>318121.8433064237</v>
      </c>
      <c r="E27" s="685">
        <f>+AVERAGE(E13:E25)</f>
        <v>172898.06570693676</v>
      </c>
      <c r="F27" s="686">
        <f>+SUM(C27:E27)</f>
        <v>746157.5235477529</v>
      </c>
    </row>
    <row r="28" spans="1:6" ht="12.75">
      <c r="A28" s="338"/>
      <c r="B28" s="354"/>
      <c r="C28" s="339"/>
      <c r="D28" s="339"/>
      <c r="E28" s="339"/>
      <c r="F28" s="340"/>
    </row>
  </sheetData>
  <sheetProtection/>
  <mergeCells count="3">
    <mergeCell ref="A4:F4"/>
    <mergeCell ref="A5:F5"/>
    <mergeCell ref="A6:F6"/>
  </mergeCells>
  <printOptions horizontalCentered="1"/>
  <pageMargins left="0.75" right="0.75" top="0.75" bottom="0.75" header="0.5" footer="0.3"/>
  <pageSetup horizontalDpi="600" verticalDpi="600" orientation="portrait" scale="78" r:id="rId1"/>
  <headerFooter>
    <oddHeader>&amp;R&amp;"Arial,Regular"&amp;10Attachment O Work Paper
Page 5 of 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149"/>
  <sheetViews>
    <sheetView showGridLines="0" zoomScalePageLayoutView="0" workbookViewId="0" topLeftCell="A1">
      <selection activeCell="A4" sqref="A4:E4"/>
    </sheetView>
  </sheetViews>
  <sheetFormatPr defaultColWidth="8.88671875" defaultRowHeight="15"/>
  <cols>
    <col min="1" max="1" width="3.4453125" style="1" bestFit="1" customWidth="1"/>
    <col min="2" max="2" width="18.6640625" style="1" bestFit="1" customWidth="1"/>
    <col min="3" max="5" width="10.77734375" style="1" customWidth="1"/>
    <col min="6" max="10" width="11.5546875" style="1" bestFit="1" customWidth="1"/>
    <col min="11" max="16384" width="8.88671875" style="1" customWidth="1"/>
  </cols>
  <sheetData>
    <row r="3" spans="1:5" ht="12.75">
      <c r="A3" s="705" t="s">
        <v>0</v>
      </c>
      <c r="B3" s="705"/>
      <c r="C3" s="705"/>
      <c r="D3" s="705"/>
      <c r="E3" s="705"/>
    </row>
    <row r="4" spans="1:5" ht="12.75">
      <c r="A4" s="705" t="s">
        <v>40</v>
      </c>
      <c r="B4" s="705"/>
      <c r="C4" s="705"/>
      <c r="D4" s="705"/>
      <c r="E4" s="705"/>
    </row>
    <row r="5" spans="1:5" ht="12.75">
      <c r="A5" s="705" t="s">
        <v>409</v>
      </c>
      <c r="B5" s="705"/>
      <c r="C5" s="705"/>
      <c r="D5" s="705"/>
      <c r="E5" s="705"/>
    </row>
    <row r="6" ht="12.75">
      <c r="A6" s="2"/>
    </row>
    <row r="7" spans="1:5" s="4" customFormat="1" ht="12.75">
      <c r="A7" s="3"/>
      <c r="B7" s="4" t="s">
        <v>2</v>
      </c>
      <c r="C7" s="4" t="s">
        <v>3</v>
      </c>
      <c r="D7" s="4" t="s">
        <v>4</v>
      </c>
      <c r="E7" s="4" t="s">
        <v>5</v>
      </c>
    </row>
    <row r="9" spans="1:5" ht="12.75">
      <c r="A9" s="5" t="s">
        <v>9</v>
      </c>
      <c r="B9" s="6"/>
      <c r="C9" s="8"/>
      <c r="D9" s="9"/>
      <c r="E9" s="10"/>
    </row>
    <row r="10" spans="1:5" ht="12.75">
      <c r="A10" s="11" t="s">
        <v>11</v>
      </c>
      <c r="B10" s="12" t="s">
        <v>52</v>
      </c>
      <c r="C10" s="13" t="s">
        <v>13</v>
      </c>
      <c r="D10" s="13" t="s">
        <v>14</v>
      </c>
      <c r="E10" s="14" t="s">
        <v>18</v>
      </c>
    </row>
    <row r="11" spans="1:5" ht="12.75">
      <c r="A11" s="5">
        <v>1</v>
      </c>
      <c r="B11" s="15" t="s">
        <v>19</v>
      </c>
      <c r="C11" s="17">
        <v>9038</v>
      </c>
      <c r="D11" s="16">
        <v>20618.75</v>
      </c>
      <c r="E11" s="18">
        <f aca="true" t="shared" si="0" ref="E11:E23">+SUM(C11:D11)</f>
        <v>29656.75</v>
      </c>
    </row>
    <row r="12" spans="1:5" ht="12.75">
      <c r="A12" s="19">
        <f aca="true" t="shared" si="1" ref="A12:A25">+A11+1</f>
        <v>2</v>
      </c>
      <c r="B12" s="20" t="s">
        <v>20</v>
      </c>
      <c r="C12" s="17">
        <v>9038</v>
      </c>
      <c r="D12" s="16">
        <v>20618.75</v>
      </c>
      <c r="E12" s="18">
        <f t="shared" si="0"/>
        <v>29656.75</v>
      </c>
    </row>
    <row r="13" spans="1:5" ht="12.75">
      <c r="A13" s="19">
        <f t="shared" si="1"/>
        <v>3</v>
      </c>
      <c r="B13" s="21" t="s">
        <v>21</v>
      </c>
      <c r="C13" s="17">
        <v>9038</v>
      </c>
      <c r="D13" s="16">
        <v>20618.75</v>
      </c>
      <c r="E13" s="18">
        <f t="shared" si="0"/>
        <v>29656.75</v>
      </c>
    </row>
    <row r="14" spans="1:5" ht="12.75">
      <c r="A14" s="19">
        <f t="shared" si="1"/>
        <v>4</v>
      </c>
      <c r="B14" s="21" t="s">
        <v>22</v>
      </c>
      <c r="C14" s="17">
        <v>9038</v>
      </c>
      <c r="D14" s="16">
        <v>20618.75</v>
      </c>
      <c r="E14" s="18">
        <f t="shared" si="0"/>
        <v>29656.75</v>
      </c>
    </row>
    <row r="15" spans="1:5" ht="12.75">
      <c r="A15" s="19">
        <f t="shared" si="1"/>
        <v>5</v>
      </c>
      <c r="B15" s="21" t="s">
        <v>23</v>
      </c>
      <c r="C15" s="17">
        <v>9038</v>
      </c>
      <c r="D15" s="16">
        <v>20618.75</v>
      </c>
      <c r="E15" s="18">
        <f t="shared" si="0"/>
        <v>29656.75</v>
      </c>
    </row>
    <row r="16" spans="1:5" ht="12.75">
      <c r="A16" s="19">
        <f t="shared" si="1"/>
        <v>6</v>
      </c>
      <c r="B16" s="21" t="s">
        <v>24</v>
      </c>
      <c r="C16" s="17">
        <v>9038</v>
      </c>
      <c r="D16" s="16">
        <v>20618.75</v>
      </c>
      <c r="E16" s="18">
        <f t="shared" si="0"/>
        <v>29656.75</v>
      </c>
    </row>
    <row r="17" spans="1:5" ht="12.75">
      <c r="A17" s="19">
        <f t="shared" si="1"/>
        <v>7</v>
      </c>
      <c r="B17" s="21" t="s">
        <v>25</v>
      </c>
      <c r="C17" s="17">
        <v>9038</v>
      </c>
      <c r="D17" s="16">
        <v>20618.75</v>
      </c>
      <c r="E17" s="18">
        <f t="shared" si="0"/>
        <v>29656.75</v>
      </c>
    </row>
    <row r="18" spans="1:5" ht="12.75">
      <c r="A18" s="19">
        <f t="shared" si="1"/>
        <v>8</v>
      </c>
      <c r="B18" s="21" t="s">
        <v>26</v>
      </c>
      <c r="C18" s="17">
        <v>9038</v>
      </c>
      <c r="D18" s="16">
        <v>20618.75</v>
      </c>
      <c r="E18" s="18">
        <f t="shared" si="0"/>
        <v>29656.75</v>
      </c>
    </row>
    <row r="19" spans="1:5" ht="12.75">
      <c r="A19" s="19">
        <f t="shared" si="1"/>
        <v>9</v>
      </c>
      <c r="B19" s="21" t="s">
        <v>27</v>
      </c>
      <c r="C19" s="17">
        <v>9038</v>
      </c>
      <c r="D19" s="16">
        <v>20618.75</v>
      </c>
      <c r="E19" s="18">
        <f t="shared" si="0"/>
        <v>29656.75</v>
      </c>
    </row>
    <row r="20" spans="1:5" ht="12.75">
      <c r="A20" s="19">
        <f t="shared" si="1"/>
        <v>10</v>
      </c>
      <c r="B20" s="21" t="s">
        <v>28</v>
      </c>
      <c r="C20" s="17">
        <v>9038</v>
      </c>
      <c r="D20" s="16">
        <v>20618.75</v>
      </c>
      <c r="E20" s="18">
        <f t="shared" si="0"/>
        <v>29656.75</v>
      </c>
    </row>
    <row r="21" spans="1:5" ht="12.75">
      <c r="A21" s="19">
        <f t="shared" si="1"/>
        <v>11</v>
      </c>
      <c r="B21" s="21" t="s">
        <v>29</v>
      </c>
      <c r="C21" s="17">
        <v>9038</v>
      </c>
      <c r="D21" s="16">
        <v>20618.75</v>
      </c>
      <c r="E21" s="18">
        <f t="shared" si="0"/>
        <v>29656.75</v>
      </c>
    </row>
    <row r="22" spans="1:5" ht="12.75">
      <c r="A22" s="19">
        <f t="shared" si="1"/>
        <v>12</v>
      </c>
      <c r="B22" s="21" t="s">
        <v>30</v>
      </c>
      <c r="C22" s="17">
        <v>9038</v>
      </c>
      <c r="D22" s="16">
        <v>20618.75</v>
      </c>
      <c r="E22" s="18">
        <f t="shared" si="0"/>
        <v>29656.75</v>
      </c>
    </row>
    <row r="23" spans="1:5" ht="12.75">
      <c r="A23" s="19">
        <f t="shared" si="1"/>
        <v>13</v>
      </c>
      <c r="B23" s="21" t="s">
        <v>31</v>
      </c>
      <c r="C23" s="17">
        <v>9038</v>
      </c>
      <c r="D23" s="16">
        <v>20618.75</v>
      </c>
      <c r="E23" s="18">
        <f t="shared" si="0"/>
        <v>29656.75</v>
      </c>
    </row>
    <row r="24" spans="1:5" ht="12.75">
      <c r="A24" s="19">
        <f t="shared" si="1"/>
        <v>14</v>
      </c>
      <c r="B24" s="21"/>
      <c r="C24" s="16"/>
      <c r="D24" s="16"/>
      <c r="E24" s="18"/>
    </row>
    <row r="25" spans="1:5" ht="12.75">
      <c r="A25" s="19">
        <f t="shared" si="1"/>
        <v>15</v>
      </c>
      <c r="B25" s="350" t="s">
        <v>32</v>
      </c>
      <c r="C25" s="342">
        <f>AVERAGE(C11:C23)</f>
        <v>9038</v>
      </c>
      <c r="D25" s="22">
        <f>AVERAGE(D11:D23)</f>
        <v>20618.75</v>
      </c>
      <c r="E25" s="23">
        <f>AVERAGE(E11:E23)</f>
        <v>29656.75</v>
      </c>
    </row>
    <row r="26" spans="1:5" ht="12.75">
      <c r="A26" s="19"/>
      <c r="B26" s="24"/>
      <c r="C26" s="25"/>
      <c r="D26" s="25"/>
      <c r="E26" s="26"/>
    </row>
    <row r="27" ht="12.75">
      <c r="A27" s="27"/>
    </row>
    <row r="28" ht="12.75">
      <c r="A28" s="28"/>
    </row>
    <row r="29" ht="12.75">
      <c r="A29" s="28"/>
    </row>
    <row r="30" s="16" customFormat="1" ht="12.75">
      <c r="A30" s="29"/>
    </row>
    <row r="31" s="16" customFormat="1" ht="12.75">
      <c r="A31" s="29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8"/>
    </row>
    <row r="42" ht="12.75">
      <c r="A42" s="28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ht="12.75">
      <c r="A47" s="28"/>
    </row>
    <row r="48" ht="12.75">
      <c r="A48" s="28"/>
    </row>
    <row r="49" ht="12.75">
      <c r="A49" s="28"/>
    </row>
    <row r="50" ht="12.75">
      <c r="A50" s="28"/>
    </row>
    <row r="51" ht="12.75">
      <c r="A51" s="28"/>
    </row>
    <row r="52" ht="12.75">
      <c r="A52" s="28"/>
    </row>
    <row r="53" ht="12.75">
      <c r="A53" s="28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ht="12.75">
      <c r="A58" s="28"/>
    </row>
    <row r="59" ht="12.75">
      <c r="A59" s="28"/>
    </row>
    <row r="60" ht="12.75">
      <c r="A60" s="28"/>
    </row>
    <row r="61" ht="12.75">
      <c r="A61" s="28"/>
    </row>
    <row r="62" ht="12.75">
      <c r="A62" s="28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ht="12.75">
      <c r="A72" s="28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ht="12.75">
      <c r="A77" s="28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</sheetData>
  <sheetProtection/>
  <mergeCells count="3">
    <mergeCell ref="A3:E3"/>
    <mergeCell ref="A4:E4"/>
    <mergeCell ref="A5:E5"/>
  </mergeCells>
  <printOptions horizontalCentered="1"/>
  <pageMargins left="0.75" right="0.75" top="0.75" bottom="0.75" header="0.5" footer="0.3"/>
  <pageSetup horizontalDpi="600" verticalDpi="600" orientation="portrait" scale="80" r:id="rId1"/>
  <headerFooter>
    <oddHeader>&amp;R&amp;"Arial,Regular"&amp;10Attachment O Work Paper
Page 6 of 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O32"/>
  <sheetViews>
    <sheetView showGridLines="0" zoomScalePageLayoutView="0" workbookViewId="0" topLeftCell="A1">
      <selection activeCell="A3" sqref="A3:E3"/>
    </sheetView>
  </sheetViews>
  <sheetFormatPr defaultColWidth="8.88671875" defaultRowHeight="15"/>
  <cols>
    <col min="1" max="1" width="3.4453125" style="30" bestFit="1" customWidth="1"/>
    <col min="2" max="2" width="13.5546875" style="32" bestFit="1" customWidth="1"/>
    <col min="3" max="5" width="11.21484375" style="32" customWidth="1"/>
    <col min="6" max="6" width="12.3359375" style="32" bestFit="1" customWidth="1"/>
    <col min="7" max="9" width="8.3359375" style="32" bestFit="1" customWidth="1"/>
    <col min="10" max="16384" width="8.88671875" style="32" customWidth="1"/>
  </cols>
  <sheetData>
    <row r="3" spans="1:15" ht="12.75">
      <c r="A3" s="710" t="s">
        <v>0</v>
      </c>
      <c r="B3" s="710"/>
      <c r="C3" s="710"/>
      <c r="D3" s="710"/>
      <c r="E3" s="710"/>
      <c r="G3" s="50"/>
      <c r="H3" s="50"/>
      <c r="I3" s="50"/>
      <c r="J3" s="50"/>
      <c r="K3" s="50"/>
      <c r="L3" s="50"/>
      <c r="M3" s="50"/>
      <c r="N3" s="50"/>
      <c r="O3" s="50"/>
    </row>
    <row r="4" spans="1:15" ht="12.75">
      <c r="A4" s="710" t="s">
        <v>50</v>
      </c>
      <c r="B4" s="710"/>
      <c r="C4" s="710"/>
      <c r="D4" s="710"/>
      <c r="E4" s="710"/>
      <c r="G4" s="50"/>
      <c r="H4" s="50"/>
      <c r="I4" s="50"/>
      <c r="J4" s="50"/>
      <c r="K4" s="50"/>
      <c r="L4" s="50"/>
      <c r="M4" s="50"/>
      <c r="N4" s="50"/>
      <c r="O4" s="50"/>
    </row>
    <row r="5" spans="1:15" ht="12.75">
      <c r="A5" s="711" t="s">
        <v>409</v>
      </c>
      <c r="B5" s="711"/>
      <c r="C5" s="711"/>
      <c r="D5" s="711"/>
      <c r="E5" s="711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2.75">
      <c r="A6" s="710"/>
      <c r="B6" s="710"/>
      <c r="C6" s="710"/>
      <c r="D6" s="710"/>
      <c r="E6" s="710"/>
      <c r="F6" s="50"/>
      <c r="G6" s="50"/>
      <c r="H6" s="50"/>
      <c r="I6" s="50"/>
      <c r="J6" s="50"/>
      <c r="K6" s="50"/>
      <c r="L6" s="50"/>
      <c r="M6" s="50"/>
      <c r="N6" s="50"/>
      <c r="O6" s="50"/>
    </row>
    <row r="8" spans="2:5" ht="12.75">
      <c r="B8" s="118" t="s">
        <v>2</v>
      </c>
      <c r="C8" s="30" t="s">
        <v>3</v>
      </c>
      <c r="D8" s="30" t="s">
        <v>4</v>
      </c>
      <c r="E8" s="30" t="s">
        <v>5</v>
      </c>
    </row>
    <row r="10" spans="1:5" ht="12.75">
      <c r="A10" s="119" t="s">
        <v>9</v>
      </c>
      <c r="B10" s="120"/>
      <c r="C10" s="708" t="s">
        <v>51</v>
      </c>
      <c r="D10" s="708"/>
      <c r="E10" s="709"/>
    </row>
    <row r="11" spans="1:5" ht="12.75">
      <c r="A11" s="121" t="s">
        <v>11</v>
      </c>
      <c r="B11" s="122" t="s">
        <v>52</v>
      </c>
      <c r="C11" s="123" t="s">
        <v>12</v>
      </c>
      <c r="D11" s="123" t="s">
        <v>53</v>
      </c>
      <c r="E11" s="124" t="s">
        <v>54</v>
      </c>
    </row>
    <row r="12" spans="1:5" ht="12.75">
      <c r="A12" s="125">
        <v>1</v>
      </c>
      <c r="B12" s="355" t="s">
        <v>19</v>
      </c>
      <c r="C12" s="44">
        <f aca="true" t="shared" si="0" ref="C12:C24">E12-D12</f>
        <v>4654936</v>
      </c>
      <c r="D12" s="44">
        <v>10805000</v>
      </c>
      <c r="E12" s="127">
        <v>15459936</v>
      </c>
    </row>
    <row r="13" spans="1:5" ht="12.75">
      <c r="A13" s="125">
        <f aca="true" t="shared" si="1" ref="A13:A31">+A12+1</f>
        <v>2</v>
      </c>
      <c r="B13" s="355" t="s">
        <v>20</v>
      </c>
      <c r="C13" s="44">
        <f t="shared" si="0"/>
        <v>4658953</v>
      </c>
      <c r="D13" s="44">
        <v>10310000</v>
      </c>
      <c r="E13" s="127">
        <v>14968953</v>
      </c>
    </row>
    <row r="14" spans="1:5" ht="12.75">
      <c r="A14" s="125">
        <f t="shared" si="1"/>
        <v>3</v>
      </c>
      <c r="B14" s="126" t="s">
        <v>21</v>
      </c>
      <c r="C14" s="44">
        <f t="shared" si="0"/>
        <v>4661970</v>
      </c>
      <c r="D14" s="44">
        <v>10310000</v>
      </c>
      <c r="E14" s="127">
        <v>14971970</v>
      </c>
    </row>
    <row r="15" spans="1:5" ht="12.75">
      <c r="A15" s="125">
        <f t="shared" si="1"/>
        <v>4</v>
      </c>
      <c r="B15" s="126" t="s">
        <v>22</v>
      </c>
      <c r="C15" s="44">
        <f t="shared" si="0"/>
        <v>4714987</v>
      </c>
      <c r="D15" s="44">
        <v>10310000</v>
      </c>
      <c r="E15" s="127">
        <v>15024987</v>
      </c>
    </row>
    <row r="16" spans="1:5" ht="12.75">
      <c r="A16" s="125">
        <f t="shared" si="1"/>
        <v>5</v>
      </c>
      <c r="B16" s="126" t="s">
        <v>23</v>
      </c>
      <c r="C16" s="44">
        <f t="shared" si="0"/>
        <v>4718004</v>
      </c>
      <c r="D16" s="44">
        <v>10310000</v>
      </c>
      <c r="E16" s="127">
        <v>15028004</v>
      </c>
    </row>
    <row r="17" spans="1:5" ht="12.75">
      <c r="A17" s="125">
        <f t="shared" si="1"/>
        <v>6</v>
      </c>
      <c r="B17" s="126" t="s">
        <v>24</v>
      </c>
      <c r="C17" s="44">
        <f t="shared" si="0"/>
        <v>4721021</v>
      </c>
      <c r="D17" s="44">
        <v>10310000</v>
      </c>
      <c r="E17" s="127">
        <v>15031021</v>
      </c>
    </row>
    <row r="18" spans="1:5" ht="12.75">
      <c r="A18" s="125">
        <f t="shared" si="1"/>
        <v>7</v>
      </c>
      <c r="B18" s="126" t="s">
        <v>25</v>
      </c>
      <c r="C18" s="44">
        <f t="shared" si="0"/>
        <v>4724038</v>
      </c>
      <c r="D18" s="44">
        <v>10110000</v>
      </c>
      <c r="E18" s="127">
        <v>14834038</v>
      </c>
    </row>
    <row r="19" spans="1:5" ht="12.75">
      <c r="A19" s="125">
        <f t="shared" si="1"/>
        <v>8</v>
      </c>
      <c r="B19" s="126" t="s">
        <v>26</v>
      </c>
      <c r="C19" s="44">
        <f t="shared" si="0"/>
        <v>4727055</v>
      </c>
      <c r="D19" s="44">
        <v>10110000</v>
      </c>
      <c r="E19" s="127">
        <v>14837055</v>
      </c>
    </row>
    <row r="20" spans="1:5" ht="12.75">
      <c r="A20" s="125">
        <f t="shared" si="1"/>
        <v>9</v>
      </c>
      <c r="B20" s="126" t="s">
        <v>27</v>
      </c>
      <c r="C20" s="44">
        <f t="shared" si="0"/>
        <v>4730072</v>
      </c>
      <c r="D20" s="44">
        <v>10110000</v>
      </c>
      <c r="E20" s="127">
        <v>14840072</v>
      </c>
    </row>
    <row r="21" spans="1:5" ht="12.75">
      <c r="A21" s="125">
        <f t="shared" si="1"/>
        <v>10</v>
      </c>
      <c r="B21" s="126" t="s">
        <v>28</v>
      </c>
      <c r="C21" s="44">
        <f t="shared" si="0"/>
        <v>4733089</v>
      </c>
      <c r="D21" s="44">
        <v>10110000</v>
      </c>
      <c r="E21" s="127">
        <v>14843089</v>
      </c>
    </row>
    <row r="22" spans="1:5" ht="12.75">
      <c r="A22" s="125">
        <f t="shared" si="1"/>
        <v>11</v>
      </c>
      <c r="B22" s="126" t="s">
        <v>29</v>
      </c>
      <c r="C22" s="44">
        <f t="shared" si="0"/>
        <v>4736106</v>
      </c>
      <c r="D22" s="44">
        <v>10110000</v>
      </c>
      <c r="E22" s="127">
        <v>14846106</v>
      </c>
    </row>
    <row r="23" spans="1:5" ht="12.75">
      <c r="A23" s="125">
        <f t="shared" si="1"/>
        <v>12</v>
      </c>
      <c r="B23" s="126" t="s">
        <v>30</v>
      </c>
      <c r="C23" s="44">
        <f t="shared" si="0"/>
        <v>4739123</v>
      </c>
      <c r="D23" s="44">
        <v>10110000</v>
      </c>
      <c r="E23" s="127">
        <v>14849123</v>
      </c>
    </row>
    <row r="24" spans="1:5" ht="12.75">
      <c r="A24" s="125">
        <f t="shared" si="1"/>
        <v>13</v>
      </c>
      <c r="B24" s="126" t="s">
        <v>31</v>
      </c>
      <c r="C24" s="54">
        <f t="shared" si="0"/>
        <v>4742140</v>
      </c>
      <c r="D24" s="54">
        <v>10110000</v>
      </c>
      <c r="E24" s="128">
        <v>14852140</v>
      </c>
    </row>
    <row r="25" spans="1:5" ht="12.75">
      <c r="A25" s="125">
        <f t="shared" si="1"/>
        <v>14</v>
      </c>
      <c r="B25" s="126"/>
      <c r="C25" s="36"/>
      <c r="D25" s="36"/>
      <c r="E25" s="129"/>
    </row>
    <row r="26" spans="1:5" ht="12.75">
      <c r="A26" s="125">
        <f t="shared" si="1"/>
        <v>15</v>
      </c>
      <c r="B26" s="130" t="s">
        <v>18</v>
      </c>
      <c r="C26" s="44">
        <f>SUM(C12:C24)</f>
        <v>61261494</v>
      </c>
      <c r="D26" s="44">
        <f>SUM(D12:D24)</f>
        <v>133125000</v>
      </c>
      <c r="E26" s="127">
        <f>SUM(E12:E24)</f>
        <v>194386494</v>
      </c>
    </row>
    <row r="27" spans="1:5" ht="12.75">
      <c r="A27" s="125">
        <f t="shared" si="1"/>
        <v>16</v>
      </c>
      <c r="B27" s="312" t="s">
        <v>32</v>
      </c>
      <c r="C27" s="44">
        <f>AVERAGE(C12:C24)</f>
        <v>4712422.615384615</v>
      </c>
      <c r="D27" s="44">
        <f>AVERAGE(D12:D24)</f>
        <v>10240384.615384616</v>
      </c>
      <c r="E27" s="347">
        <f>AVERAGE(E12:E24)</f>
        <v>14952807.23076923</v>
      </c>
    </row>
    <row r="28" spans="1:5" ht="12.75">
      <c r="A28" s="125">
        <f t="shared" si="1"/>
        <v>17</v>
      </c>
      <c r="B28" s="130"/>
      <c r="C28" s="44"/>
      <c r="D28" s="44"/>
      <c r="E28" s="127"/>
    </row>
    <row r="29" spans="1:5" ht="12.75">
      <c r="A29" s="125">
        <f t="shared" si="1"/>
        <v>18</v>
      </c>
      <c r="B29" s="130"/>
      <c r="C29" s="131">
        <f>D27*0.37</f>
        <v>3788942.307692308</v>
      </c>
      <c r="D29" s="278" t="s">
        <v>55</v>
      </c>
      <c r="E29" s="129"/>
    </row>
    <row r="30" spans="1:5" ht="12.75">
      <c r="A30" s="125">
        <f t="shared" si="1"/>
        <v>19</v>
      </c>
      <c r="B30" s="130"/>
      <c r="C30" s="348">
        <f>D27*0.63</f>
        <v>6451442.307692308</v>
      </c>
      <c r="D30" s="132" t="s">
        <v>56</v>
      </c>
      <c r="E30" s="129"/>
    </row>
    <row r="31" spans="1:5" ht="12.75">
      <c r="A31" s="125">
        <f t="shared" si="1"/>
        <v>20</v>
      </c>
      <c r="B31" s="130"/>
      <c r="C31" s="133">
        <f>SUM(C29:C30)</f>
        <v>10240384.615384616</v>
      </c>
      <c r="D31" s="134" t="s">
        <v>57</v>
      </c>
      <c r="E31" s="129"/>
    </row>
    <row r="32" spans="1:5" ht="12.75">
      <c r="A32" s="121"/>
      <c r="B32" s="135"/>
      <c r="C32" s="136"/>
      <c r="D32" s="136"/>
      <c r="E32" s="137"/>
    </row>
  </sheetData>
  <sheetProtection/>
  <mergeCells count="5">
    <mergeCell ref="C10:E10"/>
    <mergeCell ref="A3:E3"/>
    <mergeCell ref="A4:E4"/>
    <mergeCell ref="A5:E5"/>
    <mergeCell ref="A6:E6"/>
  </mergeCells>
  <printOptions horizontalCentered="1"/>
  <pageMargins left="0.75" right="0.75" top="0.75" bottom="0.75" header="0.5" footer="0.5"/>
  <pageSetup horizontalDpi="600" verticalDpi="600" orientation="portrait" scale="80" r:id="rId1"/>
  <headerFooter>
    <oddHeader>&amp;R&amp;"Arial,Regular"&amp;10Attachment O Work Paper
Page 7 of 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F27"/>
  <sheetViews>
    <sheetView showGridLines="0" defaultGridColor="0" zoomScalePageLayoutView="0" colorId="22" workbookViewId="0" topLeftCell="A1">
      <selection activeCell="A3" sqref="A3:E3"/>
    </sheetView>
  </sheetViews>
  <sheetFormatPr defaultColWidth="5.6640625" defaultRowHeight="15"/>
  <cols>
    <col min="1" max="1" width="3.88671875" style="55" bestFit="1" customWidth="1"/>
    <col min="2" max="2" width="15.4453125" style="56" bestFit="1" customWidth="1"/>
    <col min="3" max="4" width="13.77734375" style="56" customWidth="1"/>
    <col min="5" max="5" width="13.4453125" style="56" bestFit="1" customWidth="1"/>
    <col min="6" max="253" width="9.77734375" style="56" customWidth="1"/>
    <col min="254" max="254" width="3.88671875" style="56" bestFit="1" customWidth="1"/>
    <col min="255" max="255" width="12.99609375" style="56" customWidth="1"/>
    <col min="256" max="16384" width="5.6640625" style="56" customWidth="1"/>
  </cols>
  <sheetData>
    <row r="1" spans="4:5" ht="12.75">
      <c r="D1" s="57"/>
      <c r="E1" s="58"/>
    </row>
    <row r="2" spans="2:5" ht="12.75">
      <c r="B2" s="59"/>
      <c r="D2" s="57"/>
      <c r="E2" s="58"/>
    </row>
    <row r="3" spans="1:4" ht="12.75" customHeight="1">
      <c r="A3" s="712" t="s">
        <v>0</v>
      </c>
      <c r="B3" s="713"/>
      <c r="C3" s="713"/>
      <c r="D3" s="713"/>
    </row>
    <row r="4" spans="1:4" ht="12.75" customHeight="1">
      <c r="A4" s="712" t="s">
        <v>58</v>
      </c>
      <c r="B4" s="713"/>
      <c r="C4" s="713"/>
      <c r="D4" s="713"/>
    </row>
    <row r="5" spans="1:4" ht="12.75" customHeight="1">
      <c r="A5" s="714" t="s">
        <v>409</v>
      </c>
      <c r="B5" s="713"/>
      <c r="C5" s="713"/>
      <c r="D5" s="713"/>
    </row>
    <row r="6" spans="3:4" ht="12.75">
      <c r="C6" s="61"/>
      <c r="D6" s="61"/>
    </row>
    <row r="7" spans="2:5" ht="12.75">
      <c r="B7" s="55" t="s">
        <v>2</v>
      </c>
      <c r="C7" s="359" t="s">
        <v>3</v>
      </c>
      <c r="D7" s="60" t="s">
        <v>4</v>
      </c>
      <c r="E7" s="62"/>
    </row>
    <row r="8" spans="2:4" ht="12.75">
      <c r="B8" s="63"/>
      <c r="C8" s="64"/>
      <c r="D8" s="64"/>
    </row>
    <row r="9" spans="1:4" ht="38.25">
      <c r="A9" s="65" t="s">
        <v>43</v>
      </c>
      <c r="B9" s="380" t="s">
        <v>52</v>
      </c>
      <c r="C9" s="372" t="s">
        <v>59</v>
      </c>
      <c r="D9" s="368" t="s">
        <v>60</v>
      </c>
    </row>
    <row r="10" spans="1:4" ht="12.75">
      <c r="A10" s="66">
        <f>1</f>
        <v>1</v>
      </c>
      <c r="B10" s="364" t="s">
        <v>19</v>
      </c>
      <c r="C10" s="373">
        <v>0</v>
      </c>
      <c r="D10" s="369">
        <v>1577744</v>
      </c>
    </row>
    <row r="11" spans="1:4" ht="12.75">
      <c r="A11" s="67">
        <f>A10+1</f>
        <v>2</v>
      </c>
      <c r="B11" s="365" t="s">
        <v>20</v>
      </c>
      <c r="C11" s="374">
        <f>D11-D10</f>
        <v>522647</v>
      </c>
      <c r="D11" s="360">
        <f>2100391</f>
        <v>2100391</v>
      </c>
    </row>
    <row r="12" spans="1:4" ht="12.75">
      <c r="A12" s="67">
        <f aca="true" t="shared" si="0" ref="A12:A25">A11+1</f>
        <v>3</v>
      </c>
      <c r="B12" s="366" t="s">
        <v>21</v>
      </c>
      <c r="C12" s="374">
        <f>D12-D11</f>
        <v>-159135</v>
      </c>
      <c r="D12" s="360">
        <v>1941256</v>
      </c>
    </row>
    <row r="13" spans="1:6" ht="12.75">
      <c r="A13" s="67">
        <f t="shared" si="0"/>
        <v>4</v>
      </c>
      <c r="B13" s="366" t="s">
        <v>22</v>
      </c>
      <c r="C13" s="374">
        <f aca="true" t="shared" si="1" ref="C13:C22">D13-D12</f>
        <v>-59082</v>
      </c>
      <c r="D13" s="360">
        <v>1882174</v>
      </c>
      <c r="E13" s="68"/>
      <c r="F13" s="61"/>
    </row>
    <row r="14" spans="1:6" ht="12.75">
      <c r="A14" s="67">
        <f t="shared" si="0"/>
        <v>5</v>
      </c>
      <c r="B14" s="366" t="s">
        <v>23</v>
      </c>
      <c r="C14" s="374">
        <f t="shared" si="1"/>
        <v>854893</v>
      </c>
      <c r="D14" s="360">
        <v>2737067</v>
      </c>
      <c r="E14" s="68"/>
      <c r="F14" s="61"/>
    </row>
    <row r="15" spans="1:4" ht="12.75">
      <c r="A15" s="67">
        <f t="shared" si="0"/>
        <v>6</v>
      </c>
      <c r="B15" s="366" t="s">
        <v>24</v>
      </c>
      <c r="C15" s="374">
        <f t="shared" si="1"/>
        <v>-161462</v>
      </c>
      <c r="D15" s="360">
        <v>2575605</v>
      </c>
    </row>
    <row r="16" spans="1:4" ht="12.75">
      <c r="A16" s="67">
        <f t="shared" si="0"/>
        <v>7</v>
      </c>
      <c r="B16" s="366" t="s">
        <v>25</v>
      </c>
      <c r="C16" s="374">
        <f t="shared" si="1"/>
        <v>-161436</v>
      </c>
      <c r="D16" s="360">
        <v>2414169</v>
      </c>
    </row>
    <row r="17" spans="1:4" ht="12.75">
      <c r="A17" s="67">
        <f t="shared" si="0"/>
        <v>8</v>
      </c>
      <c r="B17" s="366" t="s">
        <v>26</v>
      </c>
      <c r="C17" s="374">
        <f t="shared" si="1"/>
        <v>-161068</v>
      </c>
      <c r="D17" s="360">
        <v>2253101</v>
      </c>
    </row>
    <row r="18" spans="1:4" ht="12.75">
      <c r="A18" s="67">
        <f t="shared" si="0"/>
        <v>9</v>
      </c>
      <c r="B18" s="366" t="s">
        <v>27</v>
      </c>
      <c r="C18" s="374">
        <f t="shared" si="1"/>
        <v>-161359</v>
      </c>
      <c r="D18" s="360">
        <v>2091742</v>
      </c>
    </row>
    <row r="19" spans="1:4" ht="12.75">
      <c r="A19" s="67">
        <f t="shared" si="0"/>
        <v>10</v>
      </c>
      <c r="B19" s="366" t="s">
        <v>28</v>
      </c>
      <c r="C19" s="374">
        <f t="shared" si="1"/>
        <v>-161359</v>
      </c>
      <c r="D19" s="360">
        <v>1930383</v>
      </c>
    </row>
    <row r="20" spans="1:4" ht="12.75">
      <c r="A20" s="67">
        <f t="shared" si="0"/>
        <v>11</v>
      </c>
      <c r="B20" s="366" t="s">
        <v>29</v>
      </c>
      <c r="C20" s="374">
        <f t="shared" si="1"/>
        <v>-161466</v>
      </c>
      <c r="D20" s="360">
        <v>1768917</v>
      </c>
    </row>
    <row r="21" spans="1:4" ht="12.75">
      <c r="A21" s="67">
        <f t="shared" si="0"/>
        <v>12</v>
      </c>
      <c r="B21" s="366" t="s">
        <v>30</v>
      </c>
      <c r="C21" s="374">
        <f t="shared" si="1"/>
        <v>22561</v>
      </c>
      <c r="D21" s="360">
        <v>1791478</v>
      </c>
    </row>
    <row r="22" spans="1:5" ht="12.75">
      <c r="A22" s="67">
        <f t="shared" si="0"/>
        <v>13</v>
      </c>
      <c r="B22" s="366" t="s">
        <v>31</v>
      </c>
      <c r="C22" s="374">
        <f t="shared" si="1"/>
        <v>-161513</v>
      </c>
      <c r="D22" s="360">
        <v>1629965</v>
      </c>
      <c r="E22" s="69"/>
    </row>
    <row r="23" spans="1:5" ht="12.75">
      <c r="A23" s="67">
        <f t="shared" si="0"/>
        <v>14</v>
      </c>
      <c r="B23" s="366"/>
      <c r="C23" s="374"/>
      <c r="D23" s="360"/>
      <c r="E23" s="69"/>
    </row>
    <row r="24" spans="1:4" ht="12.75">
      <c r="A24" s="67">
        <f t="shared" si="0"/>
        <v>15</v>
      </c>
      <c r="B24" s="367" t="s">
        <v>18</v>
      </c>
      <c r="C24" s="375"/>
      <c r="D24" s="370">
        <f>SUM(D10:D22)</f>
        <v>26693992</v>
      </c>
    </row>
    <row r="25" spans="1:4" ht="12.75">
      <c r="A25" s="67">
        <f t="shared" si="0"/>
        <v>16</v>
      </c>
      <c r="B25" s="367" t="s">
        <v>32</v>
      </c>
      <c r="C25" s="376"/>
      <c r="D25" s="371">
        <f>D24/13</f>
        <v>2053384</v>
      </c>
    </row>
    <row r="26" spans="1:4" ht="12.75">
      <c r="A26" s="71"/>
      <c r="B26" s="356"/>
      <c r="C26" s="357"/>
      <c r="D26" s="358"/>
    </row>
    <row r="27" spans="1:4" ht="12.75">
      <c r="A27" s="72"/>
      <c r="B27" s="70"/>
      <c r="C27" s="70"/>
      <c r="D27" s="70"/>
    </row>
  </sheetData>
  <sheetProtection/>
  <mergeCells count="3">
    <mergeCell ref="A3:D3"/>
    <mergeCell ref="A4:D4"/>
    <mergeCell ref="A5:D5"/>
  </mergeCells>
  <printOptions horizontalCentered="1"/>
  <pageMargins left="0.75" right="0.75" top="0.5" bottom="0.5" header="0.5" footer="0.5"/>
  <pageSetup horizontalDpi="600" verticalDpi="600" orientation="portrait" scale="80" r:id="rId1"/>
  <headerFooter alignWithMargins="0">
    <oddHeader>&amp;R&amp;"Arial,Regular"&amp;10Attachment O Work Paper
Page 8 of 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97"/>
  <sheetViews>
    <sheetView showGridLines="0" zoomScalePageLayoutView="0" workbookViewId="0" topLeftCell="A1">
      <selection activeCell="A3" sqref="A3:D3"/>
    </sheetView>
  </sheetViews>
  <sheetFormatPr defaultColWidth="16.77734375" defaultRowHeight="15"/>
  <cols>
    <col min="1" max="1" width="4.3359375" style="384" bestFit="1" customWidth="1"/>
    <col min="2" max="2" width="55.88671875" style="384" customWidth="1"/>
    <col min="3" max="3" width="14.10546875" style="490" customWidth="1"/>
    <col min="4" max="4" width="20.88671875" style="491" bestFit="1" customWidth="1"/>
    <col min="5" max="5" width="8.88671875" style="384" customWidth="1"/>
    <col min="6" max="6" width="15.99609375" style="384" bestFit="1" customWidth="1"/>
    <col min="7" max="248" width="8.88671875" style="384" customWidth="1"/>
    <col min="249" max="249" width="9.4453125" style="384" customWidth="1"/>
    <col min="250" max="250" width="55.88671875" style="384" customWidth="1"/>
    <col min="251" max="251" width="14.10546875" style="384" customWidth="1"/>
    <col min="252" max="252" width="18.3359375" style="384" customWidth="1"/>
    <col min="253" max="253" width="16.77734375" style="384" customWidth="1"/>
    <col min="254" max="254" width="13.88671875" style="384" customWidth="1"/>
    <col min="255" max="16384" width="16.77734375" style="384" customWidth="1"/>
  </cols>
  <sheetData>
    <row r="1" spans="1:4" ht="12.75">
      <c r="A1" s="721"/>
      <c r="B1" s="721"/>
      <c r="C1" s="382"/>
      <c r="D1" s="383"/>
    </row>
    <row r="2" spans="1:4" ht="12.75" customHeight="1">
      <c r="A2" s="722" t="s">
        <v>0</v>
      </c>
      <c r="B2" s="723"/>
      <c r="C2" s="723"/>
      <c r="D2" s="723"/>
    </row>
    <row r="3" spans="1:4" ht="12.75" customHeight="1">
      <c r="A3" s="722" t="s">
        <v>411</v>
      </c>
      <c r="B3" s="723"/>
      <c r="C3" s="723"/>
      <c r="D3" s="723"/>
    </row>
    <row r="4" spans="1:4" ht="12.75" customHeight="1">
      <c r="A4" s="722" t="s">
        <v>42</v>
      </c>
      <c r="B4" s="723"/>
      <c r="C4" s="723"/>
      <c r="D4" s="723"/>
    </row>
    <row r="5" spans="1:4" ht="12.75">
      <c r="A5" s="385"/>
      <c r="B5" s="386"/>
      <c r="C5" s="387"/>
      <c r="D5" s="388"/>
    </row>
    <row r="6" spans="1:4" ht="12.75">
      <c r="A6" s="385"/>
      <c r="B6" s="492" t="s">
        <v>2</v>
      </c>
      <c r="C6" s="381" t="s">
        <v>3</v>
      </c>
      <c r="D6" s="381" t="s">
        <v>4</v>
      </c>
    </row>
    <row r="7" spans="1:4" ht="12.75">
      <c r="A7" s="385"/>
      <c r="B7" s="389"/>
      <c r="C7" s="382"/>
      <c r="D7" s="390"/>
    </row>
    <row r="8" spans="1:4" ht="12.75">
      <c r="A8" s="391" t="s">
        <v>9</v>
      </c>
      <c r="B8" s="715" t="s">
        <v>39</v>
      </c>
      <c r="C8" s="719" t="s">
        <v>146</v>
      </c>
      <c r="D8" s="392" t="s">
        <v>375</v>
      </c>
    </row>
    <row r="9" spans="1:4" ht="12.75">
      <c r="A9" s="393" t="s">
        <v>11</v>
      </c>
      <c r="B9" s="716"/>
      <c r="C9" s="720"/>
      <c r="D9" s="394" t="str">
        <f>A4</f>
        <v>Budget Year 2010</v>
      </c>
    </row>
    <row r="10" spans="1:4" ht="12.75">
      <c r="A10" s="395">
        <v>1</v>
      </c>
      <c r="B10" s="396" t="s">
        <v>149</v>
      </c>
      <c r="C10" s="397"/>
      <c r="D10" s="398"/>
    </row>
    <row r="11" spans="1:4" ht="12.75">
      <c r="A11" s="395">
        <f>+A10+1</f>
        <v>2</v>
      </c>
      <c r="B11" s="399" t="s">
        <v>150</v>
      </c>
      <c r="C11" s="400" t="s">
        <v>151</v>
      </c>
      <c r="D11" s="401">
        <v>1694278.32</v>
      </c>
    </row>
    <row r="12" spans="1:4" ht="12.75">
      <c r="A12" s="395">
        <f>+A11+1</f>
        <v>3</v>
      </c>
      <c r="B12" s="399" t="s">
        <v>152</v>
      </c>
      <c r="C12" s="400" t="s">
        <v>153</v>
      </c>
      <c r="D12" s="401">
        <f>511436.54+72650863</f>
        <v>73162299.54</v>
      </c>
    </row>
    <row r="13" spans="1:4" ht="12.75">
      <c r="A13" s="395">
        <f aca="true" t="shared" si="0" ref="A13:A73">+A12+1</f>
        <v>4</v>
      </c>
      <c r="B13" s="399" t="s">
        <v>154</v>
      </c>
      <c r="C13" s="400" t="s">
        <v>155</v>
      </c>
      <c r="D13" s="401">
        <v>3749220.55</v>
      </c>
    </row>
    <row r="14" spans="1:4" ht="12.75">
      <c r="A14" s="395">
        <f t="shared" si="0"/>
        <v>5</v>
      </c>
      <c r="B14" s="399" t="s">
        <v>156</v>
      </c>
      <c r="C14" s="400" t="s">
        <v>157</v>
      </c>
      <c r="D14" s="401">
        <v>3577606.18</v>
      </c>
    </row>
    <row r="15" spans="1:4" ht="12.75">
      <c r="A15" s="395">
        <f t="shared" si="0"/>
        <v>6</v>
      </c>
      <c r="B15" s="399" t="s">
        <v>158</v>
      </c>
      <c r="C15" s="400" t="s">
        <v>159</v>
      </c>
      <c r="D15" s="401">
        <v>5052257.06</v>
      </c>
    </row>
    <row r="16" spans="1:4" ht="15" customHeight="1">
      <c r="A16" s="395">
        <f t="shared" si="0"/>
        <v>7</v>
      </c>
      <c r="B16" s="399" t="s">
        <v>160</v>
      </c>
      <c r="C16" s="400" t="s">
        <v>161</v>
      </c>
      <c r="D16" s="401">
        <v>1050</v>
      </c>
    </row>
    <row r="17" spans="1:4" ht="12.75">
      <c r="A17" s="395">
        <f t="shared" si="0"/>
        <v>8</v>
      </c>
      <c r="B17" s="402" t="s">
        <v>389</v>
      </c>
      <c r="C17" s="403"/>
      <c r="D17" s="404">
        <f>+SUM(D11:D16)</f>
        <v>87236711.65</v>
      </c>
    </row>
    <row r="18" spans="1:4" ht="7.5" customHeight="1">
      <c r="A18" s="395"/>
      <c r="B18" s="405"/>
      <c r="C18" s="406"/>
      <c r="D18" s="407"/>
    </row>
    <row r="19" spans="1:4" ht="12.75">
      <c r="A19" s="395">
        <f>+A17+1</f>
        <v>9</v>
      </c>
      <c r="B19" s="396" t="s">
        <v>162</v>
      </c>
      <c r="C19" s="397"/>
      <c r="D19" s="408"/>
    </row>
    <row r="20" spans="1:4" ht="12.75">
      <c r="A20" s="395">
        <f t="shared" si="0"/>
        <v>10</v>
      </c>
      <c r="B20" s="399" t="s">
        <v>150</v>
      </c>
      <c r="C20" s="409" t="s">
        <v>163</v>
      </c>
      <c r="D20" s="401">
        <f>721420.37</f>
        <v>721420.37</v>
      </c>
    </row>
    <row r="21" spans="1:4" ht="12.75">
      <c r="A21" s="395">
        <f t="shared" si="0"/>
        <v>11</v>
      </c>
      <c r="B21" s="399" t="s">
        <v>164</v>
      </c>
      <c r="C21" s="400" t="s">
        <v>165</v>
      </c>
      <c r="D21" s="401">
        <f>568627.9</f>
        <v>568627.9</v>
      </c>
    </row>
    <row r="22" spans="1:4" ht="12.75">
      <c r="A22" s="395">
        <f t="shared" si="0"/>
        <v>12</v>
      </c>
      <c r="B22" s="399" t="s">
        <v>166</v>
      </c>
      <c r="C22" s="400" t="s">
        <v>167</v>
      </c>
      <c r="D22" s="401">
        <f>5373921.81</f>
        <v>5373921.81</v>
      </c>
    </row>
    <row r="23" spans="1:4" ht="12.75">
      <c r="A23" s="395">
        <f t="shared" si="0"/>
        <v>13</v>
      </c>
      <c r="B23" s="399" t="s">
        <v>168</v>
      </c>
      <c r="C23" s="400" t="s">
        <v>169</v>
      </c>
      <c r="D23" s="401">
        <f>813715.61</f>
        <v>813715.61</v>
      </c>
    </row>
    <row r="24" spans="1:4" ht="12.75">
      <c r="A24" s="395">
        <f t="shared" si="0"/>
        <v>14</v>
      </c>
      <c r="B24" s="399" t="s">
        <v>170</v>
      </c>
      <c r="C24" s="400" t="s">
        <v>171</v>
      </c>
      <c r="D24" s="401">
        <f>1078071.8</f>
        <v>1078071.8</v>
      </c>
    </row>
    <row r="25" spans="1:4" ht="12.75">
      <c r="A25" s="395">
        <f t="shared" si="0"/>
        <v>15</v>
      </c>
      <c r="B25" s="402" t="s">
        <v>390</v>
      </c>
      <c r="C25" s="403"/>
      <c r="D25" s="404">
        <f>+SUM(D20:D24)</f>
        <v>8555757.49</v>
      </c>
    </row>
    <row r="26" spans="1:4" ht="7.5" customHeight="1">
      <c r="A26" s="395"/>
      <c r="B26" s="405"/>
      <c r="C26" s="406"/>
      <c r="D26" s="407"/>
    </row>
    <row r="27" spans="1:4" ht="12.75">
      <c r="A27" s="395">
        <f>+A25+1</f>
        <v>16</v>
      </c>
      <c r="B27" s="396" t="s">
        <v>172</v>
      </c>
      <c r="C27" s="397"/>
      <c r="D27" s="408"/>
    </row>
    <row r="28" spans="1:4" ht="12.75">
      <c r="A28" s="395">
        <f t="shared" si="0"/>
        <v>17</v>
      </c>
      <c r="B28" s="399" t="s">
        <v>150</v>
      </c>
      <c r="C28" s="400" t="s">
        <v>173</v>
      </c>
      <c r="D28" s="401">
        <f>58780</f>
        <v>58780</v>
      </c>
    </row>
    <row r="29" spans="1:4" ht="12.75">
      <c r="A29" s="395">
        <f t="shared" si="0"/>
        <v>18</v>
      </c>
      <c r="B29" s="399" t="s">
        <v>174</v>
      </c>
      <c r="C29" s="400" t="s">
        <v>175</v>
      </c>
      <c r="D29" s="401">
        <f>25032</f>
        <v>25032</v>
      </c>
    </row>
    <row r="30" spans="1:4" ht="12.75">
      <c r="A30" s="395">
        <f t="shared" si="0"/>
        <v>19</v>
      </c>
      <c r="B30" s="399" t="s">
        <v>158</v>
      </c>
      <c r="C30" s="400" t="s">
        <v>176</v>
      </c>
      <c r="D30" s="401">
        <v>8594</v>
      </c>
    </row>
    <row r="31" spans="1:4" ht="12.75">
      <c r="A31" s="395">
        <f t="shared" si="0"/>
        <v>20</v>
      </c>
      <c r="B31" s="399" t="s">
        <v>177</v>
      </c>
      <c r="C31" s="409" t="s">
        <v>178</v>
      </c>
      <c r="D31" s="401">
        <v>1000</v>
      </c>
    </row>
    <row r="32" spans="1:4" ht="12.75">
      <c r="A32" s="395">
        <f t="shared" si="0"/>
        <v>21</v>
      </c>
      <c r="B32" s="399" t="s">
        <v>164</v>
      </c>
      <c r="C32" s="400" t="s">
        <v>179</v>
      </c>
      <c r="D32" s="401">
        <f>47912</f>
        <v>47912</v>
      </c>
    </row>
    <row r="33" spans="1:4" ht="12.75">
      <c r="A33" s="395">
        <f t="shared" si="0"/>
        <v>22</v>
      </c>
      <c r="B33" s="399" t="s">
        <v>180</v>
      </c>
      <c r="C33" s="400" t="s">
        <v>181</v>
      </c>
      <c r="D33" s="401">
        <f>574086</f>
        <v>574086</v>
      </c>
    </row>
    <row r="34" spans="1:4" ht="12.75">
      <c r="A34" s="395">
        <f t="shared" si="0"/>
        <v>23</v>
      </c>
      <c r="B34" s="399" t="s">
        <v>168</v>
      </c>
      <c r="C34" s="400" t="s">
        <v>182</v>
      </c>
      <c r="D34" s="401">
        <f>51790</f>
        <v>51790</v>
      </c>
    </row>
    <row r="35" spans="1:4" ht="12.75">
      <c r="A35" s="395">
        <f t="shared" si="0"/>
        <v>24</v>
      </c>
      <c r="B35" s="399" t="s">
        <v>158</v>
      </c>
      <c r="C35" s="400" t="s">
        <v>183</v>
      </c>
      <c r="D35" s="401">
        <f>47934</f>
        <v>47934</v>
      </c>
    </row>
    <row r="36" spans="1:4" ht="12.75">
      <c r="A36" s="395">
        <f t="shared" si="0"/>
        <v>25</v>
      </c>
      <c r="B36" s="402" t="s">
        <v>391</v>
      </c>
      <c r="C36" s="403"/>
      <c r="D36" s="404">
        <f>+SUM(D28:D35)</f>
        <v>815128</v>
      </c>
    </row>
    <row r="37" spans="1:4" ht="7.5" customHeight="1">
      <c r="A37" s="395"/>
      <c r="B37" s="405"/>
      <c r="C37" s="406"/>
      <c r="D37" s="407"/>
    </row>
    <row r="38" spans="1:4" ht="12.75">
      <c r="A38" s="395">
        <f>+A36+1</f>
        <v>26</v>
      </c>
      <c r="B38" s="396" t="s">
        <v>184</v>
      </c>
      <c r="C38" s="397"/>
      <c r="D38" s="408"/>
    </row>
    <row r="39" spans="1:4" ht="12.75">
      <c r="A39" s="395">
        <f t="shared" si="0"/>
        <v>27</v>
      </c>
      <c r="B39" s="399" t="s">
        <v>150</v>
      </c>
      <c r="C39" s="400" t="s">
        <v>185</v>
      </c>
      <c r="D39" s="401">
        <f>362091</f>
        <v>362091</v>
      </c>
    </row>
    <row r="40" spans="1:4" ht="12.75">
      <c r="A40" s="395">
        <f t="shared" si="0"/>
        <v>28</v>
      </c>
      <c r="B40" s="399" t="s">
        <v>152</v>
      </c>
      <c r="C40" s="400" t="s">
        <v>186</v>
      </c>
      <c r="D40" s="401">
        <f>2240990</f>
        <v>2240990</v>
      </c>
    </row>
    <row r="41" spans="1:4" ht="12.75">
      <c r="A41" s="395">
        <f t="shared" si="0"/>
        <v>29</v>
      </c>
      <c r="B41" s="399" t="s">
        <v>187</v>
      </c>
      <c r="C41" s="400" t="s">
        <v>188</v>
      </c>
      <c r="D41" s="401">
        <f>2493725</f>
        <v>2493725</v>
      </c>
    </row>
    <row r="42" spans="1:4" ht="12.75">
      <c r="A42" s="395">
        <f t="shared" si="0"/>
        <v>30</v>
      </c>
      <c r="B42" s="399" t="s">
        <v>158</v>
      </c>
      <c r="C42" s="400" t="s">
        <v>189</v>
      </c>
      <c r="D42" s="401">
        <f>99032.92</f>
        <v>99032.92</v>
      </c>
    </row>
    <row r="43" spans="1:4" ht="12.75">
      <c r="A43" s="395">
        <f t="shared" si="0"/>
        <v>31</v>
      </c>
      <c r="B43" s="399" t="s">
        <v>190</v>
      </c>
      <c r="C43" s="400" t="s">
        <v>191</v>
      </c>
      <c r="D43" s="401">
        <f>547264</f>
        <v>547264</v>
      </c>
    </row>
    <row r="44" spans="1:4" ht="12.75">
      <c r="A44" s="395">
        <f t="shared" si="0"/>
        <v>32</v>
      </c>
      <c r="B44" s="399" t="s">
        <v>150</v>
      </c>
      <c r="C44" s="409" t="s">
        <v>192</v>
      </c>
      <c r="D44" s="401">
        <f>21781</f>
        <v>21781</v>
      </c>
    </row>
    <row r="45" spans="1:4" ht="12.75">
      <c r="A45" s="395">
        <f t="shared" si="0"/>
        <v>33</v>
      </c>
      <c r="B45" s="399" t="s">
        <v>164</v>
      </c>
      <c r="C45" s="400" t="s">
        <v>193</v>
      </c>
      <c r="D45" s="401">
        <f>22355</f>
        <v>22355</v>
      </c>
    </row>
    <row r="46" spans="1:4" ht="12.75">
      <c r="A46" s="395">
        <f t="shared" si="0"/>
        <v>34</v>
      </c>
      <c r="B46" s="399" t="s">
        <v>194</v>
      </c>
      <c r="C46" s="400" t="s">
        <v>195</v>
      </c>
      <c r="D46" s="401">
        <f>943082</f>
        <v>943082</v>
      </c>
    </row>
    <row r="47" spans="1:4" ht="12.75">
      <c r="A47" s="395">
        <f t="shared" si="0"/>
        <v>35</v>
      </c>
      <c r="B47" s="399" t="s">
        <v>158</v>
      </c>
      <c r="C47" s="400" t="s">
        <v>196</v>
      </c>
      <c r="D47" s="401">
        <f>34118.12</f>
        <v>34118.12</v>
      </c>
    </row>
    <row r="48" spans="1:4" ht="12.75">
      <c r="A48" s="395">
        <f t="shared" si="0"/>
        <v>36</v>
      </c>
      <c r="B48" s="402" t="s">
        <v>392</v>
      </c>
      <c r="C48" s="403"/>
      <c r="D48" s="404">
        <f>+SUM(D39:D47)</f>
        <v>6764439.04</v>
      </c>
    </row>
    <row r="49" spans="1:4" ht="7.5" customHeight="1">
      <c r="A49" s="395"/>
      <c r="B49" s="405"/>
      <c r="C49" s="406"/>
      <c r="D49" s="407"/>
    </row>
    <row r="50" spans="1:4" ht="12.75">
      <c r="A50" s="395">
        <f>+A48+1</f>
        <v>37</v>
      </c>
      <c r="B50" s="396" t="s">
        <v>197</v>
      </c>
      <c r="C50" s="410"/>
      <c r="D50" s="411"/>
    </row>
    <row r="51" spans="1:4" ht="12.75">
      <c r="A51" s="395">
        <f t="shared" si="0"/>
        <v>38</v>
      </c>
      <c r="B51" s="412" t="s">
        <v>198</v>
      </c>
      <c r="C51" s="413" t="s">
        <v>199</v>
      </c>
      <c r="D51" s="414">
        <f>708539.4</f>
        <v>708539.4</v>
      </c>
    </row>
    <row r="52" spans="1:4" ht="12.75">
      <c r="A52" s="395">
        <f t="shared" si="0"/>
        <v>39</v>
      </c>
      <c r="B52" s="412" t="s">
        <v>200</v>
      </c>
      <c r="C52" s="413" t="s">
        <v>201</v>
      </c>
      <c r="D52" s="414">
        <f>1141716</f>
        <v>1141716</v>
      </c>
    </row>
    <row r="53" spans="1:4" ht="12.75">
      <c r="A53" s="395">
        <f t="shared" si="0"/>
        <v>40</v>
      </c>
      <c r="B53" s="402" t="s">
        <v>393</v>
      </c>
      <c r="C53" s="403"/>
      <c r="D53" s="404">
        <f>+SUM(D51:D52)</f>
        <v>1850255.4</v>
      </c>
    </row>
    <row r="54" spans="1:4" ht="7.5" customHeight="1">
      <c r="A54" s="395"/>
      <c r="B54" s="405"/>
      <c r="C54" s="406"/>
      <c r="D54" s="407"/>
    </row>
    <row r="55" spans="1:4" ht="12.75">
      <c r="A55" s="395">
        <f>+A53+1</f>
        <v>41</v>
      </c>
      <c r="B55" s="415" t="s">
        <v>394</v>
      </c>
      <c r="C55" s="410"/>
      <c r="D55" s="411"/>
    </row>
    <row r="56" spans="1:4" ht="12.75">
      <c r="A56" s="395">
        <f t="shared" si="0"/>
        <v>42</v>
      </c>
      <c r="B56" s="399" t="s">
        <v>150</v>
      </c>
      <c r="C56" s="413" t="s">
        <v>202</v>
      </c>
      <c r="D56" s="414">
        <f>538712.49</f>
        <v>538712.49</v>
      </c>
    </row>
    <row r="57" spans="1:4" ht="12.75">
      <c r="A57" s="395">
        <f t="shared" si="0"/>
        <v>43</v>
      </c>
      <c r="B57" s="399" t="s">
        <v>203</v>
      </c>
      <c r="C57" s="413" t="s">
        <v>204</v>
      </c>
      <c r="D57" s="414">
        <f>76884+2704723.24+507562+312</f>
        <v>3289481.24</v>
      </c>
    </row>
    <row r="58" spans="1:4" ht="12.75">
      <c r="A58" s="395">
        <f t="shared" si="0"/>
        <v>44</v>
      </c>
      <c r="B58" s="399" t="s">
        <v>205</v>
      </c>
      <c r="C58" s="413" t="s">
        <v>206</v>
      </c>
      <c r="D58" s="414">
        <f>175547.81</f>
        <v>175547.81</v>
      </c>
    </row>
    <row r="59" spans="1:4" ht="12.75">
      <c r="A59" s="395">
        <f t="shared" si="0"/>
        <v>45</v>
      </c>
      <c r="B59" s="399" t="s">
        <v>207</v>
      </c>
      <c r="C59" s="413" t="s">
        <v>208</v>
      </c>
      <c r="D59" s="414">
        <f>317706</f>
        <v>317706</v>
      </c>
    </row>
    <row r="60" spans="1:4" ht="12.75">
      <c r="A60" s="395">
        <f t="shared" si="0"/>
        <v>46</v>
      </c>
      <c r="B60" s="399" t="s">
        <v>209</v>
      </c>
      <c r="C60" s="413" t="s">
        <v>210</v>
      </c>
      <c r="D60" s="414">
        <v>150618</v>
      </c>
    </row>
    <row r="61" spans="1:4" ht="12.75">
      <c r="A61" s="395">
        <f t="shared" si="0"/>
        <v>47</v>
      </c>
      <c r="B61" s="399" t="s">
        <v>158</v>
      </c>
      <c r="C61" s="413" t="s">
        <v>211</v>
      </c>
      <c r="D61" s="414">
        <f>1161246.59</f>
        <v>1161246.59</v>
      </c>
    </row>
    <row r="62" spans="1:4" ht="12.75">
      <c r="A62" s="395">
        <f t="shared" si="0"/>
        <v>48</v>
      </c>
      <c r="B62" s="399" t="s">
        <v>190</v>
      </c>
      <c r="C62" s="413" t="s">
        <v>212</v>
      </c>
      <c r="D62" s="414">
        <f>201291</f>
        <v>201291</v>
      </c>
    </row>
    <row r="63" spans="1:4" ht="12.75">
      <c r="A63" s="395">
        <f t="shared" si="0"/>
        <v>49</v>
      </c>
      <c r="B63" s="399" t="s">
        <v>150</v>
      </c>
      <c r="C63" s="416" t="s">
        <v>213</v>
      </c>
      <c r="D63" s="414">
        <f>426651.91</f>
        <v>426651.91</v>
      </c>
    </row>
    <row r="64" spans="1:4" ht="12.75">
      <c r="A64" s="395">
        <f t="shared" si="0"/>
        <v>50</v>
      </c>
      <c r="B64" s="399" t="s">
        <v>214</v>
      </c>
      <c r="C64" s="413" t="s">
        <v>215</v>
      </c>
      <c r="D64" s="414">
        <f>21185+669180+104120</f>
        <v>794485</v>
      </c>
    </row>
    <row r="65" spans="1:4" ht="12.75">
      <c r="A65" s="395">
        <f t="shared" si="0"/>
        <v>51</v>
      </c>
      <c r="B65" s="399" t="s">
        <v>147</v>
      </c>
      <c r="C65" s="413" t="s">
        <v>216</v>
      </c>
      <c r="D65" s="414">
        <f>1148258.97</f>
        <v>1148258.97</v>
      </c>
    </row>
    <row r="66" spans="1:4" ht="12.75">
      <c r="A66" s="395">
        <f t="shared" si="0"/>
        <v>52</v>
      </c>
      <c r="B66" s="399" t="s">
        <v>217</v>
      </c>
      <c r="C66" s="413" t="s">
        <v>218</v>
      </c>
      <c r="D66" s="414">
        <f>1941303.43</f>
        <v>1941303.43</v>
      </c>
    </row>
    <row r="67" spans="1:4" ht="12.75">
      <c r="A67" s="395">
        <f t="shared" si="0"/>
        <v>53</v>
      </c>
      <c r="B67" s="399" t="s">
        <v>219</v>
      </c>
      <c r="C67" s="413" t="s">
        <v>220</v>
      </c>
      <c r="D67" s="414">
        <f>537</f>
        <v>537</v>
      </c>
    </row>
    <row r="68" spans="1:4" ht="12.75">
      <c r="A68" s="395">
        <f t="shared" si="0"/>
        <v>54</v>
      </c>
      <c r="B68" s="399" t="s">
        <v>221</v>
      </c>
      <c r="C68" s="413" t="s">
        <v>222</v>
      </c>
      <c r="D68" s="414">
        <v>0</v>
      </c>
    </row>
    <row r="69" spans="1:4" ht="12.75">
      <c r="A69" s="395">
        <f t="shared" si="0"/>
        <v>55</v>
      </c>
      <c r="B69" s="399" t="s">
        <v>223</v>
      </c>
      <c r="C69" s="413" t="s">
        <v>224</v>
      </c>
      <c r="D69" s="414">
        <f>1589124+243898</f>
        <v>1833022</v>
      </c>
    </row>
    <row r="70" spans="1:4" ht="12.75">
      <c r="A70" s="395">
        <f t="shared" si="0"/>
        <v>56</v>
      </c>
      <c r="B70" s="399" t="s">
        <v>225</v>
      </c>
      <c r="C70" s="413" t="s">
        <v>226</v>
      </c>
      <c r="D70" s="417">
        <v>0</v>
      </c>
    </row>
    <row r="71" spans="1:4" ht="12.75">
      <c r="A71" s="395">
        <f t="shared" si="0"/>
        <v>57</v>
      </c>
      <c r="B71" s="507" t="s">
        <v>416</v>
      </c>
      <c r="C71" s="413"/>
      <c r="D71" s="509">
        <f>SUM(D56:D70)</f>
        <v>11978861.440000001</v>
      </c>
    </row>
    <row r="72" spans="1:4" ht="12.75">
      <c r="A72" s="395">
        <f t="shared" si="0"/>
        <v>58</v>
      </c>
      <c r="B72" s="508" t="s">
        <v>417</v>
      </c>
      <c r="C72" s="510"/>
      <c r="D72" s="506">
        <f>D69+D70</f>
        <v>1833022</v>
      </c>
    </row>
    <row r="73" spans="1:4" ht="12.75">
      <c r="A73" s="395">
        <f t="shared" si="0"/>
        <v>59</v>
      </c>
      <c r="B73" s="402" t="s">
        <v>415</v>
      </c>
      <c r="C73" s="419"/>
      <c r="D73" s="511">
        <f>D71-D72</f>
        <v>10145839.440000001</v>
      </c>
    </row>
    <row r="74" spans="1:4" ht="12.75">
      <c r="A74" s="497"/>
      <c r="B74" s="498"/>
      <c r="C74" s="499"/>
      <c r="D74" s="420"/>
    </row>
    <row r="75" spans="1:4" ht="12.75">
      <c r="A75" s="493"/>
      <c r="B75" s="494"/>
      <c r="C75" s="495"/>
      <c r="D75" s="496"/>
    </row>
    <row r="76" spans="1:4" ht="12.75">
      <c r="A76" s="421" t="s">
        <v>9</v>
      </c>
      <c r="B76" s="715" t="s">
        <v>39</v>
      </c>
      <c r="C76" s="717" t="s">
        <v>146</v>
      </c>
      <c r="D76" s="392" t="s">
        <v>375</v>
      </c>
    </row>
    <row r="77" spans="1:4" ht="12.75">
      <c r="A77" s="422" t="s">
        <v>11</v>
      </c>
      <c r="B77" s="716"/>
      <c r="C77" s="718"/>
      <c r="D77" s="394" t="str">
        <f>C11</f>
        <v>401 - 500</v>
      </c>
    </row>
    <row r="78" spans="1:4" ht="12.75">
      <c r="A78" s="418">
        <v>1</v>
      </c>
      <c r="B78" s="423" t="s">
        <v>227</v>
      </c>
      <c r="C78" s="424"/>
      <c r="D78" s="425"/>
    </row>
    <row r="79" spans="1:4" ht="12.75">
      <c r="A79" s="418">
        <f>+A78+1</f>
        <v>2</v>
      </c>
      <c r="B79" s="426" t="s">
        <v>228</v>
      </c>
      <c r="C79" s="427" t="s">
        <v>229</v>
      </c>
      <c r="D79" s="414">
        <f>411485.91</f>
        <v>411485.91</v>
      </c>
    </row>
    <row r="80" spans="1:4" ht="12.75">
      <c r="A80" s="418">
        <f aca="true" t="shared" si="1" ref="A80:A107">+A79+1</f>
        <v>3</v>
      </c>
      <c r="B80" s="426" t="s">
        <v>203</v>
      </c>
      <c r="C80" s="427" t="s">
        <v>230</v>
      </c>
      <c r="D80" s="414">
        <f>398793.5</f>
        <v>398793.5</v>
      </c>
    </row>
    <row r="81" spans="1:4" ht="12.75">
      <c r="A81" s="418">
        <f t="shared" si="1"/>
        <v>4</v>
      </c>
      <c r="B81" s="426" t="s">
        <v>231</v>
      </c>
      <c r="C81" s="427" t="s">
        <v>232</v>
      </c>
      <c r="D81" s="414">
        <f>149915.71</f>
        <v>149915.71</v>
      </c>
    </row>
    <row r="82" spans="1:4" ht="12.75">
      <c r="A82" s="418">
        <f t="shared" si="1"/>
        <v>5</v>
      </c>
      <c r="B82" s="426" t="s">
        <v>233</v>
      </c>
      <c r="C82" s="427" t="s">
        <v>234</v>
      </c>
      <c r="D82" s="414">
        <f>484199.55</f>
        <v>484199.55</v>
      </c>
    </row>
    <row r="83" spans="1:4" ht="12.75">
      <c r="A83" s="418">
        <f t="shared" si="1"/>
        <v>6</v>
      </c>
      <c r="B83" s="426" t="s">
        <v>235</v>
      </c>
      <c r="C83" s="427" t="s">
        <v>236</v>
      </c>
      <c r="D83" s="414">
        <f>1199966.81</f>
        <v>1199966.81</v>
      </c>
    </row>
    <row r="84" spans="1:4" ht="12.75">
      <c r="A84" s="418">
        <f t="shared" si="1"/>
        <v>7</v>
      </c>
      <c r="B84" s="426" t="s">
        <v>237</v>
      </c>
      <c r="C84" s="427" t="s">
        <v>238</v>
      </c>
      <c r="D84" s="414">
        <v>0</v>
      </c>
    </row>
    <row r="85" spans="1:4" ht="12.75">
      <c r="A85" s="418">
        <f t="shared" si="1"/>
        <v>8</v>
      </c>
      <c r="B85" s="428" t="s">
        <v>239</v>
      </c>
      <c r="C85" s="427" t="s">
        <v>240</v>
      </c>
      <c r="D85" s="429">
        <v>0</v>
      </c>
    </row>
    <row r="86" spans="1:4" ht="12.75">
      <c r="A86" s="418">
        <f t="shared" si="1"/>
        <v>9</v>
      </c>
      <c r="B86" s="428" t="s">
        <v>239</v>
      </c>
      <c r="C86" s="427" t="s">
        <v>241</v>
      </c>
      <c r="D86" s="429">
        <v>0</v>
      </c>
    </row>
    <row r="87" spans="1:4" ht="12.75">
      <c r="A87" s="418">
        <f t="shared" si="1"/>
        <v>10</v>
      </c>
      <c r="B87" s="428" t="s">
        <v>239</v>
      </c>
      <c r="C87" s="427" t="s">
        <v>242</v>
      </c>
      <c r="D87" s="429">
        <v>0</v>
      </c>
    </row>
    <row r="88" spans="1:4" ht="12.75">
      <c r="A88" s="418">
        <f t="shared" si="1"/>
        <v>11</v>
      </c>
      <c r="B88" s="428" t="s">
        <v>239</v>
      </c>
      <c r="C88" s="427" t="s">
        <v>243</v>
      </c>
      <c r="D88" s="429">
        <v>0</v>
      </c>
    </row>
    <row r="89" spans="1:4" ht="12.75">
      <c r="A89" s="418">
        <f t="shared" si="1"/>
        <v>12</v>
      </c>
      <c r="B89" s="428" t="s">
        <v>239</v>
      </c>
      <c r="C89" s="427" t="s">
        <v>244</v>
      </c>
      <c r="D89" s="429">
        <v>0</v>
      </c>
    </row>
    <row r="90" spans="1:4" ht="12.75">
      <c r="A90" s="418">
        <f t="shared" si="1"/>
        <v>13</v>
      </c>
      <c r="B90" s="428" t="s">
        <v>239</v>
      </c>
      <c r="C90" s="427" t="s">
        <v>245</v>
      </c>
      <c r="D90" s="429">
        <v>0</v>
      </c>
    </row>
    <row r="91" spans="1:4" ht="12.75">
      <c r="A91" s="418">
        <f t="shared" si="1"/>
        <v>14</v>
      </c>
      <c r="B91" s="428" t="s">
        <v>239</v>
      </c>
      <c r="C91" s="427" t="s">
        <v>246</v>
      </c>
      <c r="D91" s="429">
        <v>0</v>
      </c>
    </row>
    <row r="92" spans="1:4" ht="12.75">
      <c r="A92" s="418">
        <f t="shared" si="1"/>
        <v>15</v>
      </c>
      <c r="B92" s="426" t="s">
        <v>247</v>
      </c>
      <c r="C92" s="427" t="s">
        <v>248</v>
      </c>
      <c r="D92" s="414">
        <f>1071848.89</f>
        <v>1071848.89</v>
      </c>
    </row>
    <row r="93" spans="1:4" ht="12.75">
      <c r="A93" s="418">
        <f t="shared" si="1"/>
        <v>16</v>
      </c>
      <c r="B93" s="426" t="s">
        <v>249</v>
      </c>
      <c r="C93" s="427" t="s">
        <v>250</v>
      </c>
      <c r="D93" s="430">
        <f>392743.12</f>
        <v>392743.12</v>
      </c>
    </row>
    <row r="94" spans="1:4" ht="12.75">
      <c r="A94" s="418">
        <f t="shared" si="1"/>
        <v>17</v>
      </c>
      <c r="B94" s="426" t="s">
        <v>251</v>
      </c>
      <c r="C94" s="427" t="s">
        <v>252</v>
      </c>
      <c r="D94" s="430">
        <f>2672670.05</f>
        <v>2672670.05</v>
      </c>
    </row>
    <row r="95" spans="1:4" ht="12.75">
      <c r="A95" s="418">
        <f t="shared" si="1"/>
        <v>18</v>
      </c>
      <c r="B95" s="426" t="s">
        <v>190</v>
      </c>
      <c r="C95" s="427" t="s">
        <v>253</v>
      </c>
      <c r="D95" s="430">
        <f>310893</f>
        <v>310893</v>
      </c>
    </row>
    <row r="96" spans="1:4" ht="12.75">
      <c r="A96" s="418">
        <f t="shared" si="1"/>
        <v>19</v>
      </c>
      <c r="B96" s="426" t="s">
        <v>254</v>
      </c>
      <c r="C96" s="431" t="s">
        <v>255</v>
      </c>
      <c r="D96" s="432">
        <f>900328.34</f>
        <v>900328.34</v>
      </c>
    </row>
    <row r="97" spans="1:4" ht="12.75">
      <c r="A97" s="418">
        <f t="shared" si="1"/>
        <v>20</v>
      </c>
      <c r="B97" s="426" t="s">
        <v>256</v>
      </c>
      <c r="C97" s="427" t="s">
        <v>257</v>
      </c>
      <c r="D97" s="432">
        <f>787149.8</f>
        <v>787149.8</v>
      </c>
    </row>
    <row r="98" spans="1:4" ht="12.75">
      <c r="A98" s="418">
        <f t="shared" si="1"/>
        <v>21</v>
      </c>
      <c r="B98" s="426" t="s">
        <v>258</v>
      </c>
      <c r="C98" s="427" t="s">
        <v>259</v>
      </c>
      <c r="D98" s="432">
        <f>4916399</f>
        <v>4916399</v>
      </c>
    </row>
    <row r="99" spans="1:4" ht="12.75">
      <c r="A99" s="418">
        <f t="shared" si="1"/>
        <v>22</v>
      </c>
      <c r="B99" s="426" t="s">
        <v>260</v>
      </c>
      <c r="C99" s="427" t="s">
        <v>261</v>
      </c>
      <c r="D99" s="432">
        <f>906502.35</f>
        <v>906502.35</v>
      </c>
    </row>
    <row r="100" spans="1:4" ht="12.75">
      <c r="A100" s="418">
        <f t="shared" si="1"/>
        <v>23</v>
      </c>
      <c r="B100" s="426" t="s">
        <v>262</v>
      </c>
      <c r="C100" s="427" t="s">
        <v>263</v>
      </c>
      <c r="D100" s="414">
        <v>0</v>
      </c>
    </row>
    <row r="101" spans="1:4" ht="12.75">
      <c r="A101" s="418">
        <f t="shared" si="1"/>
        <v>24</v>
      </c>
      <c r="B101" s="426" t="s">
        <v>264</v>
      </c>
      <c r="C101" s="427" t="s">
        <v>265</v>
      </c>
      <c r="D101" s="432">
        <f>1138797.36</f>
        <v>1138797.36</v>
      </c>
    </row>
    <row r="102" spans="1:4" ht="12.75">
      <c r="A102" s="418">
        <f t="shared" si="1"/>
        <v>25</v>
      </c>
      <c r="B102" s="426" t="s">
        <v>266</v>
      </c>
      <c r="C102" s="433"/>
      <c r="D102" s="432"/>
    </row>
    <row r="103" spans="1:4" ht="12.75">
      <c r="A103" s="418">
        <f t="shared" si="1"/>
        <v>26</v>
      </c>
      <c r="B103" s="434" t="s">
        <v>378</v>
      </c>
      <c r="C103" s="427" t="s">
        <v>267</v>
      </c>
      <c r="D103" s="430">
        <f>466893</f>
        <v>466893</v>
      </c>
    </row>
    <row r="104" spans="1:4" ht="12.75">
      <c r="A104" s="418">
        <f t="shared" si="1"/>
        <v>27</v>
      </c>
      <c r="B104" s="434" t="s">
        <v>379</v>
      </c>
      <c r="C104" s="427" t="s">
        <v>268</v>
      </c>
      <c r="D104" s="414">
        <v>0</v>
      </c>
    </row>
    <row r="105" spans="1:4" ht="12.75">
      <c r="A105" s="418">
        <f t="shared" si="1"/>
        <v>28</v>
      </c>
      <c r="B105" s="434" t="s">
        <v>380</v>
      </c>
      <c r="C105" s="427" t="s">
        <v>269</v>
      </c>
      <c r="D105" s="414">
        <v>0</v>
      </c>
    </row>
    <row r="106" spans="1:4" ht="12.75">
      <c r="A106" s="418">
        <f t="shared" si="1"/>
        <v>29</v>
      </c>
      <c r="B106" s="426" t="s">
        <v>270</v>
      </c>
      <c r="C106" s="435" t="s">
        <v>271</v>
      </c>
      <c r="D106" s="414">
        <v>0</v>
      </c>
    </row>
    <row r="107" spans="1:4" ht="12.75">
      <c r="A107" s="418">
        <f t="shared" si="1"/>
        <v>30</v>
      </c>
      <c r="B107" s="436" t="s">
        <v>395</v>
      </c>
      <c r="C107" s="437"/>
      <c r="D107" s="438">
        <f>+SUM(D79:D106)</f>
        <v>16208586.389999999</v>
      </c>
    </row>
    <row r="108" spans="1:4" ht="7.5" customHeight="1">
      <c r="A108" s="418"/>
      <c r="B108" s="439"/>
      <c r="C108" s="440"/>
      <c r="D108" s="441"/>
    </row>
    <row r="109" spans="1:4" ht="12.75">
      <c r="A109" s="418">
        <f>+A107+1</f>
        <v>31</v>
      </c>
      <c r="B109" s="442" t="s">
        <v>272</v>
      </c>
      <c r="C109" s="433"/>
      <c r="D109" s="443"/>
    </row>
    <row r="110" spans="1:4" ht="12.75">
      <c r="A110" s="418">
        <f aca="true" t="shared" si="2" ref="A110:A115">+A109+1</f>
        <v>32</v>
      </c>
      <c r="B110" s="426" t="s">
        <v>273</v>
      </c>
      <c r="C110" s="427" t="s">
        <v>274</v>
      </c>
      <c r="D110" s="414">
        <f>147841</f>
        <v>147841</v>
      </c>
    </row>
    <row r="111" spans="1:4" ht="12.75">
      <c r="A111" s="418">
        <f t="shared" si="2"/>
        <v>33</v>
      </c>
      <c r="B111" s="426" t="s">
        <v>275</v>
      </c>
      <c r="C111" s="427" t="s">
        <v>276</v>
      </c>
      <c r="D111" s="414">
        <f>4948983.58</f>
        <v>4948983.58</v>
      </c>
    </row>
    <row r="112" spans="1:4" ht="12.75">
      <c r="A112" s="418">
        <f t="shared" si="2"/>
        <v>34</v>
      </c>
      <c r="B112" s="426" t="s">
        <v>277</v>
      </c>
      <c r="C112" s="427" t="s">
        <v>278</v>
      </c>
      <c r="D112" s="414">
        <f>5312219.28</f>
        <v>5312219.28</v>
      </c>
    </row>
    <row r="113" spans="1:4" ht="12.75">
      <c r="A113" s="418">
        <f t="shared" si="2"/>
        <v>35</v>
      </c>
      <c r="B113" s="426" t="s">
        <v>279</v>
      </c>
      <c r="C113" s="427" t="s">
        <v>280</v>
      </c>
      <c r="D113" s="414">
        <v>870500</v>
      </c>
    </row>
    <row r="114" spans="1:4" ht="12.75">
      <c r="A114" s="418">
        <f t="shared" si="2"/>
        <v>36</v>
      </c>
      <c r="B114" s="444" t="s">
        <v>281</v>
      </c>
      <c r="C114" s="445" t="s">
        <v>282</v>
      </c>
      <c r="D114" s="446">
        <f>348675.09</f>
        <v>348675.09</v>
      </c>
    </row>
    <row r="115" spans="1:4" ht="12.75">
      <c r="A115" s="418">
        <f t="shared" si="2"/>
        <v>37</v>
      </c>
      <c r="B115" s="447" t="s">
        <v>396</v>
      </c>
      <c r="C115" s="448"/>
      <c r="D115" s="449">
        <f>+SUM(D110:D114)</f>
        <v>11628218.95</v>
      </c>
    </row>
    <row r="116" spans="1:4" ht="8.25" customHeight="1">
      <c r="A116" s="418"/>
      <c r="B116" s="450"/>
      <c r="C116" s="451"/>
      <c r="D116" s="452"/>
    </row>
    <row r="117" spans="1:4" ht="12.75">
      <c r="A117" s="418">
        <f>+A115+1</f>
        <v>38</v>
      </c>
      <c r="B117" s="442" t="s">
        <v>283</v>
      </c>
      <c r="C117" s="433"/>
      <c r="D117" s="411"/>
    </row>
    <row r="118" spans="1:4" ht="12.75">
      <c r="A118" s="418">
        <f>+A117+1</f>
        <v>39</v>
      </c>
      <c r="B118" s="426" t="s">
        <v>273</v>
      </c>
      <c r="C118" s="427" t="s">
        <v>284</v>
      </c>
      <c r="D118" s="430">
        <f>676412.88</f>
        <v>676412.88</v>
      </c>
    </row>
    <row r="119" spans="1:4" ht="12.75">
      <c r="A119" s="418">
        <f aca="true" t="shared" si="3" ref="A119:A134">+A118+1</f>
        <v>40</v>
      </c>
      <c r="B119" s="428" t="s">
        <v>285</v>
      </c>
      <c r="C119" s="433"/>
      <c r="D119" s="411"/>
    </row>
    <row r="120" spans="1:4" ht="12.75">
      <c r="A120" s="418">
        <f t="shared" si="3"/>
        <v>41</v>
      </c>
      <c r="B120" s="426" t="s">
        <v>286</v>
      </c>
      <c r="C120" s="427" t="s">
        <v>287</v>
      </c>
      <c r="D120" s="430">
        <f>7031556.47-D127-D128-D129</f>
        <v>2018665.1899999995</v>
      </c>
    </row>
    <row r="121" spans="1:4" ht="12.75">
      <c r="A121" s="418">
        <f t="shared" si="3"/>
        <v>42</v>
      </c>
      <c r="B121" s="426" t="s">
        <v>239</v>
      </c>
      <c r="C121" s="453" t="s">
        <v>288</v>
      </c>
      <c r="D121" s="429">
        <v>0</v>
      </c>
    </row>
    <row r="122" spans="1:4" ht="12.75">
      <c r="A122" s="418">
        <f t="shared" si="3"/>
        <v>43</v>
      </c>
      <c r="B122" s="426" t="s">
        <v>239</v>
      </c>
      <c r="C122" s="453" t="s">
        <v>289</v>
      </c>
      <c r="D122" s="429">
        <v>0</v>
      </c>
    </row>
    <row r="123" spans="1:4" ht="12.75">
      <c r="A123" s="418">
        <f t="shared" si="3"/>
        <v>44</v>
      </c>
      <c r="B123" s="426" t="s">
        <v>239</v>
      </c>
      <c r="C123" s="453" t="s">
        <v>290</v>
      </c>
      <c r="D123" s="429">
        <v>0</v>
      </c>
    </row>
    <row r="124" spans="1:4" ht="12.75">
      <c r="A124" s="418">
        <f t="shared" si="3"/>
        <v>45</v>
      </c>
      <c r="B124" s="426" t="s">
        <v>239</v>
      </c>
      <c r="C124" s="453" t="s">
        <v>291</v>
      </c>
      <c r="D124" s="429">
        <v>0</v>
      </c>
    </row>
    <row r="125" spans="1:4" ht="12.75">
      <c r="A125" s="418">
        <f t="shared" si="3"/>
        <v>46</v>
      </c>
      <c r="B125" s="426" t="s">
        <v>239</v>
      </c>
      <c r="C125" s="453" t="s">
        <v>292</v>
      </c>
      <c r="D125" s="429">
        <v>0</v>
      </c>
    </row>
    <row r="126" spans="1:4" ht="12.75">
      <c r="A126" s="418">
        <f t="shared" si="3"/>
        <v>47</v>
      </c>
      <c r="B126" s="426" t="s">
        <v>239</v>
      </c>
      <c r="C126" s="453" t="s">
        <v>293</v>
      </c>
      <c r="D126" s="429">
        <v>0</v>
      </c>
    </row>
    <row r="127" spans="1:4" ht="12.75">
      <c r="A127" s="418">
        <f t="shared" si="3"/>
        <v>48</v>
      </c>
      <c r="B127" s="426" t="s">
        <v>294</v>
      </c>
      <c r="C127" s="427" t="s">
        <v>295</v>
      </c>
      <c r="D127" s="414">
        <v>0</v>
      </c>
    </row>
    <row r="128" spans="1:4" ht="12.75">
      <c r="A128" s="418">
        <f t="shared" si="3"/>
        <v>49</v>
      </c>
      <c r="B128" s="426" t="s">
        <v>296</v>
      </c>
      <c r="C128" s="427" t="s">
        <v>297</v>
      </c>
      <c r="D128" s="414">
        <v>0</v>
      </c>
    </row>
    <row r="129" spans="1:4" ht="12.75">
      <c r="A129" s="418">
        <f t="shared" si="3"/>
        <v>50</v>
      </c>
      <c r="B129" s="426" t="s">
        <v>298</v>
      </c>
      <c r="C129" s="427" t="s">
        <v>299</v>
      </c>
      <c r="D129" s="454">
        <v>5012891.28</v>
      </c>
    </row>
    <row r="130" spans="1:4" ht="12.75">
      <c r="A130" s="418">
        <f t="shared" si="3"/>
        <v>51</v>
      </c>
      <c r="B130" s="426" t="s">
        <v>239</v>
      </c>
      <c r="C130" s="427" t="s">
        <v>300</v>
      </c>
      <c r="D130" s="429">
        <v>0</v>
      </c>
    </row>
    <row r="131" spans="1:4" ht="12.75">
      <c r="A131" s="418">
        <f t="shared" si="3"/>
        <v>52</v>
      </c>
      <c r="B131" s="426" t="s">
        <v>239</v>
      </c>
      <c r="C131" s="427" t="s">
        <v>301</v>
      </c>
      <c r="D131" s="429">
        <v>0</v>
      </c>
    </row>
    <row r="132" spans="1:4" ht="12.75">
      <c r="A132" s="418">
        <f t="shared" si="3"/>
        <v>53</v>
      </c>
      <c r="B132" s="426" t="s">
        <v>302</v>
      </c>
      <c r="C132" s="427" t="s">
        <v>303</v>
      </c>
      <c r="D132" s="414">
        <f>341566.21</f>
        <v>341566.21</v>
      </c>
    </row>
    <row r="133" spans="1:4" ht="12.75">
      <c r="A133" s="418">
        <f t="shared" si="3"/>
        <v>54</v>
      </c>
      <c r="B133" s="444" t="s">
        <v>304</v>
      </c>
      <c r="C133" s="445" t="s">
        <v>305</v>
      </c>
      <c r="D133" s="446">
        <f>45260</f>
        <v>45260</v>
      </c>
    </row>
    <row r="134" spans="1:4" ht="12.75">
      <c r="A134" s="418">
        <f t="shared" si="3"/>
        <v>55</v>
      </c>
      <c r="B134" s="450" t="s">
        <v>397</v>
      </c>
      <c r="C134" s="448"/>
      <c r="D134" s="455">
        <f>+SUM(D118:D133)</f>
        <v>8094795.56</v>
      </c>
    </row>
    <row r="135" spans="1:4" ht="12.75">
      <c r="A135" s="456"/>
      <c r="B135" s="457"/>
      <c r="C135" s="458"/>
      <c r="D135" s="459"/>
    </row>
    <row r="136" spans="1:4" ht="12.75">
      <c r="A136" s="460"/>
      <c r="B136" s="386"/>
      <c r="C136" s="461"/>
      <c r="D136" s="462"/>
    </row>
    <row r="137" spans="1:4" ht="12.75">
      <c r="A137" s="421" t="s">
        <v>9</v>
      </c>
      <c r="B137" s="715" t="s">
        <v>39</v>
      </c>
      <c r="C137" s="719" t="s">
        <v>146</v>
      </c>
      <c r="D137" s="392" t="s">
        <v>375</v>
      </c>
    </row>
    <row r="138" spans="1:4" ht="12.75">
      <c r="A138" s="422" t="s">
        <v>11</v>
      </c>
      <c r="B138" s="716"/>
      <c r="C138" s="720"/>
      <c r="D138" s="394" t="str">
        <f>C76</f>
        <v>Accounts</v>
      </c>
    </row>
    <row r="139" spans="1:4" ht="12.75">
      <c r="A139" s="418">
        <v>1</v>
      </c>
      <c r="B139" s="423" t="s">
        <v>306</v>
      </c>
      <c r="C139" s="406"/>
      <c r="D139" s="463"/>
    </row>
    <row r="140" spans="1:4" ht="12.75">
      <c r="A140" s="418">
        <f>+A139+1</f>
        <v>2</v>
      </c>
      <c r="B140" s="426" t="s">
        <v>307</v>
      </c>
      <c r="C140" s="400" t="s">
        <v>308</v>
      </c>
      <c r="D140" s="464">
        <v>0</v>
      </c>
    </row>
    <row r="141" spans="1:4" ht="12.75">
      <c r="A141" s="418">
        <f>+A140+1</f>
        <v>3</v>
      </c>
      <c r="B141" s="426" t="s">
        <v>309</v>
      </c>
      <c r="C141" s="400" t="s">
        <v>310</v>
      </c>
      <c r="D141" s="464">
        <f>205494.99</f>
        <v>205494.99</v>
      </c>
    </row>
    <row r="142" spans="1:4" ht="12.75">
      <c r="A142" s="418">
        <f aca="true" t="shared" si="4" ref="A142:A175">+A141+1</f>
        <v>4</v>
      </c>
      <c r="B142" s="426" t="s">
        <v>311</v>
      </c>
      <c r="C142" s="400" t="s">
        <v>310</v>
      </c>
      <c r="D142" s="464">
        <f>323297.36</f>
        <v>323297.36</v>
      </c>
    </row>
    <row r="143" spans="1:4" ht="12.75">
      <c r="A143" s="418">
        <f t="shared" si="4"/>
        <v>5</v>
      </c>
      <c r="B143" s="426" t="s">
        <v>312</v>
      </c>
      <c r="C143" s="400" t="s">
        <v>310</v>
      </c>
      <c r="D143" s="464">
        <f>15185.88</f>
        <v>15185.88</v>
      </c>
    </row>
    <row r="144" spans="1:4" ht="12.75">
      <c r="A144" s="418">
        <f t="shared" si="4"/>
        <v>6</v>
      </c>
      <c r="B144" s="426" t="s">
        <v>313</v>
      </c>
      <c r="C144" s="400" t="s">
        <v>314</v>
      </c>
      <c r="D144" s="464">
        <v>0</v>
      </c>
    </row>
    <row r="145" spans="1:4" ht="12.75">
      <c r="A145" s="418">
        <f t="shared" si="4"/>
        <v>7</v>
      </c>
      <c r="B145" s="426" t="s">
        <v>315</v>
      </c>
      <c r="C145" s="400" t="s">
        <v>310</v>
      </c>
      <c r="D145" s="464">
        <f>609988.59-D141-D142-D143</f>
        <v>66010.35999999999</v>
      </c>
    </row>
    <row r="146" spans="1:4" ht="12.75">
      <c r="A146" s="418">
        <f t="shared" si="4"/>
        <v>8</v>
      </c>
      <c r="B146" s="426" t="s">
        <v>316</v>
      </c>
      <c r="C146" s="400" t="s">
        <v>317</v>
      </c>
      <c r="D146" s="465">
        <v>0</v>
      </c>
    </row>
    <row r="147" spans="1:4" ht="12.75">
      <c r="A147" s="418">
        <f t="shared" si="4"/>
        <v>9</v>
      </c>
      <c r="B147" s="426" t="s">
        <v>316</v>
      </c>
      <c r="C147" s="400" t="s">
        <v>318</v>
      </c>
      <c r="D147" s="465">
        <v>0</v>
      </c>
    </row>
    <row r="148" spans="1:4" ht="12.75">
      <c r="A148" s="418">
        <f t="shared" si="4"/>
        <v>10</v>
      </c>
      <c r="B148" s="426" t="s">
        <v>316</v>
      </c>
      <c r="C148" s="400" t="s">
        <v>319</v>
      </c>
      <c r="D148" s="465">
        <v>0</v>
      </c>
    </row>
    <row r="149" spans="1:4" ht="12.75">
      <c r="A149" s="418">
        <f t="shared" si="4"/>
        <v>11</v>
      </c>
      <c r="B149" s="426" t="s">
        <v>316</v>
      </c>
      <c r="C149" s="400" t="s">
        <v>320</v>
      </c>
      <c r="D149" s="465">
        <v>0</v>
      </c>
    </row>
    <row r="150" spans="1:4" ht="12.75">
      <c r="A150" s="418">
        <f t="shared" si="4"/>
        <v>12</v>
      </c>
      <c r="B150" s="426" t="s">
        <v>316</v>
      </c>
      <c r="C150" s="400" t="s">
        <v>321</v>
      </c>
      <c r="D150" s="465">
        <v>0</v>
      </c>
    </row>
    <row r="151" spans="1:4" ht="12.75">
      <c r="A151" s="418">
        <f t="shared" si="4"/>
        <v>13</v>
      </c>
      <c r="B151" s="426" t="s">
        <v>316</v>
      </c>
      <c r="C151" s="400" t="s">
        <v>322</v>
      </c>
      <c r="D151" s="465">
        <v>0</v>
      </c>
    </row>
    <row r="152" spans="1:4" ht="12.75">
      <c r="A152" s="418">
        <f t="shared" si="4"/>
        <v>14</v>
      </c>
      <c r="B152" s="426" t="s">
        <v>316</v>
      </c>
      <c r="C152" s="400" t="s">
        <v>323</v>
      </c>
      <c r="D152" s="465">
        <v>0</v>
      </c>
    </row>
    <row r="153" spans="1:4" ht="12.75">
      <c r="A153" s="418">
        <f t="shared" si="4"/>
        <v>15</v>
      </c>
      <c r="B153" s="426" t="s">
        <v>316</v>
      </c>
      <c r="C153" s="400" t="s">
        <v>324</v>
      </c>
      <c r="D153" s="465">
        <v>0</v>
      </c>
    </row>
    <row r="154" spans="1:4" ht="12.75">
      <c r="A154" s="418">
        <f t="shared" si="4"/>
        <v>16</v>
      </c>
      <c r="B154" s="426" t="s">
        <v>316</v>
      </c>
      <c r="C154" s="400" t="s">
        <v>325</v>
      </c>
      <c r="D154" s="465">
        <v>0</v>
      </c>
    </row>
    <row r="155" spans="1:4" ht="12.75">
      <c r="A155" s="418">
        <f t="shared" si="4"/>
        <v>17</v>
      </c>
      <c r="B155" s="426" t="s">
        <v>316</v>
      </c>
      <c r="C155" s="400" t="s">
        <v>326</v>
      </c>
      <c r="D155" s="465">
        <v>0</v>
      </c>
    </row>
    <row r="156" spans="1:4" ht="12.75">
      <c r="A156" s="418">
        <f t="shared" si="4"/>
        <v>18</v>
      </c>
      <c r="B156" s="426" t="s">
        <v>316</v>
      </c>
      <c r="C156" s="400" t="s">
        <v>327</v>
      </c>
      <c r="D156" s="465">
        <v>0</v>
      </c>
    </row>
    <row r="157" spans="1:4" ht="12.75">
      <c r="A157" s="418">
        <f t="shared" si="4"/>
        <v>19</v>
      </c>
      <c r="B157" s="426" t="s">
        <v>316</v>
      </c>
      <c r="C157" s="400" t="s">
        <v>328</v>
      </c>
      <c r="D157" s="466">
        <v>0</v>
      </c>
    </row>
    <row r="158" spans="1:4" ht="12.75">
      <c r="A158" s="418">
        <f t="shared" si="4"/>
        <v>20</v>
      </c>
      <c r="B158" s="426" t="s">
        <v>329</v>
      </c>
      <c r="C158" s="400" t="s">
        <v>330</v>
      </c>
      <c r="D158" s="464">
        <f>54694.51</f>
        <v>54694.51</v>
      </c>
    </row>
    <row r="159" spans="1:4" ht="12.75">
      <c r="A159" s="418">
        <f t="shared" si="4"/>
        <v>21</v>
      </c>
      <c r="B159" s="426" t="s">
        <v>331</v>
      </c>
      <c r="C159" s="400" t="s">
        <v>332</v>
      </c>
      <c r="D159" s="464">
        <f>396316</f>
        <v>396316</v>
      </c>
    </row>
    <row r="160" spans="1:4" ht="12.75">
      <c r="A160" s="418">
        <f t="shared" si="4"/>
        <v>22</v>
      </c>
      <c r="B160" s="426" t="s">
        <v>316</v>
      </c>
      <c r="C160" s="400" t="s">
        <v>333</v>
      </c>
      <c r="D160" s="465">
        <v>0</v>
      </c>
    </row>
    <row r="161" spans="1:4" ht="12.75">
      <c r="A161" s="418">
        <f t="shared" si="4"/>
        <v>23</v>
      </c>
      <c r="B161" s="426" t="s">
        <v>316</v>
      </c>
      <c r="C161" s="400" t="s">
        <v>334</v>
      </c>
      <c r="D161" s="465">
        <v>0</v>
      </c>
    </row>
    <row r="162" spans="1:4" ht="12.75">
      <c r="A162" s="418">
        <f t="shared" si="4"/>
        <v>24</v>
      </c>
      <c r="B162" s="426" t="s">
        <v>316</v>
      </c>
      <c r="C162" s="400" t="s">
        <v>335</v>
      </c>
      <c r="D162" s="465">
        <v>0</v>
      </c>
    </row>
    <row r="163" spans="1:4" ht="12.75">
      <c r="A163" s="418">
        <f t="shared" si="4"/>
        <v>25</v>
      </c>
      <c r="B163" s="426" t="s">
        <v>316</v>
      </c>
      <c r="C163" s="400" t="s">
        <v>336</v>
      </c>
      <c r="D163" s="465">
        <v>0</v>
      </c>
    </row>
    <row r="164" spans="1:4" ht="12.75">
      <c r="A164" s="418">
        <f t="shared" si="4"/>
        <v>26</v>
      </c>
      <c r="B164" s="426" t="s">
        <v>316</v>
      </c>
      <c r="C164" s="400" t="s">
        <v>337</v>
      </c>
      <c r="D164" s="465">
        <v>0</v>
      </c>
    </row>
    <row r="165" spans="1:4" ht="12.75">
      <c r="A165" s="418">
        <f t="shared" si="4"/>
        <v>27</v>
      </c>
      <c r="B165" s="426" t="s">
        <v>316</v>
      </c>
      <c r="C165" s="400" t="s">
        <v>338</v>
      </c>
      <c r="D165" s="465">
        <v>0</v>
      </c>
    </row>
    <row r="166" spans="1:4" ht="12.75">
      <c r="A166" s="418">
        <f t="shared" si="4"/>
        <v>28</v>
      </c>
      <c r="B166" s="426" t="s">
        <v>316</v>
      </c>
      <c r="C166" s="400" t="s">
        <v>339</v>
      </c>
      <c r="D166" s="465">
        <v>0</v>
      </c>
    </row>
    <row r="167" spans="1:4" ht="12.75">
      <c r="A167" s="418">
        <f t="shared" si="4"/>
        <v>29</v>
      </c>
      <c r="B167" s="426" t="s">
        <v>316</v>
      </c>
      <c r="C167" s="400" t="s">
        <v>340</v>
      </c>
      <c r="D167" s="465">
        <v>0</v>
      </c>
    </row>
    <row r="168" spans="1:4" ht="12.75">
      <c r="A168" s="418">
        <f t="shared" si="4"/>
        <v>30</v>
      </c>
      <c r="B168" s="426" t="s">
        <v>316</v>
      </c>
      <c r="C168" s="400" t="s">
        <v>341</v>
      </c>
      <c r="D168" s="465">
        <v>0</v>
      </c>
    </row>
    <row r="169" spans="1:4" ht="12.75">
      <c r="A169" s="418">
        <f t="shared" si="4"/>
        <v>31</v>
      </c>
      <c r="B169" s="426" t="s">
        <v>316</v>
      </c>
      <c r="C169" s="400" t="s">
        <v>342</v>
      </c>
      <c r="D169" s="465">
        <v>0</v>
      </c>
    </row>
    <row r="170" spans="1:4" ht="12.75">
      <c r="A170" s="418">
        <f t="shared" si="4"/>
        <v>32</v>
      </c>
      <c r="B170" s="426" t="s">
        <v>316</v>
      </c>
      <c r="C170" s="400" t="s">
        <v>343</v>
      </c>
      <c r="D170" s="465">
        <v>0</v>
      </c>
    </row>
    <row r="171" spans="1:4" ht="12.75">
      <c r="A171" s="418">
        <f t="shared" si="4"/>
        <v>33</v>
      </c>
      <c r="B171" s="426" t="s">
        <v>316</v>
      </c>
      <c r="C171" s="400" t="s">
        <v>344</v>
      </c>
      <c r="D171" s="465">
        <v>0</v>
      </c>
    </row>
    <row r="172" spans="1:4" ht="12.75">
      <c r="A172" s="418">
        <f t="shared" si="4"/>
        <v>34</v>
      </c>
      <c r="B172" s="426" t="s">
        <v>316</v>
      </c>
      <c r="C172" s="400" t="s">
        <v>345</v>
      </c>
      <c r="D172" s="465">
        <v>0</v>
      </c>
    </row>
    <row r="173" spans="1:4" ht="12.75">
      <c r="A173" s="418">
        <f t="shared" si="4"/>
        <v>35</v>
      </c>
      <c r="B173" s="426" t="s">
        <v>316</v>
      </c>
      <c r="C173" s="400" t="s">
        <v>346</v>
      </c>
      <c r="D173" s="465">
        <v>0</v>
      </c>
    </row>
    <row r="174" spans="1:4" ht="12.75">
      <c r="A174" s="418">
        <f t="shared" si="4"/>
        <v>36</v>
      </c>
      <c r="B174" s="426" t="s">
        <v>316</v>
      </c>
      <c r="C174" s="400" t="s">
        <v>347</v>
      </c>
      <c r="D174" s="465">
        <v>0</v>
      </c>
    </row>
    <row r="175" spans="1:4" ht="12.75">
      <c r="A175" s="418">
        <f t="shared" si="4"/>
        <v>37</v>
      </c>
      <c r="B175" s="426" t="s">
        <v>316</v>
      </c>
      <c r="C175" s="400" t="s">
        <v>348</v>
      </c>
      <c r="D175" s="465">
        <v>0</v>
      </c>
    </row>
    <row r="176" spans="1:4" ht="12.75">
      <c r="A176" s="418">
        <f>+A175+1</f>
        <v>38</v>
      </c>
      <c r="B176" s="467" t="s">
        <v>398</v>
      </c>
      <c r="C176" s="468"/>
      <c r="D176" s="469">
        <f>+SUM(D140:D175)</f>
        <v>1060999.1</v>
      </c>
    </row>
    <row r="177" spans="1:4" ht="8.25" customHeight="1">
      <c r="A177" s="418"/>
      <c r="B177" s="470"/>
      <c r="C177" s="471"/>
      <c r="D177" s="472"/>
    </row>
    <row r="178" spans="1:4" ht="12.75">
      <c r="A178" s="418">
        <f>+A176+1</f>
        <v>39</v>
      </c>
      <c r="B178" s="442" t="s">
        <v>349</v>
      </c>
      <c r="C178" s="397"/>
      <c r="D178" s="473"/>
    </row>
    <row r="179" spans="1:4" ht="12.75">
      <c r="A179" s="418">
        <f>+A178+1</f>
        <v>40</v>
      </c>
      <c r="B179" s="426" t="s">
        <v>350</v>
      </c>
      <c r="C179" s="400" t="s">
        <v>351</v>
      </c>
      <c r="D179" s="464">
        <f>21125588.96</f>
        <v>21125588.96</v>
      </c>
    </row>
    <row r="180" spans="1:4" ht="12.75">
      <c r="A180" s="418">
        <f aca="true" t="shared" si="5" ref="A180:A195">+A179+1</f>
        <v>41</v>
      </c>
      <c r="B180" s="426" t="s">
        <v>352</v>
      </c>
      <c r="C180" s="400" t="s">
        <v>353</v>
      </c>
      <c r="D180" s="464">
        <f>6195499.65+-1180756</f>
        <v>5014743.65</v>
      </c>
    </row>
    <row r="181" spans="1:4" ht="12.75">
      <c r="A181" s="418">
        <f t="shared" si="5"/>
        <v>42</v>
      </c>
      <c r="B181" s="426" t="s">
        <v>354</v>
      </c>
      <c r="C181" s="400" t="s">
        <v>355</v>
      </c>
      <c r="D181" s="464">
        <v>0</v>
      </c>
    </row>
    <row r="182" spans="1:4" ht="12.75">
      <c r="A182" s="418">
        <f t="shared" si="5"/>
        <v>43</v>
      </c>
      <c r="B182" s="426" t="s">
        <v>356</v>
      </c>
      <c r="C182" s="400" t="s">
        <v>357</v>
      </c>
      <c r="D182" s="464">
        <f>2226656.01</f>
        <v>2226656.01</v>
      </c>
    </row>
    <row r="183" spans="1:4" ht="12.75">
      <c r="A183" s="418">
        <f t="shared" si="5"/>
        <v>44</v>
      </c>
      <c r="B183" s="426" t="s">
        <v>358</v>
      </c>
      <c r="C183" s="400" t="s">
        <v>359</v>
      </c>
      <c r="D183" s="464">
        <f>2176990</f>
        <v>2176990</v>
      </c>
    </row>
    <row r="184" spans="1:4" ht="12.75">
      <c r="A184" s="418">
        <f t="shared" si="5"/>
        <v>45</v>
      </c>
      <c r="B184" s="426" t="s">
        <v>360</v>
      </c>
      <c r="C184" s="400" t="s">
        <v>361</v>
      </c>
      <c r="D184" s="464">
        <f>1501484.36</f>
        <v>1501484.36</v>
      </c>
    </row>
    <row r="185" spans="1:4" ht="12.75">
      <c r="A185" s="418">
        <f t="shared" si="5"/>
        <v>46</v>
      </c>
      <c r="B185" s="426" t="s">
        <v>362</v>
      </c>
      <c r="C185" s="400" t="s">
        <v>363</v>
      </c>
      <c r="D185" s="464">
        <f>3238320.18</f>
        <v>3238320.18</v>
      </c>
    </row>
    <row r="186" spans="1:4" ht="12.75">
      <c r="A186" s="418">
        <f t="shared" si="5"/>
        <v>47</v>
      </c>
      <c r="B186" s="426" t="s">
        <v>364</v>
      </c>
      <c r="C186" s="400" t="s">
        <v>365</v>
      </c>
      <c r="D186" s="464">
        <f>1648852</f>
        <v>1648852</v>
      </c>
    </row>
    <row r="187" spans="1:4" ht="12.75">
      <c r="A187" s="418">
        <f t="shared" si="5"/>
        <v>48</v>
      </c>
      <c r="B187" s="426" t="s">
        <v>366</v>
      </c>
      <c r="C187" s="400" t="s">
        <v>367</v>
      </c>
      <c r="D187" s="464">
        <f>913780.95+615366.39</f>
        <v>1529147.3399999999</v>
      </c>
    </row>
    <row r="188" spans="1:4" ht="12.75">
      <c r="A188" s="418">
        <f t="shared" si="5"/>
        <v>49</v>
      </c>
      <c r="B188" s="426" t="s">
        <v>368</v>
      </c>
      <c r="C188" s="400" t="s">
        <v>369</v>
      </c>
      <c r="D188" s="464">
        <f>913780.95</f>
        <v>913780.95</v>
      </c>
    </row>
    <row r="189" spans="1:4" ht="12.75">
      <c r="A189" s="418">
        <f t="shared" si="5"/>
        <v>50</v>
      </c>
      <c r="B189" s="426" t="s">
        <v>190</v>
      </c>
      <c r="C189" s="400" t="s">
        <v>370</v>
      </c>
      <c r="D189" s="464">
        <f>277228.43</f>
        <v>277228.43</v>
      </c>
    </row>
    <row r="190" spans="1:4" ht="12.75">
      <c r="A190" s="418">
        <f t="shared" si="5"/>
        <v>51</v>
      </c>
      <c r="B190" s="426" t="s">
        <v>371</v>
      </c>
      <c r="C190" s="409" t="s">
        <v>372</v>
      </c>
      <c r="D190" s="464">
        <f>2080139.47</f>
        <v>2080139.47</v>
      </c>
    </row>
    <row r="191" spans="1:4" ht="12.75">
      <c r="A191" s="418">
        <f t="shared" si="5"/>
        <v>52</v>
      </c>
      <c r="B191" s="426" t="s">
        <v>148</v>
      </c>
      <c r="C191" s="400" t="s">
        <v>373</v>
      </c>
      <c r="D191" s="464">
        <v>0</v>
      </c>
    </row>
    <row r="192" spans="1:4" ht="12.75">
      <c r="A192" s="418">
        <f t="shared" si="5"/>
        <v>53</v>
      </c>
      <c r="B192" s="474" t="s">
        <v>374</v>
      </c>
      <c r="C192" s="475"/>
      <c r="D192" s="476">
        <f>SUM(D179:D191)</f>
        <v>41732931.35</v>
      </c>
    </row>
    <row r="193" spans="1:4" ht="12.75">
      <c r="A193" s="418">
        <f t="shared" si="5"/>
        <v>54</v>
      </c>
      <c r="B193" s="477" t="s">
        <v>377</v>
      </c>
      <c r="C193" s="478"/>
      <c r="D193" s="479">
        <f>D188</f>
        <v>913780.95</v>
      </c>
    </row>
    <row r="194" spans="1:4" ht="12.75">
      <c r="A194" s="418">
        <f t="shared" si="5"/>
        <v>55</v>
      </c>
      <c r="B194" s="474" t="s">
        <v>374</v>
      </c>
      <c r="C194" s="480"/>
      <c r="D194" s="481">
        <f>+D192-D193</f>
        <v>40819150.4</v>
      </c>
    </row>
    <row r="195" spans="1:4" ht="12.75">
      <c r="A195" s="418">
        <f t="shared" si="5"/>
        <v>56</v>
      </c>
      <c r="B195" s="477" t="s">
        <v>376</v>
      </c>
      <c r="C195" s="478"/>
      <c r="D195" s="482">
        <v>733295.6000000015</v>
      </c>
    </row>
    <row r="196" spans="1:4" ht="12.75">
      <c r="A196" s="418">
        <f>+A195+1</f>
        <v>57</v>
      </c>
      <c r="B196" s="483" t="s">
        <v>381</v>
      </c>
      <c r="C196" s="484"/>
      <c r="D196" s="485">
        <f>+D194+D195</f>
        <v>41552446</v>
      </c>
    </row>
    <row r="197" spans="1:4" ht="12.75">
      <c r="A197" s="486"/>
      <c r="B197" s="487"/>
      <c r="C197" s="488"/>
      <c r="D197" s="489"/>
    </row>
  </sheetData>
  <sheetProtection/>
  <mergeCells count="10">
    <mergeCell ref="B76:B77"/>
    <mergeCell ref="C76:C77"/>
    <mergeCell ref="B137:B138"/>
    <mergeCell ref="C137:C138"/>
    <mergeCell ref="A1:B1"/>
    <mergeCell ref="B8:B9"/>
    <mergeCell ref="C8:C9"/>
    <mergeCell ref="A2:D2"/>
    <mergeCell ref="A3:D3"/>
    <mergeCell ref="A4:D4"/>
  </mergeCells>
  <printOptions horizontalCentered="1"/>
  <pageMargins left="0.75" right="0.75" top="0.75" bottom="0.25" header="0.5" footer="0.5"/>
  <pageSetup firstPageNumber="9" useFirstPageNumber="1" fitToHeight="3" horizontalDpi="600" verticalDpi="600" orientation="portrait" scale="64" r:id="rId1"/>
  <headerFooter alignWithMargins="0">
    <oddHeader>&amp;R&amp;"Arial,Regular"&amp;10Attachment O Work Paper
Page &amp;P of 20</oddHeader>
  </headerFooter>
  <rowBreaks count="2" manualBreakCount="2">
    <brk id="74" max="3" man="1"/>
    <brk id="1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Otter Tail Power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ama2</dc:creator>
  <cp:keywords/>
  <dc:description/>
  <cp:lastModifiedBy>Kyle Sem</cp:lastModifiedBy>
  <cp:lastPrinted>2010-01-12T14:31:37Z</cp:lastPrinted>
  <dcterms:created xsi:type="dcterms:W3CDTF">2009-10-01T13:58:58Z</dcterms:created>
  <dcterms:modified xsi:type="dcterms:W3CDTF">2010-01-12T20:32:54Z</dcterms:modified>
  <cp:category/>
  <cp:version/>
  <cp:contentType/>
  <cp:contentStatus/>
</cp:coreProperties>
</file>