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840" yWindow="15" windowWidth="6840" windowHeight="8565" tabRatio="918" activeTab="0"/>
  </bookViews>
  <sheets>
    <sheet name="Cover Page" sheetId="1" r:id="rId1"/>
    <sheet name="Attachment O" sheetId="2" r:id="rId2"/>
    <sheet name="Write-Up" sheetId="3" r:id="rId3"/>
    <sheet name="Cover" sheetId="4" r:id="rId4"/>
    <sheet name="Gross Plant" sheetId="5" r:id="rId5"/>
    <sheet name="Accum Deprec" sheetId="6" r:id="rId6"/>
    <sheet name="Net Plant" sheetId="7" r:id="rId7"/>
    <sheet name="CWIP" sheetId="8" r:id="rId8"/>
    <sheet name="Adj to Rate Base" sheetId="9" r:id="rId9"/>
    <sheet name="Land HFFU" sheetId="10" r:id="rId10"/>
    <sheet name="Working Capital" sheetId="11" r:id="rId11"/>
    <sheet name="O&amp;M" sheetId="12" r:id="rId12"/>
    <sheet name="Dep &amp; Amort Exp" sheetId="13" r:id="rId13"/>
    <sheet name="Taxes Other Than Income" sheetId="14" r:id="rId14"/>
    <sheet name="Support for Allocation Factors" sheetId="15" r:id="rId15"/>
    <sheet name="Capital Structure" sheetId="16" r:id="rId16"/>
    <sheet name="Revenue Credits" sheetId="17" r:id="rId17"/>
    <sheet name="Divisor" sheetId="18" r:id="rId18"/>
    <sheet name="Refund Calc in 2012 Formula" sheetId="19" r:id="rId19"/>
    <sheet name="Refund Int" sheetId="20" r:id="rId20"/>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Fill" localSheetId="3" hidden="1">#REF!</definedName>
    <definedName name="_Fill" hidden="1">#REF!</definedName>
    <definedName name="_Key1" hidden="1">#REF!</definedName>
    <definedName name="_Key2" hidden="1">#REF!</definedName>
    <definedName name="_Order1" hidden="1">255</definedName>
    <definedName name="_Order2" hidden="1">255</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5" hidden="1">#REF!</definedName>
    <definedName name="_Sort" localSheetId="8" hidden="1">#REF!</definedName>
    <definedName name="_Sort" localSheetId="15" hidden="1">#REF!</definedName>
    <definedName name="_Sort" localSheetId="7" hidden="1">#REF!</definedName>
    <definedName name="_Sort" localSheetId="12" hidden="1">#REF!</definedName>
    <definedName name="_Sort" localSheetId="17" hidden="1">#REF!</definedName>
    <definedName name="_Sort" localSheetId="4" hidden="1">#REF!</definedName>
    <definedName name="_Sort" localSheetId="9" hidden="1">#REF!</definedName>
    <definedName name="_Sort" localSheetId="6" hidden="1">#REF!</definedName>
    <definedName name="_Sort" localSheetId="16" hidden="1">#REF!</definedName>
    <definedName name="_Sort" localSheetId="14" hidden="1">#REF!</definedName>
    <definedName name="_Sort" localSheetId="13" hidden="1">#REF!</definedName>
    <definedName name="_Sort" localSheetId="10" hidden="1">#REF!</definedName>
    <definedName name="_Sort" hidden="1">#REF!</definedName>
    <definedName name="ACwvu.DATABASE." hidden="1">'[4]DATABASE'!#REF!</definedName>
    <definedName name="ACwvu.Distplt." localSheetId="5" hidden="1">'Accum Deprec'!#REF!</definedName>
    <definedName name="ACwvu.Distplt." localSheetId="8" hidden="1">'Adj to Rate Base'!#REF!</definedName>
    <definedName name="ACwvu.Distplt." localSheetId="7" hidden="1">'CWIP'!#REF!</definedName>
    <definedName name="ACwvu.Distplt." localSheetId="17" hidden="1">'Divisor'!#REF!</definedName>
    <definedName name="ACwvu.Distplt." localSheetId="4" hidden="1">'Gross Plant'!#REF!</definedName>
    <definedName name="ACwvu.Distplt." localSheetId="9" hidden="1">'Land HFFU'!#REF!</definedName>
    <definedName name="ACwvu.Distplt." localSheetId="6" hidden="1">'Net Plant'!#REF!</definedName>
    <definedName name="ACwvu.Distplt." localSheetId="10" hidden="1">'Working Capital'!#REF!</definedName>
    <definedName name="ACwvu.OP." hidden="1">#REF!</definedName>
    <definedName name="ACwvu.Plant." localSheetId="5" hidden="1">'Accum Deprec'!#REF!</definedName>
    <definedName name="ACwvu.Plant." localSheetId="8" hidden="1">'Adj to Rate Base'!#REF!</definedName>
    <definedName name="ACwvu.Plant." localSheetId="7" hidden="1">'CWIP'!#REF!</definedName>
    <definedName name="ACwvu.Plant." localSheetId="17" hidden="1">'Divisor'!#REF!</definedName>
    <definedName name="ACwvu.Plant." localSheetId="4" hidden="1">'Gross Plant'!#REF!</definedName>
    <definedName name="ACwvu.Plant." localSheetId="9" hidden="1">'Land HFFU'!#REF!</definedName>
    <definedName name="ACwvu.Plant." localSheetId="6" hidden="1">'Net Plant'!#REF!</definedName>
    <definedName name="ACwvu.Plant." localSheetId="10" hidden="1">'Working Capital'!#REF!</definedName>
    <definedName name="AS2DocOpenMode" hidden="1">"AS2DocumentEdit"</definedName>
    <definedName name="BLPH2" hidden="1">'[3]Commercial Paper'!#REF!</definedName>
    <definedName name="BLPH3" hidden="1">'[3]Commercial Paper'!#REF!</definedName>
    <definedName name="BLPH4" hidden="1">'[3]Commercial Paper'!#REF!</definedName>
    <definedName name="BLPH5" hidden="1">'[3]Commercial Paper'!#REF!</definedName>
    <definedName name="BLPH6" hidden="1">'[3]Commercial Paper'!#REF!</definedName>
    <definedName name="dsfds" hidden="1">#REF!</definedName>
    <definedName name="er" localSheetId="5" hidden="1">{TRUE,TRUE,-1.25,-15.5,484.5,279.75,FALSE,FALSE,TRUE,TRUE,0,3,#N/A,1,#N/A,6.545454545454545,15.55,1,FALSE,FALSE,3,TRUE,1,FALSE,100,"Swvu.WP1.","ACwvu.WP1.",1,FALSE,FALSE,0.25,0.25,0.25,0.25,1,"","&amp;L&amp;D &amp;T NBW&amp;C&amp;P&amp;R&amp;F",FALSE,FALSE,FALSE,FALSE,1,100,#N/A,#N/A,FALSE,FALSE,#N/A,#N/A,FALSE,FALSE}</definedName>
    <definedName name="er" localSheetId="8" hidden="1">{TRUE,TRUE,-1.25,-15.5,484.5,279.75,FALSE,FALSE,TRUE,TRUE,0,3,#N/A,1,#N/A,6.545454545454545,15.55,1,FALSE,FALSE,3,TRUE,1,FALSE,100,"Swvu.WP1.","ACwvu.WP1.",1,FALSE,FALSE,0.25,0.25,0.25,0.25,1,"","&amp;L&amp;D &amp;T NBW&amp;C&amp;P&amp;R&amp;F",FALSE,FALSE,FALSE,FALSE,1,100,#N/A,#N/A,FALSE,FALSE,#N/A,#N/A,FALSE,FALSE}</definedName>
    <definedName name="er" localSheetId="15" hidden="1">{TRUE,TRUE,-1.25,-15.5,484.5,279.75,FALSE,FALSE,TRUE,TRUE,0,3,#N/A,1,#N/A,6.545454545454545,15.55,1,FALSE,FALSE,3,TRUE,1,FALSE,100,"Swvu.WP1.","ACwvu.WP1.",1,FALSE,FALSE,0.25,0.25,0.25,0.25,1,"","&amp;L&amp;D &amp;T NBW&amp;C&amp;P&amp;R&amp;F",FALSE,FALSE,FALSE,FALSE,1,100,#N/A,#N/A,FALSE,FALSE,#N/A,#N/A,FALSE,FALSE}</definedName>
    <definedName name="er" localSheetId="3" hidden="1">{TRUE,TRUE,-1.25,-15.5,484.5,279.75,FALSE,FALSE,TRUE,TRUE,0,3,#N/A,1,#N/A,6.545454545454545,15.55,1,FALSE,FALSE,3,TRUE,1,FALSE,100,"Swvu.WP1.","ACwvu.WP1.",1,FALSE,FALSE,0.25,0.25,0.25,0.25,1,"","&amp;L&amp;D &amp;T NBW&amp;C&amp;P&amp;R&amp;F",FALSE,FALSE,FALSE,FALSE,1,100,#N/A,#N/A,FALSE,FALSE,#N/A,#N/A,FALSE,FALSE}</definedName>
    <definedName name="er" localSheetId="7" hidden="1">{TRUE,TRUE,-1.25,-15.5,484.5,279.75,FALSE,FALSE,TRUE,TRUE,0,3,#N/A,1,#N/A,6.545454545454545,15.55,1,FALSE,FALSE,3,TRUE,1,FALSE,100,"Swvu.WP1.","ACwvu.WP1.",1,FALSE,FALSE,0.25,0.25,0.25,0.25,1,"","&amp;L&amp;D &amp;T NBW&amp;C&amp;P&amp;R&amp;F",FALSE,FALSE,FALSE,FALSE,1,100,#N/A,#N/A,FALSE,FALSE,#N/A,#N/A,FALSE,FALSE}</definedName>
    <definedName name="er" localSheetId="12" hidden="1">{TRUE,TRUE,-1.25,-15.5,484.5,279.75,FALSE,FALSE,TRUE,TRUE,0,3,#N/A,1,#N/A,6.545454545454545,15.55,1,FALSE,FALSE,3,TRUE,1,FALSE,100,"Swvu.WP1.","ACwvu.WP1.",1,FALSE,FALSE,0.25,0.25,0.25,0.25,1,"","&amp;L&amp;D &amp;T NBW&amp;C&amp;P&amp;R&amp;F",FALSE,FALSE,FALSE,FALSE,1,100,#N/A,#N/A,FALSE,FALSE,#N/A,#N/A,FALSE,FALSE}</definedName>
    <definedName name="er" localSheetId="17" hidden="1">{TRUE,TRUE,-1.25,-15.5,484.5,279.75,FALSE,FALSE,TRUE,TRUE,0,3,#N/A,1,#N/A,6.545454545454545,15.55,1,FALSE,FALSE,3,TRUE,1,FALSE,100,"Swvu.WP1.","ACwvu.WP1.",1,FALSE,FALSE,0.25,0.25,0.25,0.25,1,"","&amp;L&amp;D &amp;T NBW&amp;C&amp;P&amp;R&amp;F",FALSE,FALSE,FALSE,FALSE,1,100,#N/A,#N/A,FALSE,FALSE,#N/A,#N/A,FALSE,FALSE}</definedName>
    <definedName name="er" localSheetId="4" hidden="1">{TRUE,TRUE,-1.25,-15.5,484.5,279.75,FALSE,FALSE,TRUE,TRUE,0,3,#N/A,1,#N/A,6.545454545454545,15.55,1,FALSE,FALSE,3,TRUE,1,FALSE,100,"Swvu.WP1.","ACwvu.WP1.",1,FALSE,FALSE,0.25,0.25,0.25,0.25,1,"","&amp;L&amp;D &amp;T NBW&amp;C&amp;P&amp;R&amp;F",FALSE,FALSE,FALSE,FALSE,1,100,#N/A,#N/A,FALSE,FALSE,#N/A,#N/A,FALSE,FALSE}</definedName>
    <definedName name="er" localSheetId="9" hidden="1">{TRUE,TRUE,-1.25,-15.5,484.5,279.75,FALSE,FALSE,TRUE,TRUE,0,3,#N/A,1,#N/A,6.545454545454545,15.55,1,FALSE,FALSE,3,TRUE,1,FALSE,100,"Swvu.WP1.","ACwvu.WP1.",1,FALSE,FALSE,0.25,0.25,0.25,0.25,1,"","&amp;L&amp;D &amp;T NBW&amp;C&amp;P&amp;R&amp;F",FALSE,FALSE,FALSE,FALSE,1,100,#N/A,#N/A,FALSE,FALSE,#N/A,#N/A,FALSE,FALSE}</definedName>
    <definedName name="er" localSheetId="6" hidden="1">{TRUE,TRUE,-1.25,-15.5,484.5,279.75,FALSE,FALSE,TRUE,TRUE,0,3,#N/A,1,#N/A,6.545454545454545,15.55,1,FALSE,FALSE,3,TRUE,1,FALSE,100,"Swvu.WP1.","ACwvu.WP1.",1,FALSE,FALSE,0.25,0.25,0.25,0.25,1,"","&amp;L&amp;D &amp;T NBW&amp;C&amp;P&amp;R&amp;F",FALSE,FALSE,FALSE,FALSE,1,100,#N/A,#N/A,FALSE,FALSE,#N/A,#N/A,FALSE,FALSE}</definedName>
    <definedName name="er" localSheetId="16" hidden="1">{TRUE,TRUE,-1.25,-15.5,484.5,279.75,FALSE,FALSE,TRUE,TRUE,0,3,#N/A,1,#N/A,6.545454545454545,15.55,1,FALSE,FALSE,3,TRUE,1,FALSE,100,"Swvu.WP1.","ACwvu.WP1.",1,FALSE,FALSE,0.25,0.25,0.25,0.25,1,"","&amp;L&amp;D &amp;T NBW&amp;C&amp;P&amp;R&amp;F",FALSE,FALSE,FALSE,FALSE,1,100,#N/A,#N/A,FALSE,FALSE,#N/A,#N/A,FALSE,FALSE}</definedName>
    <definedName name="er" localSheetId="14" hidden="1">{TRUE,TRUE,-1.25,-15.5,484.5,279.75,FALSE,FALSE,TRUE,TRUE,0,3,#N/A,1,#N/A,6.545454545454545,15.55,1,FALSE,FALSE,3,TRUE,1,FALSE,100,"Swvu.WP1.","ACwvu.WP1.",1,FALSE,FALSE,0.25,0.25,0.25,0.25,1,"","&amp;L&amp;D &amp;T NBW&amp;C&amp;P&amp;R&amp;F",FALSE,FALSE,FALSE,FALSE,1,100,#N/A,#N/A,FALSE,FALSE,#N/A,#N/A,FALSE,FALSE}</definedName>
    <definedName name="er" localSheetId="13" hidden="1">{TRUE,TRUE,-1.25,-15.5,484.5,279.75,FALSE,FALSE,TRUE,TRUE,0,3,#N/A,1,#N/A,6.545454545454545,15.55,1,FALSE,FALSE,3,TRUE,1,FALSE,100,"Swvu.WP1.","ACwvu.WP1.",1,FALSE,FALSE,0.25,0.25,0.25,0.25,1,"","&amp;L&amp;D &amp;T NBW&amp;C&amp;P&amp;R&amp;F",FALSE,FALSE,FALSE,FALSE,1,100,#N/A,#N/A,FALSE,FALSE,#N/A,#N/A,FALSE,FALSE}</definedName>
    <definedName name="er" localSheetId="10" hidden="1">{TRUE,TRUE,-1.25,-15.5,484.5,279.75,FALSE,FALSE,TRUE,TRUE,0,3,#N/A,1,#N/A,6.545454545454545,15.55,1,FALSE,FALSE,3,TRUE,1,FALSE,100,"Swvu.WP1.","ACwvu.WP1.",1,FALSE,FALSE,0.25,0.25,0.25,0.25,1,"","&amp;L&amp;D &amp;T NBW&amp;C&amp;P&amp;R&amp;F",FALSE,FALSE,FALSE,FALSE,1,100,#N/A,#N/A,FALSE,FALSE,#N/A,#N/A,FALSE,FALSE}</definedName>
    <definedName name="er" hidden="1">{TRUE,TRUE,-1.25,-15.5,484.5,279.75,FALSE,FALSE,TRUE,TRUE,0,3,#N/A,1,#N/A,6.545454545454545,15.55,1,FALSE,FALSE,3,TRUE,1,FALSE,100,"Swvu.WP1.","ACwvu.WP1.",1,FALSE,FALSE,0.25,0.25,0.25,0.25,1,"","&amp;L&amp;D &amp;T NBW&amp;C&amp;P&amp;R&amp;F",FALSE,FALSE,FALSE,FALSE,1,100,#N/A,#N/A,FALSE,FALSE,#N/A,#N/A,FALSE,FALSE}</definedName>
    <definedName name="OLE_LINK1" localSheetId="2">'Write-Up'!$A$15</definedName>
    <definedName name="_xlnm.Print_Area" localSheetId="7">'CWIP'!$A$1:$K$82</definedName>
    <definedName name="q" localSheetId="5" hidden="1">{"MATALL",#N/A,FALSE,"Sheet4";"matclass",#N/A,FALSE,"Sheet4"}</definedName>
    <definedName name="q" localSheetId="8" hidden="1">{"MATALL",#N/A,FALSE,"Sheet4";"matclass",#N/A,FALSE,"Sheet4"}</definedName>
    <definedName name="q" localSheetId="15" hidden="1">{"MATALL",#N/A,FALSE,"Sheet4";"matclass",#N/A,FALSE,"Sheet4"}</definedName>
    <definedName name="q" localSheetId="3" hidden="1">{"MATALL",#N/A,FALSE,"Sheet4";"matclass",#N/A,FALSE,"Sheet4"}</definedName>
    <definedName name="q" localSheetId="7" hidden="1">{"MATALL",#N/A,FALSE,"Sheet4";"matclass",#N/A,FALSE,"Sheet4"}</definedName>
    <definedName name="q" localSheetId="12" hidden="1">{"MATALL",#N/A,FALSE,"Sheet4";"matclass",#N/A,FALSE,"Sheet4"}</definedName>
    <definedName name="q" localSheetId="17" hidden="1">{"MATALL",#N/A,FALSE,"Sheet4";"matclass",#N/A,FALSE,"Sheet4"}</definedName>
    <definedName name="q" localSheetId="9" hidden="1">{"MATALL",#N/A,FALSE,"Sheet4";"matclass",#N/A,FALSE,"Sheet4"}</definedName>
    <definedName name="q" localSheetId="6" hidden="1">{"MATALL",#N/A,FALSE,"Sheet4";"matclass",#N/A,FALSE,"Sheet4"}</definedName>
    <definedName name="q" localSheetId="16" hidden="1">{"MATALL",#N/A,FALSE,"Sheet4";"matclass",#N/A,FALSE,"Sheet4"}</definedName>
    <definedName name="q" localSheetId="14" hidden="1">{"MATALL",#N/A,FALSE,"Sheet4";"matclass",#N/A,FALSE,"Sheet4"}</definedName>
    <definedName name="q" localSheetId="10" hidden="1">{"MATALL",#N/A,FALSE,"Sheet4";"matclass",#N/A,FALSE,"Sheet4"}</definedName>
    <definedName name="q" hidden="1">{"MATALL",#N/A,FALSE,"Sheet4";"matclass",#N/A,FALSE,"Sheet4"}</definedName>
    <definedName name="Swvu.DATABASE." hidden="1">'[4]DATABASE'!#REF!</definedName>
    <definedName name="Swvu.Distplt." localSheetId="5" hidden="1">'Accum Deprec'!#REF!</definedName>
    <definedName name="Swvu.Distplt." localSheetId="8" hidden="1">'Adj to Rate Base'!#REF!</definedName>
    <definedName name="Swvu.Distplt." localSheetId="7" hidden="1">'CWIP'!#REF!</definedName>
    <definedName name="Swvu.Distplt." localSheetId="17" hidden="1">'Divisor'!#REF!</definedName>
    <definedName name="Swvu.Distplt." localSheetId="4" hidden="1">'Gross Plant'!#REF!</definedName>
    <definedName name="Swvu.Distplt." localSheetId="9" hidden="1">'Land HFFU'!#REF!</definedName>
    <definedName name="Swvu.Distplt." localSheetId="6" hidden="1">'Net Plant'!#REF!</definedName>
    <definedName name="Swvu.Distplt." localSheetId="10" hidden="1">'Working Capital'!#REF!</definedName>
    <definedName name="Swvu.OP." hidden="1">#REF!</definedName>
    <definedName name="Swvu.Plant." localSheetId="5" hidden="1">'Accum Deprec'!#REF!</definedName>
    <definedName name="Swvu.Plant." localSheetId="8" hidden="1">'Adj to Rate Base'!#REF!</definedName>
    <definedName name="Swvu.Plant." localSheetId="7" hidden="1">'CWIP'!#REF!</definedName>
    <definedName name="Swvu.Plant." localSheetId="17" hidden="1">'Divisor'!#REF!</definedName>
    <definedName name="Swvu.Plant." localSheetId="4" hidden="1">'Gross Plant'!#REF!</definedName>
    <definedName name="Swvu.Plant." localSheetId="9" hidden="1">'Land HFFU'!#REF!</definedName>
    <definedName name="Swvu.Plant." localSheetId="6" hidden="1">'Net Plant'!#REF!</definedName>
    <definedName name="Swvu.Plant." localSheetId="10" hidden="1">'Working Capital'!#REF!</definedName>
    <definedName name="TEST" localSheetId="5" hidden="1">{TRUE,TRUE,-1.25,-15.5,484.5,279.75,FALSE,FALSE,TRUE,TRUE,0,3,#N/A,1,#N/A,6.545454545454545,15.55,1,FALSE,FALSE,3,TRUE,1,FALSE,100,"Swvu.WP1.","ACwvu.WP1.",1,FALSE,FALSE,0.25,0.25,0.25,0.25,1,"","&amp;L&amp;D &amp;T NBW&amp;C&amp;P&amp;R&amp;F",FALSE,FALSE,FALSE,FALSE,1,100,#N/A,#N/A,FALSE,FALSE,#N/A,#N/A,FALSE,FALSE}</definedName>
    <definedName name="TEST" localSheetId="8" hidden="1">{TRUE,TRUE,-1.25,-15.5,484.5,279.75,FALSE,FALSE,TRUE,TRUE,0,3,#N/A,1,#N/A,6.545454545454545,15.55,1,FALSE,FALSE,3,TRUE,1,FALSE,100,"Swvu.WP1.","ACwvu.WP1.",1,FALSE,FALSE,0.25,0.25,0.25,0.25,1,"","&amp;L&amp;D &amp;T NBW&amp;C&amp;P&amp;R&amp;F",FALSE,FALSE,FALSE,FALSE,1,100,#N/A,#N/A,FALSE,FALSE,#N/A,#N/A,FALSE,FALSE}</definedName>
    <definedName name="TEST" localSheetId="15" hidden="1">{TRUE,TRUE,-1.25,-15.5,484.5,279.75,FALSE,FALSE,TRUE,TRUE,0,3,#N/A,1,#N/A,6.545454545454545,15.55,1,FALSE,FALSE,3,TRUE,1,FALSE,100,"Swvu.WP1.","ACwvu.WP1.",1,FALSE,FALSE,0.25,0.25,0.25,0.25,1,"","&amp;L&amp;D &amp;T NBW&amp;C&amp;P&amp;R&amp;F",FALSE,FALSE,FALSE,FALSE,1,100,#N/A,#N/A,FALSE,FALSE,#N/A,#N/A,FALSE,FALSE}</definedName>
    <definedName name="TEST" localSheetId="3" hidden="1">{TRUE,TRUE,-1.25,-15.5,484.5,279.75,FALSE,FALSE,TRUE,TRUE,0,3,#N/A,1,#N/A,6.545454545454545,15.55,1,FALSE,FALSE,3,TRUE,1,FALSE,100,"Swvu.WP1.","ACwvu.WP1.",1,FALSE,FALSE,0.25,0.25,0.25,0.25,1,"","&amp;L&amp;D &amp;T NBW&amp;C&amp;P&amp;R&amp;F",FALSE,FALSE,FALSE,FALSE,1,100,#N/A,#N/A,FALSE,FALSE,#N/A,#N/A,FALSE,FALSE}</definedName>
    <definedName name="TEST" localSheetId="7" hidden="1">{TRUE,TRUE,-1.25,-15.5,484.5,279.75,FALSE,FALSE,TRUE,TRUE,0,3,#N/A,1,#N/A,6.545454545454545,15.55,1,FALSE,FALSE,3,TRUE,1,FALSE,100,"Swvu.WP1.","ACwvu.WP1.",1,FALSE,FALSE,0.25,0.25,0.25,0.25,1,"","&amp;L&amp;D &amp;T NBW&amp;C&amp;P&amp;R&amp;F",FALSE,FALSE,FALSE,FALSE,1,100,#N/A,#N/A,FALSE,FALSE,#N/A,#N/A,FALSE,FALSE}</definedName>
    <definedName name="TEST" localSheetId="12" hidden="1">{TRUE,TRUE,-1.25,-15.5,484.5,279.75,FALSE,FALSE,TRUE,TRUE,0,3,#N/A,1,#N/A,6.545454545454545,15.55,1,FALSE,FALSE,3,TRUE,1,FALSE,100,"Swvu.WP1.","ACwvu.WP1.",1,FALSE,FALSE,0.25,0.25,0.25,0.25,1,"","&amp;L&amp;D &amp;T NBW&amp;C&amp;P&amp;R&amp;F",FALSE,FALSE,FALSE,FALSE,1,100,#N/A,#N/A,FALSE,FALSE,#N/A,#N/A,FALSE,FALSE}</definedName>
    <definedName name="TEST" localSheetId="17" hidden="1">{TRUE,TRUE,-1.25,-15.5,484.5,279.75,FALSE,FALSE,TRUE,TRUE,0,3,#N/A,1,#N/A,6.545454545454545,15.55,1,FALSE,FALSE,3,TRUE,1,FALSE,100,"Swvu.WP1.","ACwvu.WP1.",1,FALSE,FALSE,0.25,0.25,0.25,0.25,1,"","&amp;L&amp;D &amp;T NBW&amp;C&amp;P&amp;R&amp;F",FALSE,FALSE,FALSE,FALSE,1,100,#N/A,#N/A,FALSE,FALSE,#N/A,#N/A,FALSE,FALSE}</definedName>
    <definedName name="TEST" localSheetId="4" hidden="1">{TRUE,TRUE,-1.25,-15.5,484.5,279.75,FALSE,FALSE,TRUE,TRUE,0,3,#N/A,1,#N/A,6.545454545454545,15.55,1,FALSE,FALSE,3,TRUE,1,FALSE,100,"Swvu.WP1.","ACwvu.WP1.",1,FALSE,FALSE,0.25,0.25,0.25,0.25,1,"","&amp;L&amp;D &amp;T NBW&amp;C&amp;P&amp;R&amp;F",FALSE,FALSE,FALSE,FALSE,1,100,#N/A,#N/A,FALSE,FALSE,#N/A,#N/A,FALSE,FALSE}</definedName>
    <definedName name="TEST" localSheetId="9" hidden="1">{TRUE,TRUE,-1.25,-15.5,484.5,279.75,FALSE,FALSE,TRUE,TRUE,0,3,#N/A,1,#N/A,6.545454545454545,15.55,1,FALSE,FALSE,3,TRUE,1,FALSE,100,"Swvu.WP1.","ACwvu.WP1.",1,FALSE,FALSE,0.25,0.25,0.25,0.25,1,"","&amp;L&amp;D &amp;T NBW&amp;C&amp;P&amp;R&amp;F",FALSE,FALSE,FALSE,FALSE,1,100,#N/A,#N/A,FALSE,FALSE,#N/A,#N/A,FALSE,FALSE}</definedName>
    <definedName name="TEST" localSheetId="6" hidden="1">{TRUE,TRUE,-1.25,-15.5,484.5,279.75,FALSE,FALSE,TRUE,TRUE,0,3,#N/A,1,#N/A,6.545454545454545,15.55,1,FALSE,FALSE,3,TRUE,1,FALSE,100,"Swvu.WP1.","ACwvu.WP1.",1,FALSE,FALSE,0.25,0.25,0.25,0.25,1,"","&amp;L&amp;D &amp;T NBW&amp;C&amp;P&amp;R&amp;F",FALSE,FALSE,FALSE,FALSE,1,100,#N/A,#N/A,FALSE,FALSE,#N/A,#N/A,FALSE,FALSE}</definedName>
    <definedName name="TEST" localSheetId="16" hidden="1">{TRUE,TRUE,-1.25,-15.5,484.5,279.75,FALSE,FALSE,TRUE,TRUE,0,3,#N/A,1,#N/A,6.545454545454545,15.55,1,FALSE,FALSE,3,TRUE,1,FALSE,100,"Swvu.WP1.","ACwvu.WP1.",1,FALSE,FALSE,0.25,0.25,0.25,0.25,1,"","&amp;L&amp;D &amp;T NBW&amp;C&amp;P&amp;R&amp;F",FALSE,FALSE,FALSE,FALSE,1,100,#N/A,#N/A,FALSE,FALSE,#N/A,#N/A,FALSE,FALSE}</definedName>
    <definedName name="TEST" localSheetId="14" hidden="1">{TRUE,TRUE,-1.25,-15.5,484.5,279.75,FALSE,FALSE,TRUE,TRUE,0,3,#N/A,1,#N/A,6.545454545454545,15.55,1,FALSE,FALSE,3,TRUE,1,FALSE,100,"Swvu.WP1.","ACwvu.WP1.",1,FALSE,FALSE,0.25,0.25,0.25,0.25,1,"","&amp;L&amp;D &amp;T NBW&amp;C&amp;P&amp;R&amp;F",FALSE,FALSE,FALSE,FALSE,1,100,#N/A,#N/A,FALSE,FALSE,#N/A,#N/A,FALSE,FALSE}</definedName>
    <definedName name="TEST" localSheetId="13" hidden="1">{TRUE,TRUE,-1.25,-15.5,484.5,279.75,FALSE,FALSE,TRUE,TRUE,0,3,#N/A,1,#N/A,6.545454545454545,15.55,1,FALSE,FALSE,3,TRUE,1,FALSE,100,"Swvu.WP1.","ACwvu.WP1.",1,FALSE,FALSE,0.25,0.25,0.25,0.25,1,"","&amp;L&amp;D &amp;T NBW&amp;C&amp;P&amp;R&amp;F",FALSE,FALSE,FALSE,FALSE,1,100,#N/A,#N/A,FALSE,FALSE,#N/A,#N/A,FALSE,FALSE}</definedName>
    <definedName name="TEST" localSheetId="10" hidden="1">{TRUE,TRUE,-1.25,-15.5,484.5,279.75,FALSE,FALSE,TRUE,TRUE,0,3,#N/A,1,#N/A,6.545454545454545,15.55,1,FALSE,FALSE,3,TRUE,1,FALSE,100,"Swvu.WP1.","ACwvu.WP1.",1,FALSE,FALSE,0.25,0.25,0.25,0.25,1,"","&amp;L&amp;D &amp;T NBW&amp;C&amp;P&amp;R&amp;F",FALSE,FALSE,FALSE,FALSE,1,100,#N/A,#N/A,FALSE,FALSE,#N/A,#N/A,FALSE,FALSE}</definedName>
    <definedName name="TEST" hidden="1">{TRUE,TRUE,-1.25,-15.5,484.5,279.75,FALSE,FALSE,TRUE,TRUE,0,3,#N/A,1,#N/A,6.545454545454545,15.55,1,FALSE,FALSE,3,TRUE,1,FALSE,100,"Swvu.WP1.","ACwvu.WP1.",1,FALSE,FALSE,0.25,0.25,0.25,0.25,1,"","&amp;L&amp;D &amp;T NBW&amp;C&amp;P&amp;R&amp;F",FALSE,FALSE,FALSE,FALSE,1,100,#N/A,#N/A,FALSE,FALSE,#N/A,#N/A,FALSE,FALSE}</definedName>
    <definedName name="w" localSheetId="5" hidden="1">{"MATALL",#N/A,FALSE,"Sheet4";"matclass",#N/A,FALSE,"Sheet4"}</definedName>
    <definedName name="w" localSheetId="8" hidden="1">{"MATALL",#N/A,FALSE,"Sheet4";"matclass",#N/A,FALSE,"Sheet4"}</definedName>
    <definedName name="w" localSheetId="15" hidden="1">{"MATALL",#N/A,FALSE,"Sheet4";"matclass",#N/A,FALSE,"Sheet4"}</definedName>
    <definedName name="w" localSheetId="3" hidden="1">{"MATALL",#N/A,FALSE,"Sheet4";"matclass",#N/A,FALSE,"Sheet4"}</definedName>
    <definedName name="w" localSheetId="7" hidden="1">{"MATALL",#N/A,FALSE,"Sheet4";"matclass",#N/A,FALSE,"Sheet4"}</definedName>
    <definedName name="w" localSheetId="12" hidden="1">{"MATALL",#N/A,FALSE,"Sheet4";"matclass",#N/A,FALSE,"Sheet4"}</definedName>
    <definedName name="w" localSheetId="17" hidden="1">{"MATALL",#N/A,FALSE,"Sheet4";"matclass",#N/A,FALSE,"Sheet4"}</definedName>
    <definedName name="w" localSheetId="9" hidden="1">{"MATALL",#N/A,FALSE,"Sheet4";"matclass",#N/A,FALSE,"Sheet4"}</definedName>
    <definedName name="w" localSheetId="6" hidden="1">{"MATALL",#N/A,FALSE,"Sheet4";"matclass",#N/A,FALSE,"Sheet4"}</definedName>
    <definedName name="w" localSheetId="16" hidden="1">{"MATALL",#N/A,FALSE,"Sheet4";"matclass",#N/A,FALSE,"Sheet4"}</definedName>
    <definedName name="w" localSheetId="14" hidden="1">{"MATALL",#N/A,FALSE,"Sheet4";"matclass",#N/A,FALSE,"Sheet4"}</definedName>
    <definedName name="w" localSheetId="10" hidden="1">{"MATALL",#N/A,FALSE,"Sheet4";"matclass",#N/A,FALSE,"Sheet4"}</definedName>
    <definedName name="w" hidden="1">{"MATALL",#N/A,FALSE,"Sheet4";"matclass",#N/A,FALSE,"Sheet4"}</definedName>
    <definedName name="WORKCAPa" localSheetId="5" hidden="1">{"WCCWCLL",#N/A,FALSE,"Sheet3";"PP",#N/A,FALSE,"Sheet3";"MAT1",#N/A,FALSE,"Sheet3";"MAT2",#N/A,FALSE,"Sheet3"}</definedName>
    <definedName name="WORKCAPa" localSheetId="8" hidden="1">{"WCCWCLL",#N/A,FALSE,"Sheet3";"PP",#N/A,FALSE,"Sheet3";"MAT1",#N/A,FALSE,"Sheet3";"MAT2",#N/A,FALSE,"Sheet3"}</definedName>
    <definedName name="WORKCAPa" localSheetId="15" hidden="1">{"WCCWCLL",#N/A,FALSE,"Sheet3";"PP",#N/A,FALSE,"Sheet3";"MAT1",#N/A,FALSE,"Sheet3";"MAT2",#N/A,FALSE,"Sheet3"}</definedName>
    <definedName name="WORKCAPa" localSheetId="3" hidden="1">{"WCCWCLL",#N/A,FALSE,"Sheet3";"PP",#N/A,FALSE,"Sheet3";"MAT1",#N/A,FALSE,"Sheet3";"MAT2",#N/A,FALSE,"Sheet3"}</definedName>
    <definedName name="WORKCAPa" localSheetId="7" hidden="1">{"WCCWCLL",#N/A,FALSE,"Sheet3";"PP",#N/A,FALSE,"Sheet3";"MAT1",#N/A,FALSE,"Sheet3";"MAT2",#N/A,FALSE,"Sheet3"}</definedName>
    <definedName name="WORKCAPa" localSheetId="12" hidden="1">{"WCCWCLL",#N/A,FALSE,"Sheet3";"PP",#N/A,FALSE,"Sheet3";"MAT1",#N/A,FALSE,"Sheet3";"MAT2",#N/A,FALSE,"Sheet3"}</definedName>
    <definedName name="WORKCAPa" localSheetId="17" hidden="1">{"WCCWCLL",#N/A,FALSE,"Sheet3";"PP",#N/A,FALSE,"Sheet3";"MAT1",#N/A,FALSE,"Sheet3";"MAT2",#N/A,FALSE,"Sheet3"}</definedName>
    <definedName name="WORKCAPa" localSheetId="4" hidden="1">{"WCCWCLL",#N/A,FALSE,"Sheet3";"PP",#N/A,FALSE,"Sheet3";"MAT1",#N/A,FALSE,"Sheet3";"MAT2",#N/A,FALSE,"Sheet3"}</definedName>
    <definedName name="WORKCAPa" localSheetId="9" hidden="1">{"WCCWCLL",#N/A,FALSE,"Sheet3";"PP",#N/A,FALSE,"Sheet3";"MAT1",#N/A,FALSE,"Sheet3";"MAT2",#N/A,FALSE,"Sheet3"}</definedName>
    <definedName name="WORKCAPa" localSheetId="6" hidden="1">{"WCCWCLL",#N/A,FALSE,"Sheet3";"PP",#N/A,FALSE,"Sheet3";"MAT1",#N/A,FALSE,"Sheet3";"MAT2",#N/A,FALSE,"Sheet3"}</definedName>
    <definedName name="WORKCAPa" localSheetId="11" hidden="1">{"WCCWCLL",#N/A,FALSE,"Sheet3";"PP",#N/A,FALSE,"Sheet3";"MAT1",#N/A,FALSE,"Sheet3";"MAT2",#N/A,FALSE,"Sheet3"}</definedName>
    <definedName name="WORKCAPa" localSheetId="16" hidden="1">{"WCCWCLL",#N/A,FALSE,"Sheet3";"PP",#N/A,FALSE,"Sheet3";"MAT1",#N/A,FALSE,"Sheet3";"MAT2",#N/A,FALSE,"Sheet3"}</definedName>
    <definedName name="WORKCAPa" localSheetId="14" hidden="1">{"WCCWCLL",#N/A,FALSE,"Sheet3";"PP",#N/A,FALSE,"Sheet3";"MAT1",#N/A,FALSE,"Sheet3";"MAT2",#N/A,FALSE,"Sheet3"}</definedName>
    <definedName name="WORKCAPa" localSheetId="13" hidden="1">{"WCCWCLL",#N/A,FALSE,"Sheet3";"PP",#N/A,FALSE,"Sheet3";"MAT1",#N/A,FALSE,"Sheet3";"MAT2",#N/A,FALSE,"Sheet3"}</definedName>
    <definedName name="WORKCAPa" localSheetId="10" hidden="1">{"WCCWCLL",#N/A,FALSE,"Sheet3";"PP",#N/A,FALSE,"Sheet3";"MAT1",#N/A,FALSE,"Sheet3";"MAT2",#N/A,FALSE,"Sheet3"}</definedName>
    <definedName name="WORKCAPa" hidden="1">{"WCCWCLL",#N/A,FALSE,"Sheet3";"PP",#N/A,FALSE,"Sheet3";"MAT1",#N/A,FALSE,"Sheet3";"MAT2",#N/A,FALSE,"Sheet3"}</definedName>
    <definedName name="wrn.cwip." localSheetId="5" hidden="1">{"CWIP2",#N/A,FALSE,"CWIP";"CWIP3",#N/A,FALSE,"CWIP"}</definedName>
    <definedName name="wrn.cwip." localSheetId="8" hidden="1">{"CWIP2",#N/A,FALSE,"CWIP";"CWIP3",#N/A,FALSE,"CWIP"}</definedName>
    <definedName name="wrn.cwip." localSheetId="15" hidden="1">{"CWIP2",#N/A,FALSE,"CWIP";"CWIP3",#N/A,FALSE,"CWIP"}</definedName>
    <definedName name="wrn.cwip." localSheetId="3" hidden="1">{"CWIP2",#N/A,FALSE,"CWIP";"CWIP3",#N/A,FALSE,"CWIP"}</definedName>
    <definedName name="wrn.cwip." localSheetId="7" hidden="1">{"CWIP2",#N/A,FALSE,"CWIP";"CWIP3",#N/A,FALSE,"CWIP"}</definedName>
    <definedName name="wrn.cwip." localSheetId="12" hidden="1">{"CWIP2",#N/A,FALSE,"CWIP";"CWIP3",#N/A,FALSE,"CWIP"}</definedName>
    <definedName name="wrn.cwip." localSheetId="17" hidden="1">{"CWIP2",#N/A,FALSE,"CWIP";"CWIP3",#N/A,FALSE,"CWIP"}</definedName>
    <definedName name="wrn.cwip." localSheetId="4" hidden="1">{"CWIP2",#N/A,FALSE,"CWIP";"CWIP3",#N/A,FALSE,"CWIP"}</definedName>
    <definedName name="wrn.cwip." localSheetId="9" hidden="1">{"CWIP2",#N/A,FALSE,"CWIP";"CWIP3",#N/A,FALSE,"CWIP"}</definedName>
    <definedName name="wrn.cwip." localSheetId="6" hidden="1">{"CWIP2",#N/A,FALSE,"CWIP";"CWIP3",#N/A,FALSE,"CWIP"}</definedName>
    <definedName name="wrn.cwip." localSheetId="11" hidden="1">{"CWIP2",#N/A,FALSE,"CWIP";"CWIP3",#N/A,FALSE,"CWIP"}</definedName>
    <definedName name="wrn.cwip." localSheetId="16" hidden="1">{"CWIP2",#N/A,FALSE,"CWIP";"CWIP3",#N/A,FALSE,"CWIP"}</definedName>
    <definedName name="wrn.cwip." localSheetId="14" hidden="1">{"CWIP2",#N/A,FALSE,"CWIP";"CWIP3",#N/A,FALSE,"CWIP"}</definedName>
    <definedName name="wrn.cwip." localSheetId="13" hidden="1">{"CWIP2",#N/A,FALSE,"CWIP";"CWIP3",#N/A,FALSE,"CWIP"}</definedName>
    <definedName name="wrn.cwip." localSheetId="10" hidden="1">{"CWIP2",#N/A,FALSE,"CWIP";"CWIP3",#N/A,FALSE,"CWIP"}</definedName>
    <definedName name="wrn.cwip." hidden="1">{"CWIP2",#N/A,FALSE,"CWIP";"CWIP3",#N/A,FALSE,"CWIP"}</definedName>
    <definedName name="wrn.cwipa" localSheetId="5" hidden="1">{"CWIP2",#N/A,FALSE,"CWIP";"CWIP3",#N/A,FALSE,"CWIP"}</definedName>
    <definedName name="wrn.cwipa" localSheetId="8" hidden="1">{"CWIP2",#N/A,FALSE,"CWIP";"CWIP3",#N/A,FALSE,"CWIP"}</definedName>
    <definedName name="wrn.cwipa" localSheetId="15" hidden="1">{"CWIP2",#N/A,FALSE,"CWIP";"CWIP3",#N/A,FALSE,"CWIP"}</definedName>
    <definedName name="wrn.cwipa" localSheetId="3" hidden="1">{"CWIP2",#N/A,FALSE,"CWIP";"CWIP3",#N/A,FALSE,"CWIP"}</definedName>
    <definedName name="wrn.cwipa" localSheetId="7" hidden="1">{"CWIP2",#N/A,FALSE,"CWIP";"CWIP3",#N/A,FALSE,"CWIP"}</definedName>
    <definedName name="wrn.cwipa" localSheetId="12" hidden="1">{"CWIP2",#N/A,FALSE,"CWIP";"CWIP3",#N/A,FALSE,"CWIP"}</definedName>
    <definedName name="wrn.cwipa" localSheetId="17" hidden="1">{"CWIP2",#N/A,FALSE,"CWIP";"CWIP3",#N/A,FALSE,"CWIP"}</definedName>
    <definedName name="wrn.cwipa" localSheetId="4" hidden="1">{"CWIP2",#N/A,FALSE,"CWIP";"CWIP3",#N/A,FALSE,"CWIP"}</definedName>
    <definedName name="wrn.cwipa" localSheetId="9" hidden="1">{"CWIP2",#N/A,FALSE,"CWIP";"CWIP3",#N/A,FALSE,"CWIP"}</definedName>
    <definedName name="wrn.cwipa" localSheetId="6" hidden="1">{"CWIP2",#N/A,FALSE,"CWIP";"CWIP3",#N/A,FALSE,"CWIP"}</definedName>
    <definedName name="wrn.cwipa" localSheetId="11" hidden="1">{"CWIP2",#N/A,FALSE,"CWIP";"CWIP3",#N/A,FALSE,"CWIP"}</definedName>
    <definedName name="wrn.cwipa" localSheetId="16" hidden="1">{"CWIP2",#N/A,FALSE,"CWIP";"CWIP3",#N/A,FALSE,"CWIP"}</definedName>
    <definedName name="wrn.cwipa" localSheetId="14" hidden="1">{"CWIP2",#N/A,FALSE,"CWIP";"CWIP3",#N/A,FALSE,"CWIP"}</definedName>
    <definedName name="wrn.cwipa" localSheetId="13" hidden="1">{"CWIP2",#N/A,FALSE,"CWIP";"CWIP3",#N/A,FALSE,"CWIP"}</definedName>
    <definedName name="wrn.cwipa" localSheetId="10" hidden="1">{"CWIP2",#N/A,FALSE,"CWIP";"CWIP3",#N/A,FALSE,"CWIP"}</definedName>
    <definedName name="wrn.cwipa" hidden="1">{"CWIP2",#N/A,FALSE,"CWIP";"CWIP3",#N/A,FALSE,"CWIP"}</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5" hidden="1">{"MATALL",#N/A,FALSE,"Sheet4";"matclass",#N/A,FALSE,"Sheet4"}</definedName>
    <definedName name="wrn.matdtl." localSheetId="8" hidden="1">{"MATALL",#N/A,FALSE,"Sheet4";"matclass",#N/A,FALSE,"Sheet4"}</definedName>
    <definedName name="wrn.matdtl." localSheetId="15" hidden="1">{"MATALL",#N/A,FALSE,"Sheet4";"matclass",#N/A,FALSE,"Sheet4"}</definedName>
    <definedName name="wrn.matdtl." localSheetId="3" hidden="1">{"MATALL",#N/A,FALSE,"Sheet4";"matclass",#N/A,FALSE,"Sheet4"}</definedName>
    <definedName name="wrn.matdtl." localSheetId="7" hidden="1">{"MATALL",#N/A,FALSE,"Sheet4";"matclass",#N/A,FALSE,"Sheet4"}</definedName>
    <definedName name="wrn.matdtl." localSheetId="12" hidden="1">{"MATALL",#N/A,FALSE,"Sheet4";"matclass",#N/A,FALSE,"Sheet4"}</definedName>
    <definedName name="wrn.matdtl." localSheetId="17" hidden="1">{"MATALL",#N/A,FALSE,"Sheet4";"matclass",#N/A,FALSE,"Sheet4"}</definedName>
    <definedName name="wrn.matdtl." localSheetId="4" hidden="1">{"MATALL",#N/A,FALSE,"Sheet4";"matclass",#N/A,FALSE,"Sheet4"}</definedName>
    <definedName name="wrn.matdtl." localSheetId="9" hidden="1">{"MATALL",#N/A,FALSE,"Sheet4";"matclass",#N/A,FALSE,"Sheet4"}</definedName>
    <definedName name="wrn.matdtl." localSheetId="6" hidden="1">{"MATALL",#N/A,FALSE,"Sheet4";"matclass",#N/A,FALSE,"Sheet4"}</definedName>
    <definedName name="wrn.matdtl." localSheetId="11" hidden="1">{"MATALL",#N/A,FALSE,"Sheet4";"matclass",#N/A,FALSE,"Sheet4"}</definedName>
    <definedName name="wrn.matdtl." localSheetId="16" hidden="1">{"MATALL",#N/A,FALSE,"Sheet4";"matclass",#N/A,FALSE,"Sheet4"}</definedName>
    <definedName name="wrn.matdtl." localSheetId="14" hidden="1">{"MATALL",#N/A,FALSE,"Sheet4";"matclass",#N/A,FALSE,"Sheet4"}</definedName>
    <definedName name="wrn.matdtl." localSheetId="13" hidden="1">{"MATALL",#N/A,FALSE,"Sheet4";"matclass",#N/A,FALSE,"Sheet4"}</definedName>
    <definedName name="wrn.matdtl." localSheetId="10" hidden="1">{"MATALL",#N/A,FALSE,"Sheet4";"matclass",#N/A,FALSE,"Sheet4"}</definedName>
    <definedName name="wrn.matdtl." hidden="1">{"MATALL",#N/A,FALSE,"Sheet4";"matclass",#N/A,FALSE,"Sheet4"}</definedName>
    <definedName name="wrn.matdtla" localSheetId="5" hidden="1">{"MATALL",#N/A,FALSE,"Sheet4";"matclass",#N/A,FALSE,"Sheet4"}</definedName>
    <definedName name="wrn.matdtla" localSheetId="8" hidden="1">{"MATALL",#N/A,FALSE,"Sheet4";"matclass",#N/A,FALSE,"Sheet4"}</definedName>
    <definedName name="wrn.matdtla" localSheetId="15" hidden="1">{"MATALL",#N/A,FALSE,"Sheet4";"matclass",#N/A,FALSE,"Sheet4"}</definedName>
    <definedName name="wrn.matdtla" localSheetId="3" hidden="1">{"MATALL",#N/A,FALSE,"Sheet4";"matclass",#N/A,FALSE,"Sheet4"}</definedName>
    <definedName name="wrn.matdtla" localSheetId="7" hidden="1">{"MATALL",#N/A,FALSE,"Sheet4";"matclass",#N/A,FALSE,"Sheet4"}</definedName>
    <definedName name="wrn.matdtla" localSheetId="12" hidden="1">{"MATALL",#N/A,FALSE,"Sheet4";"matclass",#N/A,FALSE,"Sheet4"}</definedName>
    <definedName name="wrn.matdtla" localSheetId="17" hidden="1">{"MATALL",#N/A,FALSE,"Sheet4";"matclass",#N/A,FALSE,"Sheet4"}</definedName>
    <definedName name="wrn.matdtla" localSheetId="4" hidden="1">{"MATALL",#N/A,FALSE,"Sheet4";"matclass",#N/A,FALSE,"Sheet4"}</definedName>
    <definedName name="wrn.matdtla" localSheetId="9" hidden="1">{"MATALL",#N/A,FALSE,"Sheet4";"matclass",#N/A,FALSE,"Sheet4"}</definedName>
    <definedName name="wrn.matdtla" localSheetId="6" hidden="1">{"MATALL",#N/A,FALSE,"Sheet4";"matclass",#N/A,FALSE,"Sheet4"}</definedName>
    <definedName name="wrn.matdtla" localSheetId="11" hidden="1">{"MATALL",#N/A,FALSE,"Sheet4";"matclass",#N/A,FALSE,"Sheet4"}</definedName>
    <definedName name="wrn.matdtla" localSheetId="16" hidden="1">{"MATALL",#N/A,FALSE,"Sheet4";"matclass",#N/A,FALSE,"Sheet4"}</definedName>
    <definedName name="wrn.matdtla" localSheetId="14" hidden="1">{"MATALL",#N/A,FALSE,"Sheet4";"matclass",#N/A,FALSE,"Sheet4"}</definedName>
    <definedName name="wrn.matdtla" localSheetId="13" hidden="1">{"MATALL",#N/A,FALSE,"Sheet4";"matclass",#N/A,FALSE,"Sheet4"}</definedName>
    <definedName name="wrn.matdtla" localSheetId="10" hidden="1">{"MATALL",#N/A,FALSE,"Sheet4";"matclass",#N/A,FALSE,"Sheet4"}</definedName>
    <definedName name="wrn.matdtla" hidden="1">{"MATALL",#N/A,FALSE,"Sheet4";"matclass",#N/A,FALSE,"Sheet4"}</definedName>
    <definedName name="wrn.PPJOURNAL._.ENTRY." localSheetId="5"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15" hidden="1">{"PPDEFERREDBAL",#N/A,FALSE,"PRIOR PERIOD ADJMT";#N/A,#N/A,FALSE,"PRIOR PERIOD ADJMT";"PPJOURNALENTRY",#N/A,FALSE,"PRIOR PERIOD ADJMT"}</definedName>
    <definedName name="wrn.PPJOURNAL._.ENTRY." localSheetId="3" hidden="1">{"PPDEFERREDBAL",#N/A,FALSE,"PRIOR PERIOD ADJMT";#N/A,#N/A,FALSE,"PRIOR PERIOD ADJMT";"PPJOURNALENTRY",#N/A,FALSE,"PRIOR PERIOD ADJMT"}</definedName>
    <definedName name="wrn.PPJOURNAL._.ENTRY." localSheetId="7" hidden="1">{"PPDEFERREDBAL",#N/A,FALSE,"PRIOR PERIOD ADJMT";#N/A,#N/A,FALSE,"PRIOR PERIOD ADJMT";"PPJOURNALENTRY",#N/A,FALSE,"PRIOR PERIOD ADJMT"}</definedName>
    <definedName name="wrn.PPJOURNAL._.ENTRY." localSheetId="12" hidden="1">{"PPDEFERREDBAL",#N/A,FALSE,"PRIOR PERIOD ADJMT";#N/A,#N/A,FALSE,"PRIOR PERIOD ADJMT";"PPJOURNALENTRY",#N/A,FALSE,"PRIOR PERIOD ADJMT"}</definedName>
    <definedName name="wrn.PPJOURNAL._.ENTRY." localSheetId="17" hidden="1">{"PPDEFERREDBAL",#N/A,FALSE,"PRIOR PERIOD ADJMT";#N/A,#N/A,FALSE,"PRIOR PERIOD ADJMT";"PPJOURNALENTRY",#N/A,FALSE,"PRIOR PERIOD ADJMT"}</definedName>
    <definedName name="wrn.PPJOURNAL._.ENTRY." localSheetId="4"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localSheetId="14"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5" hidden="1">{#N/A,#N/A,FALSE,"PRIOR PERIOD ADJMT"}</definedName>
    <definedName name="wrn.PRIOR._.PERIOD._.ADJMT." localSheetId="8" hidden="1">{#N/A,#N/A,FALSE,"PRIOR PERIOD ADJMT"}</definedName>
    <definedName name="wrn.PRIOR._.PERIOD._.ADJMT." localSheetId="15" hidden="1">{#N/A,#N/A,FALSE,"PRIOR PERIOD ADJMT"}</definedName>
    <definedName name="wrn.PRIOR._.PERIOD._.ADJMT." localSheetId="3" hidden="1">{#N/A,#N/A,FALSE,"PRIOR PERIOD ADJMT"}</definedName>
    <definedName name="wrn.PRIOR._.PERIOD._.ADJMT." localSheetId="7" hidden="1">{#N/A,#N/A,FALSE,"PRIOR PERIOD ADJMT"}</definedName>
    <definedName name="wrn.PRIOR._.PERIOD._.ADJMT." localSheetId="12" hidden="1">{#N/A,#N/A,FALSE,"PRIOR PERIOD ADJMT"}</definedName>
    <definedName name="wrn.PRIOR._.PERIOD._.ADJMT." localSheetId="17" hidden="1">{#N/A,#N/A,FALSE,"PRIOR PERIOD ADJMT"}</definedName>
    <definedName name="wrn.PRIOR._.PERIOD._.ADJMT." localSheetId="4" hidden="1">{#N/A,#N/A,FALSE,"PRIOR PERIOD ADJMT"}</definedName>
    <definedName name="wrn.PRIOR._.PERIOD._.ADJMT." localSheetId="9" hidden="1">{#N/A,#N/A,FALSE,"PRIOR PERIOD ADJMT"}</definedName>
    <definedName name="wrn.PRIOR._.PERIOD._.ADJMT." localSheetId="6" hidden="1">{#N/A,#N/A,FALSE,"PRIOR PERIOD ADJMT"}</definedName>
    <definedName name="wrn.PRIOR._.PERIOD._.ADJMT." localSheetId="16" hidden="1">{#N/A,#N/A,FALSE,"PRIOR PERIOD ADJMT"}</definedName>
    <definedName name="wrn.PRIOR._.PERIOD._.ADJMT." localSheetId="14" hidden="1">{#N/A,#N/A,FALSE,"PRIOR PERIOD ADJMT"}</definedName>
    <definedName name="wrn.PRIOR._.PERIOD._.ADJMT." localSheetId="13" hidden="1">{#N/A,#N/A,FALSE,"PRIOR PERIOD ADJMT"}</definedName>
    <definedName name="wrn.PRIOR._.PERIOD._.ADJMT." localSheetId="10" hidden="1">{#N/A,#N/A,FALSE,"PRIOR PERIOD ADJMT"}</definedName>
    <definedName name="wrn.PRIOR._.PERIOD._.ADJMT." hidden="1">{#N/A,#N/A,FALSE,"PRIOR PERIOD ADJMT"}</definedName>
    <definedName name="wrn.Production." localSheetId="5" hidden="1">{"Production",#N/A,FALSE,"Electric O&amp;M Functionalization"}</definedName>
    <definedName name="wrn.Production." localSheetId="8" hidden="1">{"Production",#N/A,FALSE,"Electric O&amp;M Functionalization"}</definedName>
    <definedName name="wrn.Production." localSheetId="15" hidden="1">{"Production",#N/A,FALSE,"Electric O&amp;M Functionalization"}</definedName>
    <definedName name="wrn.Production." localSheetId="3" hidden="1">{"Production",#N/A,FALSE,"Electric O&amp;M Functionalization"}</definedName>
    <definedName name="wrn.Production." localSheetId="7" hidden="1">{"Production",#N/A,FALSE,"Electric O&amp;M Functionalization"}</definedName>
    <definedName name="wrn.Production." localSheetId="12" hidden="1">{"Production",#N/A,FALSE,"Electric O&amp;M Functionalization"}</definedName>
    <definedName name="wrn.Production." localSheetId="17" hidden="1">{"Production",#N/A,FALSE,"Electric O&amp;M Functionalization"}</definedName>
    <definedName name="wrn.Production." localSheetId="4" hidden="1">{"Production",#N/A,FALSE,"Electric O&amp;M Functionalization"}</definedName>
    <definedName name="wrn.Production." localSheetId="9" hidden="1">{"Production",#N/A,FALSE,"Electric O&amp;M Functionalization"}</definedName>
    <definedName name="wrn.Production." localSheetId="6" hidden="1">{"Production",#N/A,FALSE,"Electric O&amp;M Functionalization"}</definedName>
    <definedName name="wrn.Production." localSheetId="11" hidden="1">{"Production",#N/A,FALSE,"Electric O&amp;M Functionalization"}</definedName>
    <definedName name="wrn.Production." localSheetId="16" hidden="1">{"Production",#N/A,FALSE,"Electric O&amp;M Functionalization"}</definedName>
    <definedName name="wrn.Production." localSheetId="14" hidden="1">{"Production",#N/A,FALSE,"Electric O&amp;M Functionalization"}</definedName>
    <definedName name="wrn.Production." localSheetId="13" hidden="1">{"Production",#N/A,FALSE,"Electric O&amp;M Functionalization"}</definedName>
    <definedName name="wrn.Production." localSheetId="10" hidden="1">{"Production",#N/A,FALSE,"Electric O&amp;M Functionalization"}</definedName>
    <definedName name="wrn.Production." hidden="1">{"Production",#N/A,FALSE,"Electric O&amp;M Functionalization"}</definedName>
    <definedName name="wrn.Transmission." localSheetId="5" hidden="1">{"Transmission",#N/A,FALSE,"Electric O&amp;M Functionalization"}</definedName>
    <definedName name="wrn.Transmission." localSheetId="8" hidden="1">{"Transmission",#N/A,FALSE,"Electric O&amp;M Functionalization"}</definedName>
    <definedName name="wrn.Transmission." localSheetId="15" hidden="1">{"Transmission",#N/A,FALSE,"Electric O&amp;M Functionalization"}</definedName>
    <definedName name="wrn.Transmission." localSheetId="3" hidden="1">{"Transmission",#N/A,FALSE,"Electric O&amp;M Functionalization"}</definedName>
    <definedName name="wrn.Transmission." localSheetId="7" hidden="1">{"Transmission",#N/A,FALSE,"Electric O&amp;M Functionalization"}</definedName>
    <definedName name="wrn.Transmission." localSheetId="12" hidden="1">{"Transmission",#N/A,FALSE,"Electric O&amp;M Functionalization"}</definedName>
    <definedName name="wrn.Transmission." localSheetId="17" hidden="1">{"Transmission",#N/A,FALSE,"Electric O&amp;M Functionalization"}</definedName>
    <definedName name="wrn.Transmission." localSheetId="4" hidden="1">{"Transmission",#N/A,FALSE,"Electric O&amp;M Functionalization"}</definedName>
    <definedName name="wrn.Transmission." localSheetId="9" hidden="1">{"Transmission",#N/A,FALSE,"Electric O&amp;M Functionalization"}</definedName>
    <definedName name="wrn.Transmission." localSheetId="6" hidden="1">{"Transmission",#N/A,FALSE,"Electric O&amp;M Functionalization"}</definedName>
    <definedName name="wrn.Transmission." localSheetId="11" hidden="1">{"Transmission",#N/A,FALSE,"Electric O&amp;M Functionalization"}</definedName>
    <definedName name="wrn.Transmission." localSheetId="16" hidden="1">{"Transmission",#N/A,FALSE,"Electric O&amp;M Functionalization"}</definedName>
    <definedName name="wrn.Transmission." localSheetId="14" hidden="1">{"Transmission",#N/A,FALSE,"Electric O&amp;M Functionalization"}</definedName>
    <definedName name="wrn.Transmission." localSheetId="13" hidden="1">{"Transmission",#N/A,FALSE,"Electric O&amp;M Functionalization"}</definedName>
    <definedName name="wrn.Transmission." localSheetId="10" hidden="1">{"Transmission",#N/A,FALSE,"Electric O&amp;M Functionalization"}</definedName>
    <definedName name="wrn.Transmission." hidden="1">{"Transmission",#N/A,FALSE,"Electric O&amp;M Functionalization"}</definedName>
    <definedName name="wrn.WORKCAP." localSheetId="5" hidden="1">{"WCCWCLL",#N/A,FALSE,"Sheet3";"PP",#N/A,FALSE,"Sheet3";"MAT1",#N/A,FALSE,"Sheet3";"MAT2",#N/A,FALSE,"Sheet3"}</definedName>
    <definedName name="wrn.WORKCAP." localSheetId="8" hidden="1">{"WCCWCLL",#N/A,FALSE,"Sheet3";"PP",#N/A,FALSE,"Sheet3";"MAT1",#N/A,FALSE,"Sheet3";"MAT2",#N/A,FALSE,"Sheet3"}</definedName>
    <definedName name="wrn.WORKCAP." localSheetId="15" hidden="1">{"WCCWCLL",#N/A,FALSE,"Sheet3";"PP",#N/A,FALSE,"Sheet3";"MAT1",#N/A,FALSE,"Sheet3";"MAT2",#N/A,FALSE,"Sheet3"}</definedName>
    <definedName name="wrn.WORKCAP." localSheetId="3" hidden="1">{"WCCWCLL",#N/A,FALSE,"Sheet3";"PP",#N/A,FALSE,"Sheet3";"MAT1",#N/A,FALSE,"Sheet3";"MAT2",#N/A,FALSE,"Sheet3"}</definedName>
    <definedName name="wrn.WORKCAP." localSheetId="7" hidden="1">{"WCCWCLL",#N/A,FALSE,"Sheet3";"PP",#N/A,FALSE,"Sheet3";"MAT1",#N/A,FALSE,"Sheet3";"MAT2",#N/A,FALSE,"Sheet3"}</definedName>
    <definedName name="wrn.WORKCAP." localSheetId="12" hidden="1">{"WCCWCLL",#N/A,FALSE,"Sheet3";"PP",#N/A,FALSE,"Sheet3";"MAT1",#N/A,FALSE,"Sheet3";"MAT2",#N/A,FALSE,"Sheet3"}</definedName>
    <definedName name="wrn.WORKCAP." localSheetId="17" hidden="1">{"WCCWCLL",#N/A,FALSE,"Sheet3";"PP",#N/A,FALSE,"Sheet3";"MAT1",#N/A,FALSE,"Sheet3";"MAT2",#N/A,FALSE,"Sheet3"}</definedName>
    <definedName name="wrn.WORKCAP." localSheetId="4" hidden="1">{"WCCWCLL",#N/A,FALSE,"Sheet3";"PP",#N/A,FALSE,"Sheet3";"MAT1",#N/A,FALSE,"Sheet3";"MAT2",#N/A,FALSE,"Sheet3"}</definedName>
    <definedName name="wrn.WORKCAP." localSheetId="9" hidden="1">{"WCCWCLL",#N/A,FALSE,"Sheet3";"PP",#N/A,FALSE,"Sheet3";"MAT1",#N/A,FALSE,"Sheet3";"MAT2",#N/A,FALSE,"Sheet3"}</definedName>
    <definedName name="wrn.WORKCAP." localSheetId="6" hidden="1">{"WCCWCLL",#N/A,FALSE,"Sheet3";"PP",#N/A,FALSE,"Sheet3";"MAT1",#N/A,FALSE,"Sheet3";"MAT2",#N/A,FALSE,"Sheet3"}</definedName>
    <definedName name="wrn.WORKCAP." localSheetId="11" hidden="1">{"WCCWCLL",#N/A,FALSE,"Sheet3";"PP",#N/A,FALSE,"Sheet3";"MAT1",#N/A,FALSE,"Sheet3";"MAT2",#N/A,FALSE,"Sheet3"}</definedName>
    <definedName name="wrn.WORKCAP." localSheetId="16" hidden="1">{"WCCWCLL",#N/A,FALSE,"Sheet3";"PP",#N/A,FALSE,"Sheet3";"MAT1",#N/A,FALSE,"Sheet3";"MAT2",#N/A,FALSE,"Sheet3"}</definedName>
    <definedName name="wrn.WORKCAP." localSheetId="14" hidden="1">{"WCCWCLL",#N/A,FALSE,"Sheet3";"PP",#N/A,FALSE,"Sheet3";"MAT1",#N/A,FALSE,"Sheet3";"MAT2",#N/A,FALSE,"Sheet3"}</definedName>
    <definedName name="wrn.WORKCAP." localSheetId="13" hidden="1">{"WCCWCLL",#N/A,FALSE,"Sheet3";"PP",#N/A,FALSE,"Sheet3";"MAT1",#N/A,FALSE,"Sheet3";"MAT2",#N/A,FALSE,"Sheet3"}</definedName>
    <definedName name="wrn.WORKCAP." localSheetId="10" hidden="1">{"WCCWCLL",#N/A,FALSE,"Sheet3";"PP",#N/A,FALSE,"Sheet3";"MAT1",#N/A,FALSE,"Sheet3";"MAT2",#N/A,FALSE,"Sheet3"}</definedName>
    <definedName name="wrn.WORKCAP." hidden="1">{"WCCWCLL",#N/A,FALSE,"Sheet3";"PP",#N/A,FALSE,"Sheet3";"MAT1",#N/A,FALSE,"Sheet3";"MAT2",#N/A,FALSE,"Sheet3"}</definedName>
    <definedName name="wvu.DATABASE." localSheetId="5"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5"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3"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7"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2"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7"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4"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4"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istplt." localSheetId="5" hidden="1">{FALSE,TRUE,-1.25,-15.5,484.5,274.5,FALSE,TRUE,TRUE,TRUE,0,24,#N/A,1,#N/A,12.03,20,1,FALSE,FALSE,3,TRUE,1,FALSE,75,"Swvu.Distplt.","ACwvu.Distplt.",#N/A,FALSE,FALSE,1,0.75,0.75,0.75,1,"","",FALSE,FALSE,FALSE,FALSE,1,#N/A,1,1,FALSE,FALSE,#N/A,#N/A,FALSE,FALSE,FALSE,1,300,300,FALSE,FALSE,TRUE,TRUE,TRUE}</definedName>
    <definedName name="wvu.Distplt." localSheetId="8" hidden="1">{FALSE,TRUE,-1.25,-15.5,484.5,274.5,FALSE,TRUE,TRUE,TRUE,0,24,#N/A,1,#N/A,12.03,20,1,FALSE,FALSE,3,TRUE,1,FALSE,75,"Swvu.Distplt.","ACwvu.Distplt.",#N/A,FALSE,FALSE,1,0.75,0.75,0.75,1,"","",FALSE,FALSE,FALSE,FALSE,1,#N/A,1,1,FALSE,FALSE,#N/A,#N/A,FALSE,FALSE,FALSE,1,300,300,FALSE,FALSE,TRUE,TRUE,TRUE}</definedName>
    <definedName name="wvu.Distplt." localSheetId="7" hidden="1">{FALSE,TRUE,-1.25,-15.5,484.5,274.5,FALSE,TRUE,TRUE,TRUE,0,24,#N/A,1,#N/A,12.03,20,1,FALSE,FALSE,3,TRUE,1,FALSE,75,"Swvu.Distplt.","ACwvu.Distplt.",#N/A,FALSE,FALSE,1,0.75,0.75,0.75,1,"","",FALSE,FALSE,FALSE,FALSE,1,#N/A,1,1,FALSE,FALSE,#N/A,#N/A,FALSE,FALSE,FALSE,1,300,300,FALSE,FALSE,TRUE,TRUE,TRUE}</definedName>
    <definedName name="wvu.Distplt." localSheetId="17" hidden="1">{FALSE,TRUE,-1.25,-15.5,484.5,274.5,FALSE,TRUE,TRUE,TRUE,0,24,#N/A,1,#N/A,12.03,20,1,FALSE,FALSE,3,TRUE,1,FALSE,75,"Swvu.Distplt.","ACwvu.Distplt.",#N/A,FALSE,FALSE,1,0.75,0.75,0.75,1,"","",FALSE,FALSE,FALSE,FALSE,1,#N/A,1,1,FALSE,FALSE,#N/A,#N/A,FALSE,FALSE,FALSE,1,300,300,FALSE,FALSE,TRUE,TRUE,TRUE}</definedName>
    <definedName name="wvu.Distplt." localSheetId="4" hidden="1">{FALSE,TRUE,-1.25,-15.5,484.5,274.5,FALSE,TRUE,TRUE,TRUE,0,24,#N/A,1,#N/A,12.03,20,1,FALSE,FALSE,3,TRUE,1,FALSE,75,"Swvu.Distplt.","ACwvu.Distplt.",#N/A,FALSE,FALSE,1,0.75,0.75,0.75,1,"","",FALSE,FALSE,FALSE,FALSE,1,#N/A,1,1,FALSE,FALSE,#N/A,#N/A,FALSE,FALSE,FALSE,1,300,300,FALSE,FALSE,TRUE,TRUE,TRUE}</definedName>
    <definedName name="wvu.Distplt." localSheetId="9" hidden="1">{FALSE,TRUE,-1.25,-15.5,484.5,274.5,FALSE,TRUE,TRUE,TRUE,0,24,#N/A,1,#N/A,12.03,20,1,FALSE,FALSE,3,TRUE,1,FALSE,75,"Swvu.Distplt.","ACwvu.Distplt.",#N/A,FALSE,FALSE,1,0.75,0.75,0.75,1,"","",FALSE,FALSE,FALSE,FALSE,1,#N/A,1,1,FALSE,FALSE,#N/A,#N/A,FALSE,FALSE,FALSE,1,300,300,FALSE,FALSE,TRUE,TRUE,TRUE}</definedName>
    <definedName name="wvu.Distplt." localSheetId="6" hidden="1">{FALSE,TRUE,-1.25,-15.5,484.5,274.5,FALSE,TRUE,TRUE,TRUE,0,24,#N/A,1,#N/A,12.03,20,1,FALSE,FALSE,3,TRUE,1,FALSE,75,"Swvu.Distplt.","ACwvu.Distplt.",#N/A,FALSE,FALSE,1,0.75,0.75,0.75,1,"","",FALSE,FALSE,FALSE,FALSE,1,#N/A,1,1,FALSE,FALSE,#N/A,#N/A,FALSE,FALSE,FALSE,1,300,300,FALSE,FALSE,TRUE,TRUE,TRUE}</definedName>
    <definedName name="wvu.Distplt." localSheetId="10" hidden="1">{FALSE,TRUE,-1.25,-15.5,484.5,274.5,FALSE,TRUE,TRUE,TRUE,0,24,#N/A,1,#N/A,12.03,20,1,FALSE,FALSE,3,TRUE,1,FALSE,75,"Swvu.Distplt.","ACwvu.Distplt.",#N/A,FALSE,FALSE,1,0.75,0.75,0.75,1,"","",FALSE,FALSE,FALSE,FALSE,1,#N/A,1,1,FALSE,FALSE,#N/A,#N/A,FALSE,FALSE,FALSE,1,300,300,FALSE,FALSE,TRUE,TRUE,TRUE}</definedName>
    <definedName name="wvu.OP." localSheetId="5"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5"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3"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7"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2"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7"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4"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4"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5"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8"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7"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17"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4"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9"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6"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10" hidden="1">{TRUE,TRUE,-1.25,-15.5,484.5,274.5,FALSE,TRUE,TRUE,TRUE,0,11,#N/A,47,#N/A,11.030303030303031,20.4375,1,FALSE,FALSE,3,TRUE,1,FALSE,75,"Swvu.Plant.","ACwvu.Plant.",#N/A,FALSE,FALSE,0.75,0.75,0.5,0.5,2,"","",FALSE,FALSE,FALSE,FALSE,1,#N/A,1,1,"=R1C2:R60C21",FALSE,#N/A,#N/A,FALSE,FALSE,FALSE,1,300,300,FALSE,FALSE,TRUE,TRUE,TRUE}</definedName>
    <definedName name="wvu.WP1." localSheetId="5" hidden="1">{TRUE,TRUE,-1.25,-15.5,484.5,279.75,FALSE,FALSE,TRUE,TRUE,0,3,#N/A,1,#N/A,6.545454545454545,15.55,1,FALSE,FALSE,3,TRUE,1,FALSE,100,"Swvu.WP1.","ACwvu.WP1.",1,FALSE,FALSE,0.25,0.25,0.25,0.25,1,"","&amp;L&amp;D &amp;T NBW&amp;C&amp;P&amp;R&amp;F",FALSE,FALSE,FALSE,FALSE,1,100,#N/A,#N/A,FALSE,FALSE,#N/A,#N/A,FALSE,FALSE}</definedName>
    <definedName name="wvu.WP1." localSheetId="8" hidden="1">{TRUE,TRUE,-1.25,-15.5,484.5,279.75,FALSE,FALSE,TRUE,TRUE,0,3,#N/A,1,#N/A,6.545454545454545,15.55,1,FALSE,FALSE,3,TRUE,1,FALSE,100,"Swvu.WP1.","ACwvu.WP1.",1,FALSE,FALSE,0.25,0.25,0.25,0.25,1,"","&amp;L&amp;D &amp;T NBW&amp;C&amp;P&amp;R&amp;F",FALSE,FALSE,FALSE,FALSE,1,100,#N/A,#N/A,FALSE,FALSE,#N/A,#N/A,FALSE,FALSE}</definedName>
    <definedName name="wvu.WP1." localSheetId="15" hidden="1">{TRUE,TRUE,-1.25,-15.5,484.5,279.75,FALSE,FALSE,TRUE,TRUE,0,3,#N/A,1,#N/A,6.545454545454545,15.55,1,FALSE,FALSE,3,TRUE,1,FALSE,100,"Swvu.WP1.","ACwvu.WP1.",1,FALSE,FALSE,0.25,0.25,0.25,0.25,1,"","&amp;L&amp;D &amp;T NBW&amp;C&amp;P&amp;R&amp;F",FALSE,FALSE,FALSE,FALSE,1,100,#N/A,#N/A,FALSE,FALSE,#N/A,#N/A,FALSE,FALSE}</definedName>
    <definedName name="wvu.WP1." localSheetId="3" hidden="1">{TRUE,TRUE,-1.25,-15.5,484.5,279.75,FALSE,FALSE,TRUE,TRUE,0,3,#N/A,1,#N/A,6.545454545454545,15.55,1,FALSE,FALSE,3,TRUE,1,FALSE,100,"Swvu.WP1.","ACwvu.WP1.",1,FALSE,FALSE,0.25,0.25,0.25,0.25,1,"","&amp;L&amp;D &amp;T NBW&amp;C&amp;P&amp;R&amp;F",FALSE,FALSE,FALSE,FALSE,1,100,#N/A,#N/A,FALSE,FALSE,#N/A,#N/A,FALSE,FALSE}</definedName>
    <definedName name="wvu.WP1." localSheetId="7" hidden="1">{TRUE,TRUE,-1.25,-15.5,484.5,279.75,FALSE,FALSE,TRUE,TRUE,0,3,#N/A,1,#N/A,6.545454545454545,15.55,1,FALSE,FALSE,3,TRUE,1,FALSE,100,"Swvu.WP1.","ACwvu.WP1.",1,FALSE,FALSE,0.25,0.25,0.25,0.25,1,"","&amp;L&amp;D &amp;T NBW&amp;C&amp;P&amp;R&amp;F",FALSE,FALSE,FALSE,FALSE,1,100,#N/A,#N/A,FALSE,FALSE,#N/A,#N/A,FALSE,FALSE}</definedName>
    <definedName name="wvu.WP1." localSheetId="12" hidden="1">{TRUE,TRUE,-1.25,-15.5,484.5,279.75,FALSE,FALSE,TRUE,TRUE,0,3,#N/A,1,#N/A,6.545454545454545,15.55,1,FALSE,FALSE,3,TRUE,1,FALSE,100,"Swvu.WP1.","ACwvu.WP1.",1,FALSE,FALSE,0.25,0.25,0.25,0.25,1,"","&amp;L&amp;D &amp;T NBW&amp;C&amp;P&amp;R&amp;F",FALSE,FALSE,FALSE,FALSE,1,100,#N/A,#N/A,FALSE,FALSE,#N/A,#N/A,FALSE,FALSE}</definedName>
    <definedName name="wvu.WP1." localSheetId="17" hidden="1">{TRUE,TRUE,-1.25,-15.5,484.5,279.75,FALSE,FALSE,TRUE,TRUE,0,3,#N/A,1,#N/A,6.545454545454545,15.55,1,FALSE,FALSE,3,TRUE,1,FALSE,100,"Swvu.WP1.","ACwvu.WP1.",1,FALSE,FALSE,0.25,0.25,0.25,0.25,1,"","&amp;L&amp;D &amp;T NBW&amp;C&amp;P&amp;R&amp;F",FALSE,FALSE,FALSE,FALSE,1,100,#N/A,#N/A,FALSE,FALSE,#N/A,#N/A,FALSE,FALSE}</definedName>
    <definedName name="wvu.WP1." localSheetId="4" hidden="1">{TRUE,TRUE,-1.25,-15.5,484.5,279.75,FALSE,FALSE,TRUE,TRUE,0,3,#N/A,1,#N/A,6.545454545454545,15.55,1,FALSE,FALSE,3,TRUE,1,FALSE,100,"Swvu.WP1.","ACwvu.WP1.",1,FALSE,FALSE,0.25,0.25,0.25,0.25,1,"","&amp;L&amp;D &amp;T NBW&amp;C&amp;P&amp;R&amp;F",FALSE,FALSE,FALSE,FALSE,1,100,#N/A,#N/A,FALSE,FALSE,#N/A,#N/A,FALSE,FALSE}</definedName>
    <definedName name="wvu.WP1." localSheetId="9" hidden="1">{TRUE,TRUE,-1.25,-15.5,484.5,279.75,FALSE,FALSE,TRUE,TRUE,0,3,#N/A,1,#N/A,6.545454545454545,15.55,1,FALSE,FALSE,3,TRUE,1,FALSE,100,"Swvu.WP1.","ACwvu.WP1.",1,FALSE,FALSE,0.25,0.25,0.25,0.25,1,"","&amp;L&amp;D &amp;T NBW&amp;C&amp;P&amp;R&amp;F",FALSE,FALSE,FALSE,FALSE,1,100,#N/A,#N/A,FALSE,FALSE,#N/A,#N/A,FALSE,FALSE}</definedName>
    <definedName name="wvu.WP1." localSheetId="6" hidden="1">{TRUE,TRUE,-1.25,-15.5,484.5,279.75,FALSE,FALSE,TRUE,TRUE,0,3,#N/A,1,#N/A,6.545454545454545,15.55,1,FALSE,FALSE,3,TRUE,1,FALSE,100,"Swvu.WP1.","ACwvu.WP1.",1,FALSE,FALSE,0.25,0.25,0.25,0.25,1,"","&amp;L&amp;D &amp;T NBW&amp;C&amp;P&amp;R&amp;F",FALSE,FALSE,FALSE,FALSE,1,100,#N/A,#N/A,FALSE,FALSE,#N/A,#N/A,FALSE,FALSE}</definedName>
    <definedName name="wvu.WP1." localSheetId="16" hidden="1">{TRUE,TRUE,-1.25,-15.5,484.5,279.75,FALSE,FALSE,TRUE,TRUE,0,3,#N/A,1,#N/A,6.545454545454545,15.55,1,FALSE,FALSE,3,TRUE,1,FALSE,100,"Swvu.WP1.","ACwvu.WP1.",1,FALSE,FALSE,0.25,0.25,0.25,0.25,1,"","&amp;L&amp;D &amp;T NBW&amp;C&amp;P&amp;R&amp;F",FALSE,FALSE,FALSE,FALSE,1,100,#N/A,#N/A,FALSE,FALSE,#N/A,#N/A,FALSE,FALSE}</definedName>
    <definedName name="wvu.WP1." localSheetId="14" hidden="1">{TRUE,TRUE,-1.25,-15.5,484.5,279.75,FALSE,FALSE,TRUE,TRUE,0,3,#N/A,1,#N/A,6.545454545454545,15.55,1,FALSE,FALSE,3,TRUE,1,FALSE,100,"Swvu.WP1.","ACwvu.WP1.",1,FALSE,FALSE,0.25,0.25,0.25,0.25,1,"","&amp;L&amp;D &amp;T NBW&amp;C&amp;P&amp;R&amp;F",FALSE,FALSE,FALSE,FALSE,1,100,#N/A,#N/A,FALSE,FALSE,#N/A,#N/A,FALSE,FALSE}</definedName>
    <definedName name="wvu.WP1." localSheetId="13" hidden="1">{TRUE,TRUE,-1.25,-15.5,484.5,279.75,FALSE,FALSE,TRUE,TRUE,0,3,#N/A,1,#N/A,6.545454545454545,15.55,1,FALSE,FALSE,3,TRUE,1,FALSE,100,"Swvu.WP1.","ACwvu.WP1.",1,FALSE,FALSE,0.25,0.25,0.25,0.25,1,"","&amp;L&amp;D &amp;T NBW&amp;C&amp;P&amp;R&amp;F",FALSE,FALSE,FALSE,FALSE,1,100,#N/A,#N/A,FALSE,FALSE,#N/A,#N/A,FALSE,FALSE}</definedName>
    <definedName name="wvu.WP1." localSheetId="10" hidden="1">{TRUE,TRUE,-1.25,-15.5,484.5,279.75,FALSE,FALSE,TRUE,TRUE,0,3,#N/A,1,#N/A,6.545454545454545,15.55,1,FALSE,FALSE,3,TRUE,1,FALSE,100,"Swvu.WP1.","ACwvu.WP1.",1,FALSE,FALSE,0.25,0.25,0.25,0.25,1,"","&amp;L&amp;D &amp;T NBW&amp;C&amp;P&amp;R&amp;F",FALSE,FALSE,FALSE,FALSE,1,100,#N/A,#N/A,FALSE,FALSE,#N/A,#N/A,FALSE,FALSE}</definedName>
    <definedName name="wvu.WP1." hidden="1">{TRUE,TRUE,-1.25,-15.5,484.5,279.75,FALSE,FALSE,TRUE,TRUE,0,3,#N/A,1,#N/A,6.545454545454545,15.55,1,FALSE,FALSE,3,TRUE,1,FALSE,100,"Swvu.WP1.","ACwvu.WP1.",1,FALSE,FALSE,0.25,0.25,0.25,0.25,1,"","&amp;L&amp;D &amp;T NBW&amp;C&amp;P&amp;R&amp;F",FALSE,FALSE,FALSE,FALSE,1,100,#N/A,#N/A,FALSE,FALSE,#N/A,#N/A,FALSE,FALSE}</definedName>
    <definedName name="Z_2AB39ABB_3056_11D2_9A0A_002035671DEC_.wvu.PrintArea" localSheetId="5" hidden="1">'Accum Deprec'!$B$1:$N$62</definedName>
    <definedName name="Z_2AB39ABB_3056_11D2_9A0A_002035671DEC_.wvu.PrintArea" localSheetId="8" hidden="1">'Adj to Rate Base'!$B$1:$R$70</definedName>
    <definedName name="Z_2AB39ABB_3056_11D2_9A0A_002035671DEC_.wvu.PrintArea" localSheetId="7" hidden="1">'CWIP'!$B$1:$I$75</definedName>
    <definedName name="Z_2AB39ABB_3056_11D2_9A0A_002035671DEC_.wvu.PrintArea" localSheetId="17" hidden="1">'Divisor'!#REF!</definedName>
    <definedName name="Z_2AB39ABB_3056_11D2_9A0A_002035671DEC_.wvu.PrintArea" localSheetId="4" hidden="1">'Gross Plant'!$B$1:$N$62</definedName>
    <definedName name="Z_2AB39ABB_3056_11D2_9A0A_002035671DEC_.wvu.PrintArea" localSheetId="9" hidden="1">'Land HFFU'!$B$1:$P$55</definedName>
    <definedName name="Z_2AB39ABB_3056_11D2_9A0A_002035671DEC_.wvu.PrintArea" localSheetId="6" hidden="1">'Net Plant'!$B$1:$N$62</definedName>
    <definedName name="Z_2AB39ABB_3056_11D2_9A0A_002035671DEC_.wvu.PrintArea" localSheetId="10" hidden="1">'Working Capital'!$B$1:$P$65</definedName>
    <definedName name="Z_2EBC390F_35AC_11D2_9A0A_002035671DEC_.wvu.PrintArea" localSheetId="5" hidden="1">'Accum Deprec'!$B$1:$N$62</definedName>
    <definedName name="Z_2EBC390F_35AC_11D2_9A0A_002035671DEC_.wvu.PrintArea" localSheetId="8" hidden="1">'Adj to Rate Base'!$B$1:$R$70</definedName>
    <definedName name="Z_2EBC390F_35AC_11D2_9A0A_002035671DEC_.wvu.PrintArea" localSheetId="7" hidden="1">'CWIP'!$B$1:$I$75</definedName>
    <definedName name="Z_2EBC390F_35AC_11D2_9A0A_002035671DEC_.wvu.PrintArea" localSheetId="17" hidden="1">'Divisor'!#REF!</definedName>
    <definedName name="Z_2EBC390F_35AC_11D2_9A0A_002035671DEC_.wvu.PrintArea" localSheetId="4" hidden="1">'Gross Plant'!$B$1:$N$62</definedName>
    <definedName name="Z_2EBC390F_35AC_11D2_9A0A_002035671DEC_.wvu.PrintArea" localSheetId="9" hidden="1">'Land HFFU'!$B$1:$P$55</definedName>
    <definedName name="Z_2EBC390F_35AC_11D2_9A0A_002035671DEC_.wvu.PrintArea" localSheetId="6" hidden="1">'Net Plant'!$B$1:$N$62</definedName>
    <definedName name="Z_2EBC390F_35AC_11D2_9A0A_002035671DEC_.wvu.PrintArea" localSheetId="10" hidden="1">'Working Capital'!$B$1:$P$65</definedName>
    <definedName name="Z_695B8C1F_3695_11D2_9A0A_002035671DEC_.wvu.PrintArea" localSheetId="5" hidden="1">'Accum Deprec'!$B$1:$N$62</definedName>
    <definedName name="Z_695B8C1F_3695_11D2_9A0A_002035671DEC_.wvu.PrintArea" localSheetId="8" hidden="1">'Adj to Rate Base'!$B$1:$R$70</definedName>
    <definedName name="Z_695B8C1F_3695_11D2_9A0A_002035671DEC_.wvu.PrintArea" localSheetId="7" hidden="1">'CWIP'!$B$1:$I$75</definedName>
    <definedName name="Z_695B8C1F_3695_11D2_9A0A_002035671DEC_.wvu.PrintArea" localSheetId="17" hidden="1">'Divisor'!#REF!</definedName>
    <definedName name="Z_695B8C1F_3695_11D2_9A0A_002035671DEC_.wvu.PrintArea" localSheetId="4" hidden="1">'Gross Plant'!$B$1:$N$62</definedName>
    <definedName name="Z_695B8C1F_3695_11D2_9A0A_002035671DEC_.wvu.PrintArea" localSheetId="9" hidden="1">'Land HFFU'!$B$1:$P$55</definedName>
    <definedName name="Z_695B8C1F_3695_11D2_9A0A_002035671DEC_.wvu.PrintArea" localSheetId="6" hidden="1">'Net Plant'!$B$1:$N$62</definedName>
    <definedName name="Z_695B8C1F_3695_11D2_9A0A_002035671DEC_.wvu.PrintArea" localSheetId="10" hidden="1">'Working Capital'!$B$1:$P$65</definedName>
    <definedName name="Z_7530C500_3E4D_11D2_9A0A_002035671DEC_.wvu.PrintArea" localSheetId="5" hidden="1">'Accum Deprec'!$B$1:$N$62</definedName>
    <definedName name="Z_7530C500_3E4D_11D2_9A0A_002035671DEC_.wvu.PrintArea" localSheetId="8" hidden="1">'Adj to Rate Base'!$B$1:$R$70</definedName>
    <definedName name="Z_7530C500_3E4D_11D2_9A0A_002035671DEC_.wvu.PrintArea" localSheetId="7" hidden="1">'CWIP'!$B$1:$I$75</definedName>
    <definedName name="Z_7530C500_3E4D_11D2_9A0A_002035671DEC_.wvu.PrintArea" localSheetId="17" hidden="1">'Divisor'!#REF!</definedName>
    <definedName name="Z_7530C500_3E4D_11D2_9A0A_002035671DEC_.wvu.PrintArea" localSheetId="4" hidden="1">'Gross Plant'!$B$1:$N$62</definedName>
    <definedName name="Z_7530C500_3E4D_11D2_9A0A_002035671DEC_.wvu.PrintArea" localSheetId="9" hidden="1">'Land HFFU'!$B$1:$P$55</definedName>
    <definedName name="Z_7530C500_3E4D_11D2_9A0A_002035671DEC_.wvu.PrintArea" localSheetId="6" hidden="1">'Net Plant'!$B$1:$N$62</definedName>
    <definedName name="Z_7530C500_3E4D_11D2_9A0A_002035671DEC_.wvu.PrintArea" localSheetId="10" hidden="1">'Working Capital'!$B$1:$P$65</definedName>
    <definedName name="Z_83CCC42C_3811_11D2_9A0A_002035671DEC_.wvu.PrintArea" localSheetId="5" hidden="1">'Accum Deprec'!$B$1:$N$62</definedName>
    <definedName name="Z_83CCC42C_3811_11D2_9A0A_002035671DEC_.wvu.PrintArea" localSheetId="8" hidden="1">'Adj to Rate Base'!$B$1:$R$70</definedName>
    <definedName name="Z_83CCC42C_3811_11D2_9A0A_002035671DEC_.wvu.PrintArea" localSheetId="7" hidden="1">'CWIP'!$B$1:$I$75</definedName>
    <definedName name="Z_83CCC42C_3811_11D2_9A0A_002035671DEC_.wvu.PrintArea" localSheetId="17" hidden="1">'Divisor'!#REF!</definedName>
    <definedName name="Z_83CCC42C_3811_11D2_9A0A_002035671DEC_.wvu.PrintArea" localSheetId="4" hidden="1">'Gross Plant'!$B$1:$N$62</definedName>
    <definedName name="Z_83CCC42C_3811_11D2_9A0A_002035671DEC_.wvu.PrintArea" localSheetId="9" hidden="1">'Land HFFU'!$B$1:$P$55</definedName>
    <definedName name="Z_83CCC42C_3811_11D2_9A0A_002035671DEC_.wvu.PrintArea" localSheetId="6" hidden="1">'Net Plant'!$B$1:$N$62</definedName>
    <definedName name="Z_83CCC42C_3811_11D2_9A0A_002035671DEC_.wvu.PrintArea" localSheetId="10" hidden="1">'Working Capital'!$B$1:$P$65</definedName>
    <definedName name="Z_85FF1678_2AB5_11D2_9A0A_002035671DEC_.wvu.PrintArea" localSheetId="5" hidden="1">'Accum Deprec'!$A$1:$N$62</definedName>
    <definedName name="Z_85FF1678_2AB5_11D2_9A0A_002035671DEC_.wvu.PrintArea" localSheetId="8" hidden="1">'Adj to Rate Base'!$A$1:$R$70</definedName>
    <definedName name="Z_85FF1678_2AB5_11D2_9A0A_002035671DEC_.wvu.PrintArea" localSheetId="7" hidden="1">'CWIP'!$A$1:$I$75</definedName>
    <definedName name="Z_85FF1678_2AB5_11D2_9A0A_002035671DEC_.wvu.PrintArea" localSheetId="17" hidden="1">'Divisor'!#REF!</definedName>
    <definedName name="Z_85FF1678_2AB5_11D2_9A0A_002035671DEC_.wvu.PrintArea" localSheetId="4" hidden="1">'Gross Plant'!$A$1:$N$62</definedName>
    <definedName name="Z_85FF1678_2AB5_11D2_9A0A_002035671DEC_.wvu.PrintArea" localSheetId="9" hidden="1">'Land HFFU'!$A$1:$P$55</definedName>
    <definedName name="Z_85FF1678_2AB5_11D2_9A0A_002035671DEC_.wvu.PrintArea" localSheetId="6" hidden="1">'Net Plant'!$A$1:$N$62</definedName>
    <definedName name="Z_85FF1678_2AB5_11D2_9A0A_002035671DEC_.wvu.PrintArea" localSheetId="10" hidden="1">'Working Capital'!$A$1:$P$65</definedName>
    <definedName name="Z_85FF169C_2AB5_11D2_9A0A_002035671DEC_.wvu.PrintArea" localSheetId="5" hidden="1">'Accum Deprec'!$A$1:$N$62</definedName>
    <definedName name="Z_85FF169C_2AB5_11D2_9A0A_002035671DEC_.wvu.PrintArea" localSheetId="8" hidden="1">'Adj to Rate Base'!$A$1:$R$70</definedName>
    <definedName name="Z_85FF169C_2AB5_11D2_9A0A_002035671DEC_.wvu.PrintArea" localSheetId="7" hidden="1">'CWIP'!$A$1:$I$75</definedName>
    <definedName name="Z_85FF169C_2AB5_11D2_9A0A_002035671DEC_.wvu.PrintArea" localSheetId="17" hidden="1">'Divisor'!#REF!</definedName>
    <definedName name="Z_85FF169C_2AB5_11D2_9A0A_002035671DEC_.wvu.PrintArea" localSheetId="4" hidden="1">'Gross Plant'!$A$1:$N$62</definedName>
    <definedName name="Z_85FF169C_2AB5_11D2_9A0A_002035671DEC_.wvu.PrintArea" localSheetId="9" hidden="1">'Land HFFU'!$A$1:$P$55</definedName>
    <definedName name="Z_85FF169C_2AB5_11D2_9A0A_002035671DEC_.wvu.PrintArea" localSheetId="6" hidden="1">'Net Plant'!$A$1:$N$62</definedName>
    <definedName name="Z_85FF169C_2AB5_11D2_9A0A_002035671DEC_.wvu.PrintArea" localSheetId="10" hidden="1">'Working Capital'!$A$1:$P$65</definedName>
    <definedName name="Z_899A2362_3D94_11D2_9A0A_002035671DEC_.wvu.PrintArea" localSheetId="5" hidden="1">'Accum Deprec'!$B$1:$N$62</definedName>
    <definedName name="Z_899A2362_3D94_11D2_9A0A_002035671DEC_.wvu.PrintArea" localSheetId="8" hidden="1">'Adj to Rate Base'!$B$1:$R$70</definedName>
    <definedName name="Z_899A2362_3D94_11D2_9A0A_002035671DEC_.wvu.PrintArea" localSheetId="7" hidden="1">'CWIP'!$B$1:$I$75</definedName>
    <definedName name="Z_899A2362_3D94_11D2_9A0A_002035671DEC_.wvu.PrintArea" localSheetId="17" hidden="1">'Divisor'!#REF!</definedName>
    <definedName name="Z_899A2362_3D94_11D2_9A0A_002035671DEC_.wvu.PrintArea" localSheetId="4" hidden="1">'Gross Plant'!$B$1:$N$62</definedName>
    <definedName name="Z_899A2362_3D94_11D2_9A0A_002035671DEC_.wvu.PrintArea" localSheetId="9" hidden="1">'Land HFFU'!$B$1:$P$55</definedName>
    <definedName name="Z_899A2362_3D94_11D2_9A0A_002035671DEC_.wvu.PrintArea" localSheetId="6" hidden="1">'Net Plant'!$B$1:$N$62</definedName>
    <definedName name="Z_899A2362_3D94_11D2_9A0A_002035671DEC_.wvu.PrintArea" localSheetId="10" hidden="1">'Working Capital'!$B$1:$P$65</definedName>
    <definedName name="Z_96F833DF_38CF_11D2_9A0A_002035671DEC_.wvu.PrintArea" localSheetId="5" hidden="1">'Accum Deprec'!$B$1:$N$62</definedName>
    <definedName name="Z_96F833DF_38CF_11D2_9A0A_002035671DEC_.wvu.PrintArea" localSheetId="8" hidden="1">'Adj to Rate Base'!$B$1:$R$70</definedName>
    <definedName name="Z_96F833DF_38CF_11D2_9A0A_002035671DEC_.wvu.PrintArea" localSheetId="7" hidden="1">'CWIP'!$B$1:$I$75</definedName>
    <definedName name="Z_96F833DF_38CF_11D2_9A0A_002035671DEC_.wvu.PrintArea" localSheetId="17" hidden="1">'Divisor'!#REF!</definedName>
    <definedName name="Z_96F833DF_38CF_11D2_9A0A_002035671DEC_.wvu.PrintArea" localSheetId="4" hidden="1">'Gross Plant'!$B$1:$N$62</definedName>
    <definedName name="Z_96F833DF_38CF_11D2_9A0A_002035671DEC_.wvu.PrintArea" localSheetId="9" hidden="1">'Land HFFU'!$B$1:$P$55</definedName>
    <definedName name="Z_96F833DF_38CF_11D2_9A0A_002035671DEC_.wvu.PrintArea" localSheetId="6" hidden="1">'Net Plant'!$B$1:$N$62</definedName>
    <definedName name="Z_96F833DF_38CF_11D2_9A0A_002035671DEC_.wvu.PrintArea" localSheetId="10" hidden="1">'Working Capital'!$B$1:$P$65</definedName>
    <definedName name="Z_A82EF67A_30F0_11D2_9A0A_002035671DEC_.wvu.PrintArea" localSheetId="5" hidden="1">'Accum Deprec'!$B$1:$N$62</definedName>
    <definedName name="Z_A82EF67A_30F0_11D2_9A0A_002035671DEC_.wvu.PrintArea" localSheetId="8" hidden="1">'Adj to Rate Base'!$B$1:$R$70</definedName>
    <definedName name="Z_A82EF67A_30F0_11D2_9A0A_002035671DEC_.wvu.PrintArea" localSheetId="7" hidden="1">'CWIP'!$B$1:$I$75</definedName>
    <definedName name="Z_A82EF67A_30F0_11D2_9A0A_002035671DEC_.wvu.PrintArea" localSheetId="17" hidden="1">'Divisor'!#REF!</definedName>
    <definedName name="Z_A82EF67A_30F0_11D2_9A0A_002035671DEC_.wvu.PrintArea" localSheetId="4" hidden="1">'Gross Plant'!$B$1:$N$62</definedName>
    <definedName name="Z_A82EF67A_30F0_11D2_9A0A_002035671DEC_.wvu.PrintArea" localSheetId="9" hidden="1">'Land HFFU'!$B$1:$P$55</definedName>
    <definedName name="Z_A82EF67A_30F0_11D2_9A0A_002035671DEC_.wvu.PrintArea" localSheetId="6" hidden="1">'Net Plant'!$B$1:$N$62</definedName>
    <definedName name="Z_A82EF67A_30F0_11D2_9A0A_002035671DEC_.wvu.PrintArea" localSheetId="10" hidden="1">'Working Capital'!$B$1:$P$65</definedName>
    <definedName name="Z_B219561F_35C5_11D2_9A0A_002035671DEC_.wvu.PrintArea" localSheetId="5" hidden="1">'Accum Deprec'!$B$1:$N$62</definedName>
    <definedName name="Z_B219561F_35C5_11D2_9A0A_002035671DEC_.wvu.PrintArea" localSheetId="8" hidden="1">'Adj to Rate Base'!$B$1:$R$70</definedName>
    <definedName name="Z_B219561F_35C5_11D2_9A0A_002035671DEC_.wvu.PrintArea" localSheetId="7" hidden="1">'CWIP'!$B$1:$I$75</definedName>
    <definedName name="Z_B219561F_35C5_11D2_9A0A_002035671DEC_.wvu.PrintArea" localSheetId="17" hidden="1">'Divisor'!#REF!</definedName>
    <definedName name="Z_B219561F_35C5_11D2_9A0A_002035671DEC_.wvu.PrintArea" localSheetId="4" hidden="1">'Gross Plant'!$B$1:$N$62</definedName>
    <definedName name="Z_B219561F_35C5_11D2_9A0A_002035671DEC_.wvu.PrintArea" localSheetId="9" hidden="1">'Land HFFU'!$B$1:$P$55</definedName>
    <definedName name="Z_B219561F_35C5_11D2_9A0A_002035671DEC_.wvu.PrintArea" localSheetId="6" hidden="1">'Net Plant'!$B$1:$N$62</definedName>
    <definedName name="Z_B219561F_35C5_11D2_9A0A_002035671DEC_.wvu.PrintArea" localSheetId="10" hidden="1">'Working Capital'!$B$1:$P$65</definedName>
    <definedName name="Z_B6920318_2AE7_11D2_9A0A_002035671DEC_.wvu.PrintArea" localSheetId="5" hidden="1">'Accum Deprec'!$A$1:$N$62</definedName>
    <definedName name="Z_B6920318_2AE7_11D2_9A0A_002035671DEC_.wvu.PrintArea" localSheetId="8" hidden="1">'Adj to Rate Base'!$A$1:$R$70</definedName>
    <definedName name="Z_B6920318_2AE7_11D2_9A0A_002035671DEC_.wvu.PrintArea" localSheetId="7" hidden="1">'CWIP'!$A$1:$I$75</definedName>
    <definedName name="Z_B6920318_2AE7_11D2_9A0A_002035671DEC_.wvu.PrintArea" localSheetId="17" hidden="1">'Divisor'!#REF!</definedName>
    <definedName name="Z_B6920318_2AE7_11D2_9A0A_002035671DEC_.wvu.PrintArea" localSheetId="4" hidden="1">'Gross Plant'!$A$1:$N$62</definedName>
    <definedName name="Z_B6920318_2AE7_11D2_9A0A_002035671DEC_.wvu.PrintArea" localSheetId="9" hidden="1">'Land HFFU'!$A$1:$P$55</definedName>
    <definedName name="Z_B6920318_2AE7_11D2_9A0A_002035671DEC_.wvu.PrintArea" localSheetId="6" hidden="1">'Net Plant'!$A$1:$N$62</definedName>
    <definedName name="Z_B6920318_2AE7_11D2_9A0A_002035671DEC_.wvu.PrintArea" localSheetId="10" hidden="1">'Working Capital'!$A$1:$P$65</definedName>
    <definedName name="Z_B7219758_2F65_11D2_9A0A_002035671DEC_.wvu.PrintArea" localSheetId="5" hidden="1">'Accum Deprec'!$A$1:$N$62</definedName>
    <definedName name="Z_B7219758_2F65_11D2_9A0A_002035671DEC_.wvu.PrintArea" localSheetId="8" hidden="1">'Adj to Rate Base'!$A$1:$R$70</definedName>
    <definedName name="Z_B7219758_2F65_11D2_9A0A_002035671DEC_.wvu.PrintArea" localSheetId="7" hidden="1">'CWIP'!$A$1:$I$75</definedName>
    <definedName name="Z_B7219758_2F65_11D2_9A0A_002035671DEC_.wvu.PrintArea" localSheetId="17" hidden="1">'Divisor'!#REF!</definedName>
    <definedName name="Z_B7219758_2F65_11D2_9A0A_002035671DEC_.wvu.PrintArea" localSheetId="4" hidden="1">'Gross Plant'!$A$1:$N$62</definedName>
    <definedName name="Z_B7219758_2F65_11D2_9A0A_002035671DEC_.wvu.PrintArea" localSheetId="9" hidden="1">'Land HFFU'!$A$1:$P$55</definedName>
    <definedName name="Z_B7219758_2F65_11D2_9A0A_002035671DEC_.wvu.PrintArea" localSheetId="6" hidden="1">'Net Plant'!$A$1:$N$62</definedName>
    <definedName name="Z_B7219758_2F65_11D2_9A0A_002035671DEC_.wvu.PrintArea" localSheetId="10" hidden="1">'Working Capital'!$A$1:$P$65</definedName>
    <definedName name="Z_B8997BC0_3CD6_11D2_9A0A_002035671DEC_.wvu.PrintArea" localSheetId="5" hidden="1">'Accum Deprec'!$B$1:$N$62</definedName>
    <definedName name="Z_B8997BC0_3CD6_11D2_9A0A_002035671DEC_.wvu.PrintArea" localSheetId="8" hidden="1">'Adj to Rate Base'!$B$1:$R$70</definedName>
    <definedName name="Z_B8997BC0_3CD6_11D2_9A0A_002035671DEC_.wvu.PrintArea" localSheetId="7" hidden="1">'CWIP'!$B$1:$I$75</definedName>
    <definedName name="Z_B8997BC0_3CD6_11D2_9A0A_002035671DEC_.wvu.PrintArea" localSheetId="17" hidden="1">'Divisor'!#REF!</definedName>
    <definedName name="Z_B8997BC0_3CD6_11D2_9A0A_002035671DEC_.wvu.PrintArea" localSheetId="4" hidden="1">'Gross Plant'!$B$1:$N$62</definedName>
    <definedName name="Z_B8997BC0_3CD6_11D2_9A0A_002035671DEC_.wvu.PrintArea" localSheetId="9" hidden="1">'Land HFFU'!$B$1:$P$55</definedName>
    <definedName name="Z_B8997BC0_3CD6_11D2_9A0A_002035671DEC_.wvu.PrintArea" localSheetId="6" hidden="1">'Net Plant'!$B$1:$N$62</definedName>
    <definedName name="Z_B8997BC0_3CD6_11D2_9A0A_002035671DEC_.wvu.PrintArea" localSheetId="10" hidden="1">'Working Capital'!$B$1:$P$65</definedName>
    <definedName name="Z_D20BDA67_374C_11D2_9A0A_002035671DEC_.wvu.PrintArea" localSheetId="5" hidden="1">'Accum Deprec'!$B$1:$N$62</definedName>
    <definedName name="Z_D20BDA67_374C_11D2_9A0A_002035671DEC_.wvu.PrintArea" localSheetId="8" hidden="1">'Adj to Rate Base'!$B$1:$R$70</definedName>
    <definedName name="Z_D20BDA67_374C_11D2_9A0A_002035671DEC_.wvu.PrintArea" localSheetId="7" hidden="1">'CWIP'!$B$1:$I$75</definedName>
    <definedName name="Z_D20BDA67_374C_11D2_9A0A_002035671DEC_.wvu.PrintArea" localSheetId="17" hidden="1">'Divisor'!#REF!</definedName>
    <definedName name="Z_D20BDA67_374C_11D2_9A0A_002035671DEC_.wvu.PrintArea" localSheetId="4" hidden="1">'Gross Plant'!$B$1:$N$62</definedName>
    <definedName name="Z_D20BDA67_374C_11D2_9A0A_002035671DEC_.wvu.PrintArea" localSheetId="9" hidden="1">'Land HFFU'!$B$1:$P$55</definedName>
    <definedName name="Z_D20BDA67_374C_11D2_9A0A_002035671DEC_.wvu.PrintArea" localSheetId="6" hidden="1">'Net Plant'!$B$1:$N$62</definedName>
    <definedName name="Z_D20BDA67_374C_11D2_9A0A_002035671DEC_.wvu.PrintArea" localSheetId="10" hidden="1">'Working Capital'!$B$1:$P$65</definedName>
    <definedName name="Z_D7887CBF_30F6_11D2_9A0A_002035671DEC_.wvu.PrintArea" localSheetId="5" hidden="1">'Accum Deprec'!$B$1:$N$62</definedName>
    <definedName name="Z_D7887CBF_30F6_11D2_9A0A_002035671DEC_.wvu.PrintArea" localSheetId="8" hidden="1">'Adj to Rate Base'!$B$1:$R$70</definedName>
    <definedName name="Z_D7887CBF_30F6_11D2_9A0A_002035671DEC_.wvu.PrintArea" localSheetId="7" hidden="1">'CWIP'!$B$1:$I$75</definedName>
    <definedName name="Z_D7887CBF_30F6_11D2_9A0A_002035671DEC_.wvu.PrintArea" localSheetId="17" hidden="1">'Divisor'!#REF!</definedName>
    <definedName name="Z_D7887CBF_30F6_11D2_9A0A_002035671DEC_.wvu.PrintArea" localSheetId="4" hidden="1">'Gross Plant'!$B$1:$N$62</definedName>
    <definedName name="Z_D7887CBF_30F6_11D2_9A0A_002035671DEC_.wvu.PrintArea" localSheetId="9" hidden="1">'Land HFFU'!$B$1:$P$55</definedName>
    <definedName name="Z_D7887CBF_30F6_11D2_9A0A_002035671DEC_.wvu.PrintArea" localSheetId="6" hidden="1">'Net Plant'!$B$1:$N$62</definedName>
    <definedName name="Z_D7887CBF_30F6_11D2_9A0A_002035671DEC_.wvu.PrintArea" localSheetId="10" hidden="1">'Working Capital'!$B$1:$P$65</definedName>
    <definedName name="Z_DBF8361F_30FA_11D2_9A0A_002035671DEC_.wvu.PrintArea" localSheetId="5" hidden="1">'Accum Deprec'!$B$1:$N$62</definedName>
    <definedName name="Z_DBF8361F_30FA_11D2_9A0A_002035671DEC_.wvu.PrintArea" localSheetId="8" hidden="1">'Adj to Rate Base'!$B$1:$R$70</definedName>
    <definedName name="Z_DBF8361F_30FA_11D2_9A0A_002035671DEC_.wvu.PrintArea" localSheetId="7" hidden="1">'CWIP'!$B$1:$I$75</definedName>
    <definedName name="Z_DBF8361F_30FA_11D2_9A0A_002035671DEC_.wvu.PrintArea" localSheetId="17" hidden="1">'Divisor'!#REF!</definedName>
    <definedName name="Z_DBF8361F_30FA_11D2_9A0A_002035671DEC_.wvu.PrintArea" localSheetId="4" hidden="1">'Gross Plant'!$B$1:$N$62</definedName>
    <definedName name="Z_DBF8361F_30FA_11D2_9A0A_002035671DEC_.wvu.PrintArea" localSheetId="9" hidden="1">'Land HFFU'!$B$1:$P$55</definedName>
    <definedName name="Z_DBF8361F_30FA_11D2_9A0A_002035671DEC_.wvu.PrintArea" localSheetId="6" hidden="1">'Net Plant'!$B$1:$N$62</definedName>
    <definedName name="Z_DBF8361F_30FA_11D2_9A0A_002035671DEC_.wvu.PrintArea" localSheetId="10" hidden="1">'Working Capital'!$B$1:$P$65</definedName>
    <definedName name="Z_E400ADB6_2875_11D2_9A0A_002035671DEC_.wvu.PrintArea" localSheetId="5" hidden="1">'Accum Deprec'!$A$1:$N$62</definedName>
    <definedName name="Z_E400ADB6_2875_11D2_9A0A_002035671DEC_.wvu.PrintArea" localSheetId="8" hidden="1">'Adj to Rate Base'!$A$1:$R$70</definedName>
    <definedName name="Z_E400ADB6_2875_11D2_9A0A_002035671DEC_.wvu.PrintArea" localSheetId="7" hidden="1">'CWIP'!$A$1:$I$75</definedName>
    <definedName name="Z_E400ADB6_2875_11D2_9A0A_002035671DEC_.wvu.PrintArea" localSheetId="17" hidden="1">'Divisor'!#REF!</definedName>
    <definedName name="Z_E400ADB6_2875_11D2_9A0A_002035671DEC_.wvu.PrintArea" localSheetId="4" hidden="1">'Gross Plant'!$A$1:$N$62</definedName>
    <definedName name="Z_E400ADB6_2875_11D2_9A0A_002035671DEC_.wvu.PrintArea" localSheetId="9" hidden="1">'Land HFFU'!$A$1:$P$55</definedName>
    <definedName name="Z_E400ADB6_2875_11D2_9A0A_002035671DEC_.wvu.PrintArea" localSheetId="6" hidden="1">'Net Plant'!$A$1:$N$62</definedName>
    <definedName name="Z_E400ADB6_2875_11D2_9A0A_002035671DEC_.wvu.PrintArea" localSheetId="10" hidden="1">'Working Capital'!$A$1:$P$65</definedName>
    <definedName name="Z_E400ADFD_2875_11D2_9A0A_002035671DEC_.wvu.PrintArea" localSheetId="5" hidden="1">'Accum Deprec'!$A$1:$N$62</definedName>
    <definedName name="Z_E400ADFD_2875_11D2_9A0A_002035671DEC_.wvu.PrintArea" localSheetId="8" hidden="1">'Adj to Rate Base'!$A$1:$R$70</definedName>
    <definedName name="Z_E400ADFD_2875_11D2_9A0A_002035671DEC_.wvu.PrintArea" localSheetId="7" hidden="1">'CWIP'!$A$1:$I$75</definedName>
    <definedName name="Z_E400ADFD_2875_11D2_9A0A_002035671DEC_.wvu.PrintArea" localSheetId="17" hidden="1">'Divisor'!#REF!</definedName>
    <definedName name="Z_E400ADFD_2875_11D2_9A0A_002035671DEC_.wvu.PrintArea" localSheetId="4" hidden="1">'Gross Plant'!$A$1:$N$62</definedName>
    <definedName name="Z_E400ADFD_2875_11D2_9A0A_002035671DEC_.wvu.PrintArea" localSheetId="9" hidden="1">'Land HFFU'!$A$1:$P$55</definedName>
    <definedName name="Z_E400ADFD_2875_11D2_9A0A_002035671DEC_.wvu.PrintArea" localSheetId="6" hidden="1">'Net Plant'!$A$1:$N$62</definedName>
    <definedName name="Z_E400ADFD_2875_11D2_9A0A_002035671DEC_.wvu.PrintArea" localSheetId="10" hidden="1">'Working Capital'!$A$1:$P$65</definedName>
    <definedName name="Z_E400AE47_2875_11D2_9A0A_002035671DEC_.wvu.PrintArea" localSheetId="5" hidden="1">'Accum Deprec'!$A$1:$N$62</definedName>
    <definedName name="Z_E400AE47_2875_11D2_9A0A_002035671DEC_.wvu.PrintArea" localSheetId="8" hidden="1">'Adj to Rate Base'!$A$1:$R$70</definedName>
    <definedName name="Z_E400AE47_2875_11D2_9A0A_002035671DEC_.wvu.PrintArea" localSheetId="7" hidden="1">'CWIP'!$A$1:$I$75</definedName>
    <definedName name="Z_E400AE47_2875_11D2_9A0A_002035671DEC_.wvu.PrintArea" localSheetId="17" hidden="1">'Divisor'!#REF!</definedName>
    <definedName name="Z_E400AE47_2875_11D2_9A0A_002035671DEC_.wvu.PrintArea" localSheetId="4" hidden="1">'Gross Plant'!$A$1:$N$62</definedName>
    <definedName name="Z_E400AE47_2875_11D2_9A0A_002035671DEC_.wvu.PrintArea" localSheetId="9" hidden="1">'Land HFFU'!$A$1:$P$55</definedName>
    <definedName name="Z_E400AE47_2875_11D2_9A0A_002035671DEC_.wvu.PrintArea" localSheetId="6" hidden="1">'Net Plant'!$A$1:$N$62</definedName>
    <definedName name="Z_E400AE47_2875_11D2_9A0A_002035671DEC_.wvu.PrintArea" localSheetId="10" hidden="1">'Working Capital'!$A$1:$P$65</definedName>
  </definedNames>
  <calcPr fullCalcOnLoad="1"/>
</workbook>
</file>

<file path=xl/comments19.xml><?xml version="1.0" encoding="utf-8"?>
<comments xmlns="http://schemas.openxmlformats.org/spreadsheetml/2006/main">
  <authors>
    <author>Thomas Kramer</author>
  </authors>
  <commentList>
    <comment ref="A4" authorId="0">
      <text>
        <r>
          <rPr>
            <b/>
            <sz val="8"/>
            <rFont val="Tahoma"/>
            <family val="0"/>
          </rPr>
          <t>Thomas Kramer:</t>
        </r>
        <r>
          <rPr>
            <sz val="8"/>
            <rFont val="Tahoma"/>
            <family val="0"/>
          </rPr>
          <t xml:space="preserve">
No change in this information. Same a was calculated in 2012 TY Attachment O</t>
        </r>
      </text>
    </comment>
  </commentList>
</comments>
</file>

<file path=xl/comments20.xml><?xml version="1.0" encoding="utf-8"?>
<comments xmlns="http://schemas.openxmlformats.org/spreadsheetml/2006/main">
  <authors>
    <author>Thomas Kramer</author>
  </authors>
  <commentList>
    <comment ref="A4" authorId="0">
      <text>
        <r>
          <rPr>
            <b/>
            <sz val="8"/>
            <rFont val="Tahoma"/>
            <family val="0"/>
          </rPr>
          <t>Thomas Kramer:</t>
        </r>
        <r>
          <rPr>
            <sz val="8"/>
            <rFont val="Tahoma"/>
            <family val="0"/>
          </rPr>
          <t xml:space="preserve">
No change in this information. Same a was calculated in 2012 TY Attachment O</t>
        </r>
      </text>
    </comment>
  </commentList>
</comments>
</file>

<file path=xl/comments5.xml><?xml version="1.0" encoding="utf-8"?>
<comments xmlns="http://schemas.openxmlformats.org/spreadsheetml/2006/main">
  <authors>
    <author>Thomas Kramer</author>
  </authors>
  <commentList>
    <comment ref="D52" authorId="0">
      <text>
        <r>
          <rPr>
            <b/>
            <sz val="8"/>
            <rFont val="Tahoma"/>
            <family val="0"/>
          </rPr>
          <t>Thomas Kramer:</t>
        </r>
        <r>
          <rPr>
            <sz val="8"/>
            <rFont val="Tahoma"/>
            <family val="0"/>
          </rPr>
          <t xml:space="preserve">
Excludes ARO</t>
        </r>
      </text>
    </comment>
    <comment ref="H52" authorId="0">
      <text>
        <r>
          <rPr>
            <b/>
            <sz val="8"/>
            <rFont val="Tahoma"/>
            <family val="0"/>
          </rPr>
          <t>Thomas Kramer:</t>
        </r>
        <r>
          <rPr>
            <sz val="8"/>
            <rFont val="Tahoma"/>
            <family val="0"/>
          </rPr>
          <t xml:space="preserve">
Excludes ARO
</t>
        </r>
      </text>
    </comment>
  </commentList>
</comments>
</file>

<file path=xl/comments6.xml><?xml version="1.0" encoding="utf-8"?>
<comments xmlns="http://schemas.openxmlformats.org/spreadsheetml/2006/main">
  <authors>
    <author>Thomas Kramer</author>
  </authors>
  <commentList>
    <comment ref="H52" authorId="0">
      <text>
        <r>
          <rPr>
            <b/>
            <sz val="8"/>
            <rFont val="Tahoma"/>
            <family val="0"/>
          </rPr>
          <t>Thomas Kramer:</t>
        </r>
        <r>
          <rPr>
            <sz val="8"/>
            <rFont val="Tahoma"/>
            <family val="0"/>
          </rPr>
          <t xml:space="preserve">
Excludes ARC balances</t>
        </r>
      </text>
    </comment>
    <comment ref="D52" authorId="0">
      <text>
        <r>
          <rPr>
            <b/>
            <sz val="8"/>
            <rFont val="Tahoma"/>
            <family val="0"/>
          </rPr>
          <t>Thomas Kramer:</t>
        </r>
        <r>
          <rPr>
            <sz val="8"/>
            <rFont val="Tahoma"/>
            <family val="0"/>
          </rPr>
          <t xml:space="preserve">
Excludes ARC balances</t>
        </r>
      </text>
    </comment>
  </commentList>
</comments>
</file>

<file path=xl/comments9.xml><?xml version="1.0" encoding="utf-8"?>
<comments xmlns="http://schemas.openxmlformats.org/spreadsheetml/2006/main">
  <authors>
    <author>Thomas Kramer</author>
  </authors>
  <commentList>
    <comment ref="L8" authorId="0">
      <text>
        <r>
          <rPr>
            <b/>
            <sz val="8"/>
            <rFont val="Tahoma"/>
            <family val="0"/>
          </rPr>
          <t>Thomas Kramer:</t>
        </r>
        <r>
          <rPr>
            <sz val="8"/>
            <rFont val="Tahoma"/>
            <family val="0"/>
          </rPr>
          <t xml:space="preserve">
Not Applicable to NSP </t>
        </r>
      </text>
    </comment>
    <comment ref="P37" authorId="0">
      <text>
        <r>
          <rPr>
            <b/>
            <sz val="8"/>
            <rFont val="Tahoma"/>
            <family val="0"/>
          </rPr>
          <t>Thomas Kramer:</t>
        </r>
        <r>
          <rPr>
            <sz val="8"/>
            <rFont val="Tahoma"/>
            <family val="0"/>
          </rPr>
          <t xml:space="preserve">
Amounts should be nagative values</t>
        </r>
      </text>
    </comment>
  </commentList>
</comments>
</file>

<file path=xl/sharedStrings.xml><?xml version="1.0" encoding="utf-8"?>
<sst xmlns="http://schemas.openxmlformats.org/spreadsheetml/2006/main" count="1432" uniqueCount="702">
  <si>
    <t>The lower net revenue requirements were a function of lower gross revenue requirements of ($11.3M) and actual revenue credits being higher than budget by ($1.0M). The lower amount of revenue credit was attributed to lower actual point to point service revenues than the levels anticipated in the budget.</t>
  </si>
  <si>
    <t>The lower gross revenue requirement was due to a lower actual depreciation costs of  ($5.0M), lower net A&amp;G costs ($2.6M), lower transmission operating costs ($1.7M), lower return requirement ($1.5M), higher levels of Attachment GG &amp; Attachment MM revenue requirements ($2.3M), and slightly lower income taxes ($0.7M). These decreases were partially offset by higher actual taxes other than income (primarily property taxes) of $2.5M.</t>
  </si>
  <si>
    <t>The lower overall return ($1.5M) is the net effect of a decrease in the overall weighted cost of capital offset by a slight increase in net rate base. The decrease in the weighted cost of capital for 2012 (discussed below) lowered the return requirement by approximately ($1.6M). Offsetting this return reduction was the slight increased return requirement of approximately $0.1M on the overall increase in Rate Base of $0.4M.</t>
  </si>
  <si>
    <t>The higher rate base was due to higher net plant $59.3M and working capital (primarily Prepayments) $5.5M offset by a lower CWIP associated with the timing of the Bemidji and Fargo CapX2020 projects ($32.7M) and a higher level of adjustments to rate base, primarily deferred taxes $31.7M, which is a credit to rate base.</t>
  </si>
  <si>
    <t>The decrease in the weighted cost of capital for 2012 of (0.11%) (9.21% actual compared to the budget level of 9.32%) was made up of (0.09%) related lower actual equity percentage than budget (53.43% actual compared to 54.16% budget) and (0.02%) related to the lower cost of debt (6.61% actual compared to 6.71% budget).</t>
  </si>
  <si>
    <t xml:space="preserve">The unfavorable deviation in the actual transmission usage (72k) is due to lower RQ service volumes (66k) and slightly lower than planned Network loads of (6k).   </t>
  </si>
  <si>
    <t>Structures</t>
  </si>
  <si>
    <t>Preferred Stock</t>
  </si>
  <si>
    <t>Common Equity</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</si>
  <si>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</si>
  <si>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</si>
  <si>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</si>
  <si>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</si>
  <si>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</si>
  <si>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</si>
  <si>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</si>
  <si>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</si>
  <si>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</si>
  <si>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</si>
  <si>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</si>
  <si>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</si>
  <si>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</si>
  <si>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</si>
  <si>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</si>
  <si>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</si>
  <si>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</si>
  <si>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</si>
  <si>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</si>
  <si>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</si>
  <si>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</si>
  <si>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</si>
  <si>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</si>
  <si>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</si>
  <si>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</si>
  <si>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</si>
  <si>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</si>
  <si>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</si>
  <si>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</si>
  <si>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</si>
  <si>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</si>
  <si>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</si>
  <si>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</si>
  <si>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</si>
  <si>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</si>
  <si>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</si>
  <si>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</si>
  <si>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</si>
  <si>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</si>
  <si>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</si>
  <si>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</si>
  <si>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</si>
  <si>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</si>
  <si>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</si>
  <si>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</si>
  <si>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</si>
  <si>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</si>
  <si>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</si>
  <si>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</si>
  <si>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</si>
  <si>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</si>
  <si>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</si>
  <si>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</si>
  <si>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</si>
  <si>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Account 565 - Transmission of Electricity by Others</t>
  </si>
  <si>
    <t xml:space="preserve">          TOTAL NET TRANSMISSION EXPENSE</t>
  </si>
  <si>
    <t>Regulatory Commission Expenses -  Retail Related</t>
  </si>
  <si>
    <t>Regulatory Commission Expenses -  Transmission Related</t>
  </si>
  <si>
    <t>General Advertising Expenses</t>
  </si>
  <si>
    <t>Miscellaneous General Expense - Other</t>
  </si>
  <si>
    <t xml:space="preserve">          NET ADMINISTRATIVE AND GENERAL EXPENSE</t>
  </si>
  <si>
    <t xml:space="preserve">         TOTAL O&amp;M EXPENSE</t>
  </si>
  <si>
    <t>Payroll Taxes</t>
  </si>
  <si>
    <t>Highway and Vehicle</t>
  </si>
  <si>
    <t>Property Taxes</t>
  </si>
  <si>
    <t>Gross Receipts</t>
  </si>
  <si>
    <t>Payments in Lieu of Taxes</t>
  </si>
  <si>
    <t>Taxes Other Than Income Taxes and Investment Tax Credit</t>
  </si>
  <si>
    <t>Investment Tax Credit Amortized</t>
  </si>
  <si>
    <t>Supporting Calculations for Allocation Factors</t>
  </si>
  <si>
    <t>Transmission Plant Included in OATT Ancillary Services</t>
  </si>
  <si>
    <t>Transmission Plant Excluded from ISO Rates</t>
  </si>
  <si>
    <t>Transmission Plant Allocation Factor (TP)</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</si>
  <si>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</si>
  <si>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</si>
  <si>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</si>
  <si>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</si>
  <si>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</si>
  <si>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Transmission Expense Allocation Factor (TE)</t>
  </si>
  <si>
    <t>Wages &amp; Salaries Allocation Factor (W/S)</t>
  </si>
  <si>
    <t>Total Wages &amp; Salaries</t>
  </si>
  <si>
    <t>Common Plant Allocation Factor (CE)</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</si>
  <si>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</si>
  <si>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</si>
  <si>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</si>
  <si>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</si>
  <si>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</si>
  <si>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</si>
  <si>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</si>
  <si>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</si>
  <si>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</si>
  <si>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</si>
  <si>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</si>
  <si>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</si>
  <si>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</si>
  <si>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</si>
  <si>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</si>
  <si>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</si>
  <si>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</si>
  <si>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</si>
  <si>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</si>
  <si>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</si>
  <si>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</si>
  <si>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</si>
  <si>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</si>
  <si>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</si>
  <si>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</si>
  <si>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</si>
  <si>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</si>
  <si>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</si>
  <si>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</si>
  <si>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</si>
  <si>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</si>
  <si>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</si>
  <si>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</si>
  <si>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</si>
  <si>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</si>
  <si>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</si>
  <si>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</si>
  <si>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</si>
  <si>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</si>
  <si>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</si>
  <si>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</si>
  <si>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</si>
  <si>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</si>
  <si>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</si>
  <si>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</si>
  <si>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</si>
  <si>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</si>
  <si>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</si>
  <si>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</si>
  <si>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</si>
  <si>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</si>
  <si>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</si>
  <si>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</si>
  <si>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</si>
  <si>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</si>
  <si>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</si>
  <si>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</si>
  <si>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</si>
  <si>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</si>
  <si>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</si>
  <si>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Other</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</si>
  <si>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</si>
  <si>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</si>
  <si>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</si>
  <si>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</si>
  <si>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</si>
  <si>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</si>
  <si>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</si>
  <si>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</si>
  <si>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</si>
  <si>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</si>
  <si>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</si>
  <si>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</si>
  <si>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</si>
  <si>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</si>
  <si>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</si>
  <si>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</si>
  <si>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</si>
  <si>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 xml:space="preserve">          TOTAL ADMINISTRATIVE AND GENERAL</t>
  </si>
  <si>
    <t>Transmission of Electricity by Others</t>
  </si>
  <si>
    <t>Depreciation and Amortization Expense</t>
  </si>
  <si>
    <t xml:space="preserve">Account </t>
  </si>
  <si>
    <t>Balance</t>
  </si>
  <si>
    <t>Taxes Other Than Income Taxes</t>
  </si>
  <si>
    <t>Less Exsclusions</t>
  </si>
  <si>
    <t>Construction Work in Progress</t>
  </si>
  <si>
    <t>Chisago</t>
  </si>
  <si>
    <t>Apple River</t>
  </si>
  <si>
    <t>CapX 2020</t>
  </si>
  <si>
    <t>Key Assumptions:</t>
  </si>
  <si>
    <t>For each project, where CWIP is to be recovered in rate base, CWIP will be estimated and the totals reported below.</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</si>
  <si>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</si>
  <si>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</si>
  <si>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</si>
  <si>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February 2008</t>
  </si>
  <si>
    <t>Estimated In-Service Date</t>
  </si>
  <si>
    <t>December 2012</t>
  </si>
  <si>
    <t>Construction Work in Progress Balances in Formula</t>
  </si>
  <si>
    <t>CWIP</t>
  </si>
  <si>
    <t>SubTotal</t>
  </si>
  <si>
    <t>General &amp;</t>
  </si>
  <si>
    <t xml:space="preserve">General &amp; </t>
  </si>
  <si>
    <t>BOY/EOY Average</t>
  </si>
  <si>
    <t>Net BOY/EOY Average</t>
  </si>
  <si>
    <t>December 2010</t>
  </si>
  <si>
    <t>Net Plant</t>
  </si>
  <si>
    <t>Revenue Credits</t>
  </si>
  <si>
    <t>a.</t>
  </si>
  <si>
    <t>Bundled Non-RQ Sales for Resale</t>
  </si>
  <si>
    <t>b.</t>
  </si>
  <si>
    <t>Bundled Sales for Resale included in the Divisor</t>
  </si>
  <si>
    <t>Total Account 447</t>
  </si>
  <si>
    <t>Account 454 - Rent From Electric Property</t>
  </si>
  <si>
    <t>Account 456 - Other Electric Revenue</t>
  </si>
  <si>
    <t>Transmission charges for all transmission transactions</t>
  </si>
  <si>
    <t>Total Account 456</t>
  </si>
  <si>
    <t>Divisor (kW)</t>
  </si>
  <si>
    <t>Plus:</t>
  </si>
  <si>
    <t>System Peak</t>
  </si>
  <si>
    <t>Network</t>
  </si>
  <si>
    <t>Load</t>
  </si>
  <si>
    <t>Divisor</t>
  </si>
  <si>
    <t>12 Month Average</t>
  </si>
  <si>
    <t>Abandon Plant Amortization</t>
  </si>
  <si>
    <t>Total Common</t>
  </si>
  <si>
    <t xml:space="preserve">     Account 561.0 - Load Dispatching</t>
  </si>
  <si>
    <t>Transmission-Related Rent (JDE 801698.517900)</t>
  </si>
  <si>
    <t>Accum Def ITC</t>
  </si>
  <si>
    <t xml:space="preserve">Less: </t>
  </si>
  <si>
    <t>Account 447 - Sales for Resale (Note Q)</t>
  </si>
  <si>
    <t>Note Q:</t>
  </si>
  <si>
    <t>c.</t>
  </si>
  <si>
    <t>Transmission charges associated with Schedule 26</t>
  </si>
  <si>
    <t>The State Commission Approved Certificate of Need Date will be the first month that the CWIP project will be included in the formula and used to calculate the 13 mo average.</t>
  </si>
  <si>
    <t>May 2009</t>
  </si>
  <si>
    <t xml:space="preserve">Allocated to Transmission based on </t>
  </si>
  <si>
    <t>NSP-MN Net Plant in Service</t>
  </si>
  <si>
    <t>NSP-Wi Net Plant in Service</t>
  </si>
  <si>
    <t>FERC Form 1 Pg 200, ln 15-c</t>
  </si>
  <si>
    <t>FERC Form 1 Pg 201, ln 15-d</t>
  </si>
  <si>
    <t>GRE Load</t>
  </si>
  <si>
    <t>Pg 400 (e)</t>
  </si>
  <si>
    <t>Footnote for (e)</t>
  </si>
  <si>
    <t>RQ Load</t>
  </si>
  <si>
    <t>Pg 400 (f)</t>
  </si>
  <si>
    <t>Northern States Power Companies</t>
  </si>
  <si>
    <t>Attachment O</t>
  </si>
  <si>
    <t xml:space="preserve">Plus Transmission Related Reg. Comm.  Exp. </t>
  </si>
  <si>
    <t>*</t>
  </si>
  <si>
    <t>Transmission Prefunded Amortization FERC 405 (*)</t>
  </si>
  <si>
    <t>Pre-Funded AFUDC (*)</t>
  </si>
  <si>
    <t>(*) Un-jurisdictionalized Pre-funded data for total company reported in NSP Mn figures.</t>
  </si>
  <si>
    <t>(*) Un-jurisdictionalized Prefunded Amortization for total company reported in NSP Mn only.</t>
  </si>
  <si>
    <t>Calculation and True-Up Procedures</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</si>
  <si>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</si>
  <si>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</si>
  <si>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</si>
  <si>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</si>
  <si>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</si>
  <si>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</si>
  <si>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</si>
  <si>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</si>
  <si>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</si>
  <si>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</si>
  <si>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</si>
  <si>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</si>
  <si>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</si>
  <si>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</si>
  <si>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</si>
  <si>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Net Revenue Requirement Over Recovery</t>
  </si>
  <si>
    <t>Net Volume Change Under Recovery</t>
  </si>
  <si>
    <t>Interest Rate (@ FERC Refund Rate)</t>
  </si>
  <si>
    <t>Interest Calculation With Quarterly Compounding</t>
  </si>
  <si>
    <t>Principal</t>
  </si>
  <si>
    <t>Interest</t>
  </si>
  <si>
    <t>Cumulative Interest</t>
  </si>
  <si>
    <t>To Attachment O line items 6e</t>
  </si>
  <si>
    <t>December 2011</t>
  </si>
  <si>
    <t xml:space="preserve">          TOTAL TRANSMISSION EXPENSE</t>
  </si>
  <si>
    <t xml:space="preserve">February </t>
  </si>
  <si>
    <t xml:space="preserve">March </t>
  </si>
  <si>
    <t xml:space="preserve">May </t>
  </si>
  <si>
    <t xml:space="preserve">June </t>
  </si>
  <si>
    <t xml:space="preserve">August </t>
  </si>
  <si>
    <t xml:space="preserve">September </t>
  </si>
  <si>
    <t xml:space="preserve">October </t>
  </si>
  <si>
    <t xml:space="preserve">November </t>
  </si>
  <si>
    <t>1st Qtr 2010</t>
  </si>
  <si>
    <t>2nd Qtr 2010</t>
  </si>
  <si>
    <t>3rd Qtr 2010</t>
  </si>
  <si>
    <t>4th Qtr 2010</t>
  </si>
  <si>
    <t>Prior Year True Up Calculation</t>
  </si>
  <si>
    <t>Prior Year True Up Interest Calculation</t>
  </si>
  <si>
    <t>2012 Workpapers Pursuant to the Annual Rate</t>
  </si>
  <si>
    <t>2012 Actual Workpaper</t>
  </si>
  <si>
    <t>Actual 12 Months Ended December 31, 2012</t>
  </si>
  <si>
    <t>January 2012</t>
  </si>
  <si>
    <t>historic 2012 FF1 Net Plant</t>
  </si>
  <si>
    <t>Actual 2010</t>
  </si>
  <si>
    <t>Budget 2010</t>
  </si>
  <si>
    <t>Interest form Jan 1, 2010 the Dec 31, 2011</t>
  </si>
  <si>
    <t>1st Qtr 2011</t>
  </si>
  <si>
    <t>2nd Qtr 2011</t>
  </si>
  <si>
    <t>3rd Qtr 2011</t>
  </si>
  <si>
    <t>4th Qtr 2011</t>
  </si>
  <si>
    <t xml:space="preserve">   Included in the Divisor </t>
  </si>
  <si>
    <t>Attachment GG Revenue Requirement</t>
  </si>
  <si>
    <t>Attachment MM Revenue Requirement</t>
  </si>
  <si>
    <t>Line 33 must equal zero since all short-term power sales must be unbundled and the transmission component reflected</t>
  </si>
  <si>
    <t>in Account No. 456.1 and all other uses are to be included in the divisor.</t>
  </si>
  <si>
    <t>Transmission charges associated with Schedule 26a</t>
  </si>
  <si>
    <t>Less: FERC Annual Charges</t>
  </si>
  <si>
    <t xml:space="preserve">Less: EPRI Dues Charged to A&amp;G </t>
  </si>
  <si>
    <t>Less: Regulatory Commission Expense (excluding FERC Annual)</t>
  </si>
  <si>
    <t>Less: Non-Safety Advertising Expense</t>
  </si>
  <si>
    <t xml:space="preserve">         Account 561.4 - Scheduling, system Control &amp; Dispatch</t>
  </si>
  <si>
    <t xml:space="preserve">         Account 561.8 - Reliability, Planning &amp; Standards Dev</t>
  </si>
  <si>
    <t>Less: Load Serving Entity Expenses Incl. In Transmission O&amp;M</t>
  </si>
  <si>
    <t xml:space="preserve">         InterChange</t>
  </si>
  <si>
    <t>Acct</t>
  </si>
  <si>
    <t>General &amp; Intangible</t>
  </si>
  <si>
    <t>Attachment GG Actual Revenue Requirement 2012</t>
  </si>
  <si>
    <t>Attachment MM Actual Revenue Requirement 2012</t>
  </si>
  <si>
    <t>Various</t>
  </si>
  <si>
    <t>Actual Reported Costs for Fiscal Year Ended 2012</t>
  </si>
  <si>
    <t>9/30/2013 Rev 2</t>
  </si>
  <si>
    <t>9/30/2013 Revision 2</t>
  </si>
  <si>
    <t>Page 1 of 5</t>
  </si>
  <si>
    <t xml:space="preserve">Formula Rate - Non-Levelized </t>
  </si>
  <si>
    <t xml:space="preserve">     Rate Formula Template</t>
  </si>
  <si>
    <t>For the 12 months ended 12/31/12</t>
  </si>
  <si>
    <t xml:space="preserve"> Utilizing FERC Form 1 Data</t>
  </si>
  <si>
    <t>Northern States Power Companies (Rev 1)</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</si>
  <si>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</si>
  <si>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</si>
  <si>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</si>
  <si>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</si>
  <si>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</si>
  <si>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</si>
  <si>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</si>
  <si>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</si>
  <si>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</si>
  <si>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</si>
  <si>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</si>
  <si>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</si>
  <si>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</si>
  <si>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</si>
  <si>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</si>
  <si>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</si>
  <si>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</si>
  <si>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</si>
  <si>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</si>
  <si>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</si>
  <si>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</si>
  <si>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</si>
  <si>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</si>
  <si>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</si>
  <si>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Z)</t>
  </si>
  <si>
    <t>6e</t>
  </si>
  <si>
    <t>Interest on Prior Year True-Up</t>
  </si>
  <si>
    <t>(line 1 - line 6 + line 6c through 6e)</t>
  </si>
  <si>
    <t xml:space="preserve">DIVISOR </t>
  </si>
  <si>
    <t xml:space="preserve">  Average of 12 coincident system peaks for requirements (RQ) service</t>
  </si>
  <si>
    <t>(Note A)</t>
  </si>
  <si>
    <t xml:space="preserve">  Plus 12 CP of firm bundled sales over one year not in line 8</t>
  </si>
  <si>
    <t>(Note B)</t>
  </si>
  <si>
    <t>(Note C)</t>
  </si>
  <si>
    <t xml:space="preserve">  Less 12 CP of firm P-T-P over one year (enter negative)</t>
  </si>
  <si>
    <t>(Note D)</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</si>
  <si>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</si>
  <si>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</si>
  <si>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</si>
  <si>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</si>
  <si>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</si>
  <si>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</si>
  <si>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</si>
  <si>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</si>
  <si>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</si>
  <si>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</si>
  <si>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</si>
  <si>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</si>
  <si>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</si>
  <si>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</si>
  <si>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</si>
  <si>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</si>
  <si>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</si>
  <si>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</si>
  <si>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</si>
  <si>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</si>
  <si>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</si>
  <si>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</si>
  <si>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</si>
  <si>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</si>
  <si>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</si>
  <si>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</si>
  <si>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</si>
  <si>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</si>
  <si>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</si>
  <si>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</si>
  <si>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</si>
  <si>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</si>
  <si>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</si>
  <si>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</si>
  <si>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</si>
  <si>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</si>
  <si>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</si>
  <si>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</si>
  <si>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</si>
  <si>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</si>
  <si>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</si>
  <si>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</si>
  <si>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</si>
  <si>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</si>
  <si>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</si>
  <si>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</si>
  <si>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</si>
  <si>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</si>
  <si>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</si>
  <si>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</si>
  <si>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</si>
  <si>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</si>
  <si>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</si>
  <si>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</si>
  <si>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</si>
  <si>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</si>
  <si>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</si>
  <si>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</si>
  <si>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</si>
  <si>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</si>
  <si>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</si>
  <si>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</si>
  <si>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</si>
  <si>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</si>
  <si>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</si>
  <si>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</si>
  <si>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</si>
  <si>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</si>
  <si>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</si>
  <si>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</si>
  <si>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</si>
  <si>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</si>
  <si>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</si>
  <si>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</si>
  <si>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</si>
  <si>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</si>
  <si>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</si>
  <si>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</si>
  <si>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</si>
  <si>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</si>
  <si>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</si>
  <si>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(Note W, Note X)</t>
  </si>
  <si>
    <t>23b</t>
  </si>
  <si>
    <t xml:space="preserve">  Unamortized Balance of Abandoned Plant</t>
  </si>
  <si>
    <t>TOTAL ADJUSTMENTS  (sum lines 19- 23b)</t>
  </si>
  <si>
    <t xml:space="preserve">LAND HELD FOR FUTURE USE  (Note Y)         </t>
  </si>
  <si>
    <t>214.x.d  (Note G)</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</si>
  <si>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</si>
  <si>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</si>
  <si>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</si>
  <si>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</si>
  <si>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</si>
  <si>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</si>
  <si>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</si>
  <si>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</si>
  <si>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</si>
  <si>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</si>
  <si>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</si>
  <si>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</si>
  <si>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</si>
  <si>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</si>
  <si>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</si>
  <si>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</si>
  <si>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</si>
  <si>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</si>
  <si>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</si>
  <si>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</si>
  <si>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</si>
  <si>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</si>
  <si>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</si>
  <si>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</si>
  <si>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</si>
  <si>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</si>
  <si>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</si>
  <si>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 (Note EE)</t>
  </si>
  <si>
    <t>336.7.b</t>
  </si>
  <si>
    <t>9a</t>
  </si>
  <si>
    <t xml:space="preserve">  Prefunded AFUDC Amortization</t>
  </si>
  <si>
    <t>(Note W)</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</si>
  <si>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</si>
  <si>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</si>
  <si>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</si>
  <si>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</si>
  <si>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</si>
  <si>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</si>
  <si>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</si>
  <si>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</si>
  <si>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</si>
  <si>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</si>
  <si>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</si>
  <si>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</si>
  <si>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</si>
  <si>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</si>
  <si>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</si>
  <si>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</si>
  <si>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</si>
  <si>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</si>
  <si>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</si>
  <si>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</si>
  <si>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</si>
  <si>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</si>
  <si>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</si>
  <si>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</si>
  <si>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</si>
  <si>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</si>
  <si>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</si>
  <si>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</si>
  <si>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</si>
  <si>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</si>
  <si>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</si>
  <si>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</si>
  <si>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</si>
  <si>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</si>
  <si>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</si>
  <si>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</si>
  <si>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10]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</si>
  <si>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</si>
  <si>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</si>
  <si>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</si>
  <si>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</si>
  <si>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</si>
  <si>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</si>
  <si>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</si>
  <si>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</si>
  <si>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</si>
  <si>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</si>
  <si>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</si>
  <si>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</si>
  <si>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</si>
  <si>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</si>
  <si>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</si>
  <si>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</si>
  <si>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</si>
  <si>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</si>
  <si>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</si>
  <si>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</si>
  <si>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</si>
  <si>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</si>
  <si>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</si>
  <si>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</si>
  <si>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</si>
  <si>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</si>
  <si>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</si>
  <si>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</si>
  <si>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</si>
  <si>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</si>
  <si>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</si>
  <si>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</si>
  <si>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</si>
  <si>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</si>
  <si>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</si>
  <si>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</si>
  <si>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</si>
  <si>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</si>
  <si>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</si>
  <si>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</si>
  <si>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</si>
  <si>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</si>
  <si>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</si>
  <si>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</si>
  <si>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</si>
  <si>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</si>
  <si>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</si>
  <si>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</si>
  <si>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</si>
  <si>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</si>
  <si>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</si>
  <si>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</si>
  <si>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</si>
  <si>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</si>
  <si>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</si>
  <si>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</si>
  <si>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</si>
  <si>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</si>
  <si>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</si>
  <si>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</si>
  <si>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</si>
  <si>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</si>
  <si>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</si>
  <si>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</si>
  <si>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</si>
  <si>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</si>
  <si>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</si>
  <si>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</si>
  <si>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</si>
  <si>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</si>
  <si>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</si>
  <si>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</si>
  <si>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</si>
  <si>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</si>
  <si>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associated with Schedules 26 and 37  (Note BB)</t>
  </si>
  <si>
    <t>36b</t>
  </si>
  <si>
    <t xml:space="preserve">  d. Transmission charges associated with Schedule 26-A  (Note DD)</t>
  </si>
  <si>
    <t>Total of (a)-(b)-(c)-(d)</t>
  </si>
  <si>
    <t>Page 5 of 5</t>
  </si>
  <si>
    <t>General Note:  References to pages in this formulary rate are indicated as:  (page#, line#, col.#)</t>
  </si>
  <si>
    <t>References to data from FERC Form 1 are indicated as:   #.y.x  (page, line, column)</t>
  </si>
  <si>
    <t>Note</t>
  </si>
  <si>
    <t>Letter</t>
  </si>
  <si>
    <t>A</t>
  </si>
  <si>
    <t>As reported on page 400, column e of Form 1.</t>
  </si>
  <si>
    <t>B</t>
  </si>
  <si>
    <t>Labeled LF, LU, IF, IU on pages 310-311 of Form 1.</t>
  </si>
  <si>
    <t>C</t>
  </si>
  <si>
    <t>As reported on page 400, column f of Form 1.</t>
  </si>
  <si>
    <t>D</t>
  </si>
  <si>
    <t>Labeled LF on page 328 of Form 1.</t>
  </si>
  <si>
    <t>E</t>
  </si>
  <si>
    <t xml:space="preserve">The FERC's annual charges for the year assessed the Transmission Owner for service under this tariff. </t>
  </si>
  <si>
    <t>F</t>
  </si>
  <si>
    <t xml:space="preserve">The balances in Accounts 190, 281, 282 and 283, as adjusted by any amounts in contra accounts identified as regulatory assets or liabilities related to FASB 106 or 109.  </t>
  </si>
  <si>
    <t xml:space="preserve">Balance of Account 255 is reduced by prior flow throughs and excluded if the utility chose to utilize amortization of tax credits against taxable income as discussed in Note K. </t>
  </si>
  <si>
    <t>Account 281 is not allocated.</t>
  </si>
  <si>
    <t>G</t>
  </si>
  <si>
    <t>Identified in Form 1 as being only transmission related.</t>
  </si>
  <si>
    <t>H</t>
  </si>
  <si>
    <t xml:space="preserve">Cash Working Capital assigned to transmission is one-eighth of O&amp;M allocated to transmission at page 3, line 8, column 5.  Prepayments are the electric related </t>
  </si>
  <si>
    <t>prepayments booked to Account No. 165 and reported on Page 111, line 57 in the Form 1.</t>
  </si>
  <si>
    <t>I</t>
  </si>
  <si>
    <t xml:space="preserve">Line 5 - EPRI Annual Membership Dues listed in Form 1 at 353.f, all Regulatory Commission Expenses itemized at 351.h, and non-safety related advertising included in </t>
  </si>
  <si>
    <t xml:space="preserve">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</si>
  <si>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</si>
  <si>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t>
  </si>
  <si>
    <t>receipts taxes are not included in transmission revenue requirement in the Rate Formula Template, since they are recovered elsewhere.</t>
  </si>
  <si>
    <t>K</t>
  </si>
  <si>
    <t xml:space="preserve">The currently effective income tax rate,  where FIT is the Federal income tax rate; SIT is the State income tax rate, and p = "the percentage of federal income tax </t>
  </si>
  <si>
    <t xml:space="preserve">deductible for state income taxes".  If the utility is taxed in more than one state it must attach a work paper showing the name of each state and how the blended or </t>
  </si>
  <si>
    <t xml:space="preserve">composite SIT was developed.  Furthermore, a utility that elected to utilize amortization of tax credits against taxable income, rather than book tax credits to Account No. 255 </t>
  </si>
  <si>
    <t>and reduce rate base, must reduce its income tax expense by the amount of the Amortized Investment Tax Credit (Form 1, 266.8.f) multiplied by (1/1-T) (page 3, line 26).</t>
  </si>
  <si>
    <t xml:space="preserve">         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</si>
  <si>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</si>
  <si>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</si>
  <si>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</si>
  <si>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</si>
  <si>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</si>
  <si>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</si>
  <si>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</si>
  <si>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</si>
  <si>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t>
  </si>
  <si>
    <t>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</si>
  <si>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</si>
  <si>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t>
    </r>
  </si>
  <si>
    <t xml:space="preserve">in OATT ancillary services.  For these purposes, generation step-up facilities are those facilities at a generator substation on which there is no through-flow when the </t>
  </si>
  <si>
    <t>generator is shut down.</t>
  </si>
  <si>
    <t>O</t>
  </si>
  <si>
    <t>Enter dollar amounts</t>
  </si>
  <si>
    <t>P</t>
  </si>
  <si>
    <t xml:space="preserve">Debt cost rate = long-term interest (line 21) / long term debt (line 27).  Preferred cost rate = preferred dividends (line 22) / preferred outstanding (line 28).  ROE will </t>
  </si>
  <si>
    <t>be supported in the original filing and no change in ROE may be made absent a filing with FERC.</t>
  </si>
  <si>
    <t>Q</t>
  </si>
  <si>
    <t>Line 33 must equal zero since all short-term power sales must be unbundled and the transmission component reflected in Account No. 456.1 and all other uses are to be</t>
  </si>
  <si>
    <t>included in the divisor.</t>
  </si>
  <si>
    <t>R</t>
  </si>
  <si>
    <t>Includes income related only to transmission facilities, such as pole attachments, rentals and special use.</t>
  </si>
  <si>
    <t>S</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</si>
  <si>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t>
    </r>
  </si>
  <si>
    <r>
      <t xml:space="preserve">in line 13, page 1.  Grandfathered agreements whose rates have </t>
    </r>
    <r>
      <rPr>
        <u val="single"/>
        <sz val="12"/>
        <rFont val="Times New Roman"/>
        <family val="1"/>
      </rPr>
      <t>not</t>
    </r>
    <r>
      <rPr>
        <sz val="12"/>
        <rFont val="Times New Roman"/>
        <family val="1"/>
      </rPr>
      <t xml:space="preserve"> been changed to eliminate or mitigate pancaking - the revenues are not included in line 4, page 1 nor</t>
    </r>
  </si>
  <si>
    <t>are the loads included in line 13, page 1.</t>
  </si>
  <si>
    <t>T</t>
  </si>
  <si>
    <r>
      <t>The revenues credited on page 1</t>
    </r>
    <r>
      <rPr>
        <sz val="12"/>
        <color indexed="10"/>
        <rFont val="Times New Roman"/>
        <family val="1"/>
      </rPr>
      <t>,</t>
    </r>
    <r>
      <rPr>
        <sz val="12"/>
        <rFont val="Times New Roman"/>
        <family val="1"/>
      </rPr>
      <t xml:space="preserve"> lines 2-5 shall include only the amounts received directly (in the case of grandfathered agreements) or from the ISO (for service </t>
    </r>
  </si>
  <si>
    <t>under this tariff) reflecting the Transmission Owner's integrated transmission facilities.  They do not include revenues associated with FERC annual charges, gross receipts</t>
  </si>
  <si>
    <t>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</si>
  <si>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</si>
  <si>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</si>
  <si>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</si>
  <si>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</si>
  <si>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W</t>
  </si>
  <si>
    <t>Page 2, Line 23a includes the net pre-funded AFUDC amount associated with the CWIP projects included in rate base. The net pre-funded AFUDC amount is a total</t>
  </si>
  <si>
    <t xml:space="preserve">NSP System number (not jurisdictionalized), and is a reduction to rate base.  Page 3, line 9a includes that annual ammortization of the pre-funded AFUDC amounts for  </t>
  </si>
  <si>
    <t>the total NSP System (also not jurisdictionalized) and is a reduction to standard depreciation.</t>
  </si>
  <si>
    <t>Page 2, line 23b incudes any unamortized balances related to the recovery of abandoned plant costs approved by FERC under a separate docket.</t>
  </si>
  <si>
    <t>Page 3, line 9b includes the amoritization expense of abandonment costs included in transmission depreciation expense.</t>
  </si>
  <si>
    <t>These amounts are shown in the workpapers required pursuant to the Annual Rate Calculation and True-Up Procedures.</t>
  </si>
  <si>
    <t>X</t>
  </si>
  <si>
    <t>Calculate using 13 month average balance, reconciling to FERC Form No. 1 by page, line and column as shown in Column 2.</t>
  </si>
  <si>
    <t>Y</t>
  </si>
  <si>
    <t>Calculate using 13 month average balances for plant related and average of beginning of year and end of year for non-plant related adjustments to rate base, reconciling</t>
  </si>
  <si>
    <t>to FERC Form No. 1 by page, line and column as shown in Column 2.</t>
  </si>
  <si>
    <t>Z</t>
  </si>
  <si>
    <t>Calculation of Prior Year Divisor True-Up:</t>
  </si>
  <si>
    <t>Pg 1, Line 15</t>
  </si>
  <si>
    <t>Pg 1, Line 16</t>
  </si>
  <si>
    <t>AA</t>
  </si>
  <si>
    <t xml:space="preserve">Pursuant to Attachment GG of the Midwest ISO Tariff, removes dollar amount of revenue requirements calculated pursuant to Attachment GG and recovered under </t>
  </si>
  <si>
    <t xml:space="preserve">Schedule 26 of the Midwest ISO Tariff.   </t>
  </si>
  <si>
    <t>BB</t>
  </si>
  <si>
    <t xml:space="preserve">Removes from revenue credits revenues that are distributed pursuant to Schedule 26 of the Midwest ISO Tariff, since the Transmission Owner's Attachment O </t>
  </si>
  <si>
    <t>revenue requirements have already been reduced by the Attachment GG revenue requirements.</t>
  </si>
  <si>
    <t>CC</t>
  </si>
  <si>
    <t xml:space="preserve">Pursuant to Attachment MM of the Midwest ISO Tariff, removes dollar amount of revenue requirements calculated pursuant to Attachment MM and recovered under </t>
  </si>
  <si>
    <t xml:space="preserve">Schedule 26-A of the Midwest ISO Tariff.   </t>
  </si>
  <si>
    <t>DD</t>
  </si>
  <si>
    <t xml:space="preserve">Removes from revenue credits revenues that are distributed pursuant to Schedule 26-A of the Midwest ISO Tariff, since the Transmission Owner's Attachment O </t>
  </si>
  <si>
    <t>revenue requirements have already been reduced by the Attachment MM revenue requirements.</t>
  </si>
  <si>
    <t>EE</t>
  </si>
  <si>
    <t>Plant in Service, Accumulated Depreciation, and Depreciation Expense amounts exclude Asset Retirement Obligation amounts unless authorized by FERC.</t>
  </si>
  <si>
    <t>FF</t>
  </si>
  <si>
    <t>Schedule 10-FERC charges shoul dnot be included in O&amp;M recovered under this Attachment O.</t>
  </si>
  <si>
    <t>NSP Companies MISO Attachment O - NSP</t>
  </si>
  <si>
    <t>Annual True-up</t>
  </si>
  <si>
    <t xml:space="preserve">Comparison of 2012 Actuals to 2012 Budget </t>
  </si>
  <si>
    <t>The actual Annual Cost ($/kw/yr) was $43.097 which was ($1.242), or 2.8% lower than the budgeted cost of $44.339. The lower actual cost was driven by lower net revenue requirements of $12.3M and lower than anticipated system transmission usage (actual demands were 72,000 KW lower than budget).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</si>
</sst>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_(* #,##0.0_);_(* \(#,##0.0\);_(* &quot;-&quot;??_);_(@_)"/>
    <numFmt numFmtId="173" formatCode="mmmm\ d\,\ yyyy"/>
    <numFmt numFmtId="174" formatCode="mmmm\ d\ yyyy"/>
    <numFmt numFmtId="175" formatCode="0.000%"/>
    <numFmt numFmtId="176" formatCode="#,##0.000_);\(#,##0.000\)"/>
    <numFmt numFmtId="177" formatCode="_(&quot;$&quot;* #,##0_);_(&quot;$&quot;* \(#,##0\);_(&quot;$&quot;* &quot;-&quot;??_);_(@_)"/>
    <numFmt numFmtId="178" formatCode="_(* #,##0.0000_);_(* \(#,##0.0000\);_(* &quot;-&quot;??_);_(@_)"/>
    <numFmt numFmtId="179" formatCode="_(&quot;$&quot;* #,##0.00_);_(&quot;$&quot;* \(#,##0.00\);_(&quot;$&quot;* &quot;-&quot;_);_(@_)"/>
    <numFmt numFmtId="180" formatCode="#,##0.0"/>
    <numFmt numFmtId="181" formatCode="_(&quot;$&quot;* #,##0.0_);_(&quot;$&quot;* \(#,##0.0\);_(&quot;$&quot;* &quot;-&quot;_);_(@_)"/>
    <numFmt numFmtId="182" formatCode="_(* #,##0.000_);_(* \(#,##0.000\);_(* &quot;-&quot;??_);_(@_)"/>
    <numFmt numFmtId="183" formatCode="_(* #,##0.00000_);_(* \(#,##0.00000\);_(* &quot;-&quot;??_);_(@_)"/>
    <numFmt numFmtId="184" formatCode="_(* #,##0.000000_);_(* \(#,##0.000000\);_(* &quot;-&quot;??_);_(@_)"/>
    <numFmt numFmtId="185" formatCode="_(* #,##0.0000000_);_(* \(#,##0.0000000\);_(* &quot;-&quot;??_);_(@_)"/>
    <numFmt numFmtId="186" formatCode="_(* #,##0.00000000_);_(* \(#,##0.00000000\);_(* &quot;-&quot;??_);_(@_)"/>
    <numFmt numFmtId="187" formatCode="_(* #,##0.000000000_);_(* \(#,##0.000000000\);_(* &quot;-&quot;??_);_(@_)"/>
    <numFmt numFmtId="188" formatCode="_(* #,##0.0000000000_);_(* \(#,##0.0000000000\);_(* &quot;-&quot;??_);_(@_)"/>
    <numFmt numFmtId="189" formatCode="_(* #,##0.00000000000_);_(* \(#,##0.00000000000\);_(* &quot;-&quot;??_);_(@_)"/>
    <numFmt numFmtId="190" formatCode="&quot;Yes&quot;;&quot;Yes&quot;;&quot;No&quot;"/>
    <numFmt numFmtId="191" formatCode="&quot;True&quot;;&quot;True&quot;;&quot;False&quot;"/>
    <numFmt numFmtId="192" formatCode="&quot;On&quot;;&quot;On&quot;;&quot;Off&quot;"/>
    <numFmt numFmtId="193" formatCode="[$€-2]\ #,##0.00_);[Red]\([$€-2]\ #,##0.00\)"/>
    <numFmt numFmtId="194" formatCode="_(* #,##0.0_);_(* \(#,##0.0\);_(* &quot;-&quot;?_);_(@_)"/>
    <numFmt numFmtId="195" formatCode="&quot;$&quot;#,##0.00"/>
    <numFmt numFmtId="196" formatCode="0.00000"/>
    <numFmt numFmtId="197" formatCode="&quot;$&quot;#,##0"/>
    <numFmt numFmtId="198" formatCode="0.00000%"/>
    <numFmt numFmtId="199" formatCode="#,##0.000"/>
    <numFmt numFmtId="200" formatCode="&quot;$&quot;#,##0.000"/>
    <numFmt numFmtId="201" formatCode="#,##0.00000"/>
    <numFmt numFmtId="202" formatCode="#,##0.0000"/>
  </numFmts>
  <fonts count="38">
    <font>
      <sz val="12"/>
      <name val="Arial"/>
      <family val="0"/>
    </font>
    <font>
      <b/>
      <sz val="10"/>
      <name val="Arial"/>
      <family val="0"/>
    </font>
    <font>
      <sz val="11"/>
      <name val="??"/>
      <family val="3"/>
    </font>
    <font>
      <sz val="10"/>
      <name val="Arial"/>
      <family val="0"/>
    </font>
    <font>
      <u val="single"/>
      <sz val="9"/>
      <color indexed="36"/>
      <name val="Arial"/>
      <family val="2"/>
    </font>
    <font>
      <sz val="8"/>
      <name val="Arial"/>
      <family val="2"/>
    </font>
    <font>
      <b/>
      <u val="single"/>
      <sz val="11"/>
      <color indexed="37"/>
      <name val="Arial"/>
      <family val="2"/>
    </font>
    <font>
      <sz val="10"/>
      <color indexed="12"/>
      <name val="Arial"/>
      <family val="2"/>
    </font>
    <font>
      <u val="single"/>
      <sz val="9"/>
      <color indexed="12"/>
      <name val="Arial"/>
      <family val="2"/>
    </font>
    <font>
      <sz val="7"/>
      <name val="Small Fonts"/>
      <family val="0"/>
    </font>
    <font>
      <b/>
      <i/>
      <sz val="16"/>
      <name val="Helv"/>
      <family val="0"/>
    </font>
    <font>
      <sz val="10"/>
      <color indexed="12"/>
      <name val="MS Sans Serif"/>
      <family val="0"/>
    </font>
    <font>
      <b/>
      <sz val="10"/>
      <color indexed="12"/>
      <name val="MS Sans Serif"/>
      <family val="0"/>
    </font>
    <font>
      <sz val="8"/>
      <color indexed="12"/>
      <name val="Arial"/>
      <family val="2"/>
    </font>
    <font>
      <b/>
      <sz val="12"/>
      <name val="Arial"/>
      <family val="2"/>
    </font>
    <font>
      <sz val="12"/>
      <name val="Garamond"/>
      <family val="0"/>
    </font>
    <font>
      <b/>
      <sz val="10"/>
      <color indexed="8"/>
      <name val="Arial"/>
      <family val="2"/>
    </font>
    <font>
      <sz val="10"/>
      <color indexed="8"/>
      <name val="Arial"/>
      <family val="2"/>
    </font>
    <font>
      <b/>
      <sz val="18"/>
      <name val="Arial"/>
      <family val="2"/>
    </font>
    <font>
      <sz val="12"/>
      <name val="Times New Roman"/>
      <family val="1"/>
    </font>
    <font>
      <sz val="8"/>
      <name val="Tahoma"/>
      <family val="0"/>
    </font>
    <font>
      <b/>
      <sz val="8"/>
      <name val="Tahoma"/>
      <family val="0"/>
    </font>
    <font>
      <b/>
      <sz val="9"/>
      <name val="Arial"/>
      <family val="2"/>
    </font>
    <font>
      <b/>
      <sz val="12"/>
      <name val="Times New Roman"/>
      <family val="1"/>
    </font>
    <font>
      <sz val="10"/>
      <name val="Times New Roman"/>
      <family val="1"/>
    </font>
    <font>
      <sz val="10"/>
      <color indexed="8"/>
      <name val="ARIAL"/>
      <family val="0"/>
    </font>
    <font>
      <sz val="18"/>
      <name val="Arial"/>
      <family val="2"/>
    </font>
    <font>
      <b/>
      <i/>
      <sz val="10"/>
      <name val="Arial"/>
      <family val="2"/>
    </font>
    <font>
      <i/>
      <sz val="10"/>
      <name val="Arial"/>
      <family val="2"/>
    </font>
    <font>
      <b/>
      <u val="single"/>
      <sz val="10"/>
      <name val="Arial"/>
      <family val="2"/>
    </font>
    <font>
      <b/>
      <i/>
      <sz val="10"/>
      <color indexed="8"/>
      <name val="Arial"/>
      <family val="2"/>
    </font>
    <font>
      <sz val="11"/>
      <name val="Times New Roman"/>
      <family val="1"/>
    </font>
    <font>
      <strike/>
      <sz val="12"/>
      <color indexed="10"/>
      <name val="Times New Roman"/>
      <family val="1"/>
    </font>
    <font>
      <strike/>
      <sz val="12"/>
      <name val="Times New Roman"/>
      <family val="1"/>
    </font>
    <font>
      <sz val="12"/>
      <color indexed="10"/>
      <name val="Times New Roman"/>
      <family val="1"/>
    </font>
    <font>
      <sz val="12"/>
      <color indexed="8"/>
      <name val="Times New Roman"/>
      <family val="1"/>
    </font>
    <font>
      <u val="single"/>
      <sz val="12"/>
      <name val="Times New Roman"/>
      <family val="1"/>
    </font>
    <font>
      <b/>
      <sz val="8"/>
      <name val="Arial"/>
      <family val="2"/>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double"/>
      <right>
        <color indexed="63"/>
      </right>
      <top>
        <color indexed="63"/>
      </top>
      <bottom style="hair"/>
    </border>
    <border>
      <left style="double"/>
      <right style="double"/>
      <top style="double"/>
      <bottom style="double"/>
    </border>
    <border>
      <left style="thin"/>
      <right style="thin"/>
      <top style="thin"/>
      <bottom style="thin"/>
    </border>
    <border>
      <left style="double">
        <color indexed="12"/>
      </left>
      <right style="double">
        <color indexed="12"/>
      </right>
      <top style="double">
        <color indexed="12"/>
      </top>
      <bottom style="dotted">
        <color indexed="12"/>
      </bottom>
    </border>
    <border>
      <left style="thick">
        <color indexed="12"/>
      </left>
      <right style="thick">
        <color indexed="12"/>
      </right>
      <top style="thick">
        <color indexed="12"/>
      </top>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double"/>
      <bottom>
        <color indexed="63"/>
      </bottom>
    </border>
    <border>
      <left/>
      <right/>
      <top/>
      <bottom style="medium"/>
    </border>
    <border>
      <left/>
      <right/>
      <top/>
      <bottom style="double"/>
    </border>
    <border>
      <left/>
      <right/>
      <top style="medium"/>
      <bottom/>
    </border>
    <border>
      <left/>
      <right/>
      <top style="medium"/>
      <bottom style="double"/>
    </border>
    <border>
      <left/>
      <right/>
      <top/>
      <bottom style="thin"/>
    </border>
  </borders>
  <cellStyleXfs count="50">
    <xf numFmtId="0" fontId="25"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 fillId="2" borderId="1">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2" fillId="0" borderId="0">
      <alignment/>
      <protection locked="0"/>
    </xf>
    <xf numFmtId="167" fontId="3" fillId="0" borderId="0">
      <alignment/>
      <protection locked="0"/>
    </xf>
    <xf numFmtId="0" fontId="4" fillId="0" borderId="0" applyNumberFormat="0" applyFill="0" applyBorder="0" applyAlignment="0" applyProtection="0"/>
    <xf numFmtId="38" fontId="5" fillId="3" borderId="0" applyNumberFormat="0" applyBorder="0" applyAlignment="0" applyProtection="0"/>
    <xf numFmtId="0" fontId="6" fillId="0" borderId="0" applyNumberFormat="0" applyFill="0" applyBorder="0" applyAlignment="0" applyProtection="0"/>
    <xf numFmtId="166" fontId="3" fillId="0" borderId="0">
      <alignment/>
      <protection locked="0"/>
    </xf>
    <xf numFmtId="166" fontId="3" fillId="0" borderId="0">
      <alignment/>
      <protection locked="0"/>
    </xf>
    <xf numFmtId="0" fontId="7" fillId="0" borderId="2" applyNumberFormat="0" applyFill="0" applyAlignment="0" applyProtection="0"/>
    <xf numFmtId="0" fontId="8" fillId="0" borderId="0" applyNumberFormat="0" applyFill="0" applyBorder="0" applyAlignment="0" applyProtection="0"/>
    <xf numFmtId="10" fontId="5" fillId="4" borderId="3" applyNumberFormat="0" applyBorder="0" applyAlignment="0" applyProtection="0"/>
    <xf numFmtId="37" fontId="9" fillId="0" borderId="0">
      <alignment/>
      <protection/>
    </xf>
    <xf numFmtId="165" fontId="10" fillId="0" borderId="0">
      <alignment/>
      <protection/>
    </xf>
    <xf numFmtId="0" fontId="15" fillId="0" borderId="0">
      <alignment/>
      <protection/>
    </xf>
    <xf numFmtId="38" fontId="0" fillId="0" borderId="0">
      <alignment/>
      <protection/>
    </xf>
    <xf numFmtId="0" fontId="3" fillId="0" borderId="0">
      <alignment/>
      <protection/>
    </xf>
    <xf numFmtId="38" fontId="0" fillId="0" borderId="0">
      <alignment/>
      <protection/>
    </xf>
    <xf numFmtId="0" fontId="0" fillId="0" borderId="0">
      <alignment/>
      <protection/>
    </xf>
    <xf numFmtId="38" fontId="0" fillId="0" borderId="0">
      <alignment/>
      <protection/>
    </xf>
    <xf numFmtId="38" fontId="0" fillId="0" borderId="0">
      <alignment/>
      <protection/>
    </xf>
    <xf numFmtId="0" fontId="3" fillId="0" borderId="0">
      <alignment/>
      <protection/>
    </xf>
    <xf numFmtId="9" fontId="0" fillId="0" borderId="0" applyFont="0" applyFill="0" applyBorder="0" applyAlignment="0" applyProtection="0"/>
    <xf numFmtId="10" fontId="3" fillId="0" borderId="0" applyFont="0" applyFill="0" applyBorder="0" applyAlignment="0" applyProtection="0"/>
    <xf numFmtId="0" fontId="11" fillId="0" borderId="4">
      <alignment/>
      <protection/>
    </xf>
    <xf numFmtId="0" fontId="12" fillId="0" borderId="5">
      <alignment/>
      <protection/>
    </xf>
    <xf numFmtId="0" fontId="3" fillId="0" borderId="0">
      <alignment/>
      <protection/>
    </xf>
    <xf numFmtId="166" fontId="3" fillId="0" borderId="6">
      <alignment/>
      <protection locked="0"/>
    </xf>
    <xf numFmtId="37" fontId="5" fillId="5" borderId="0" applyNumberFormat="0" applyBorder="0" applyAlignment="0" applyProtection="0"/>
    <xf numFmtId="37" fontId="5" fillId="0" borderId="0">
      <alignment/>
      <protection/>
    </xf>
    <xf numFmtId="3" fontId="13" fillId="0" borderId="2" applyProtection="0">
      <alignment/>
    </xf>
  </cellStyleXfs>
  <cellXfs count="402">
    <xf numFmtId="0" fontId="0" fillId="0" borderId="0" xfId="0" applyAlignment="1">
      <alignment/>
    </xf>
    <xf numFmtId="0" fontId="14" fillId="0" borderId="0" xfId="0" applyFont="1" applyAlignment="1">
      <alignment horizontal="center"/>
    </xf>
    <xf numFmtId="38" fontId="3" fillId="0" borderId="0" xfId="38" applyFont="1" applyFill="1">
      <alignment/>
      <protection/>
    </xf>
    <xf numFmtId="0" fontId="24" fillId="0" borderId="0" xfId="0" applyNumberFormat="1" applyFont="1" applyFill="1" applyAlignment="1">
      <alignment/>
    </xf>
    <xf numFmtId="0" fontId="24" fillId="0" borderId="0" xfId="0" applyNumberFormat="1" applyFont="1" applyFill="1" applyAlignment="1">
      <alignment horizontal="center"/>
    </xf>
    <xf numFmtId="0" fontId="3" fillId="0" borderId="0" xfId="0" applyFont="1" applyFill="1" applyAlignment="1">
      <alignment/>
    </xf>
    <xf numFmtId="0" fontId="1" fillId="0" borderId="0" xfId="0" applyFont="1" applyFill="1" applyAlignment="1">
      <alignment/>
    </xf>
    <xf numFmtId="5" fontId="3" fillId="0" borderId="0" xfId="33" applyNumberFormat="1" applyFont="1" applyFill="1" applyAlignment="1">
      <alignment horizontal="right"/>
      <protection/>
    </xf>
    <xf numFmtId="0" fontId="3" fillId="0" borderId="0" xfId="0" applyFont="1" applyFill="1" applyAlignment="1">
      <alignment/>
    </xf>
    <xf numFmtId="0" fontId="3" fillId="0" borderId="0" xfId="0" applyNumberFormat="1" applyFont="1" applyFill="1" applyAlignment="1">
      <alignment/>
    </xf>
    <xf numFmtId="3" fontId="3" fillId="0" borderId="0" xfId="0" applyNumberFormat="1" applyFont="1" applyFill="1" applyAlignment="1">
      <alignment/>
    </xf>
    <xf numFmtId="0" fontId="3" fillId="0" borderId="0" xfId="0" applyNumberFormat="1" applyFont="1" applyFill="1" applyAlignment="1">
      <alignment/>
    </xf>
    <xf numFmtId="170" fontId="3" fillId="0" borderId="0" xfId="16" applyNumberFormat="1" applyFont="1" applyFill="1" applyAlignment="1">
      <alignment/>
    </xf>
    <xf numFmtId="3" fontId="3" fillId="0" borderId="0" xfId="0" applyNumberFormat="1" applyFont="1" applyFill="1" applyBorder="1" applyAlignment="1">
      <alignment/>
    </xf>
    <xf numFmtId="3" fontId="3" fillId="0" borderId="7" xfId="0" applyNumberFormat="1" applyFont="1" applyFill="1" applyBorder="1" applyAlignment="1">
      <alignment/>
    </xf>
    <xf numFmtId="170" fontId="3" fillId="0" borderId="7" xfId="16" applyNumberFormat="1" applyFont="1" applyFill="1" applyBorder="1" applyAlignment="1">
      <alignment/>
    </xf>
    <xf numFmtId="42" fontId="3" fillId="0" borderId="0" xfId="0" applyNumberFormat="1" applyFont="1" applyFill="1" applyAlignment="1">
      <alignment/>
    </xf>
    <xf numFmtId="0" fontId="3" fillId="0" borderId="0" xfId="0" applyFont="1" applyFill="1" applyAlignment="1">
      <alignment horizontal="right"/>
    </xf>
    <xf numFmtId="0" fontId="19" fillId="0" borderId="0" xfId="0" applyFont="1" applyAlignment="1">
      <alignment/>
    </xf>
    <xf numFmtId="37" fontId="3" fillId="0" borderId="0" xfId="38" applyNumberFormat="1" applyFont="1" applyFill="1" applyProtection="1">
      <alignment/>
      <protection/>
    </xf>
    <xf numFmtId="37" fontId="3" fillId="0" borderId="0" xfId="33" applyNumberFormat="1" applyFont="1" applyFill="1">
      <alignment/>
      <protection/>
    </xf>
    <xf numFmtId="37" fontId="3" fillId="0" borderId="0" xfId="33" applyNumberFormat="1" applyFont="1" applyFill="1" applyAlignment="1">
      <alignment horizontal="right"/>
      <protection/>
    </xf>
    <xf numFmtId="5" fontId="3" fillId="0" borderId="0" xfId="33" applyNumberFormat="1" applyFont="1" applyFill="1">
      <alignment/>
      <protection/>
    </xf>
    <xf numFmtId="37" fontId="3" fillId="0" borderId="8" xfId="33" applyNumberFormat="1" applyFont="1" applyFill="1" applyBorder="1" applyAlignment="1">
      <alignment horizontal="right"/>
      <protection/>
    </xf>
    <xf numFmtId="3" fontId="3" fillId="0" borderId="0" xfId="0" applyNumberFormat="1" applyFont="1" applyFill="1" applyAlignment="1">
      <alignment/>
    </xf>
    <xf numFmtId="10" fontId="3" fillId="0" borderId="0" xfId="41" applyNumberFormat="1" applyFont="1" applyFill="1" applyAlignment="1">
      <alignment/>
    </xf>
    <xf numFmtId="5" fontId="3" fillId="0" borderId="0" xfId="33" applyNumberFormat="1" applyFont="1" applyFill="1" applyBorder="1" applyProtection="1">
      <alignment/>
      <protection/>
    </xf>
    <xf numFmtId="5" fontId="3" fillId="0" borderId="0" xfId="38" applyNumberFormat="1" applyFont="1" applyFill="1" applyProtection="1">
      <alignment/>
      <protection/>
    </xf>
    <xf numFmtId="38" fontId="3" fillId="0" borderId="0" xfId="38" applyFont="1" applyFill="1" applyBorder="1">
      <alignment/>
      <protection/>
    </xf>
    <xf numFmtId="0" fontId="3" fillId="0" borderId="0" xfId="0" applyFont="1" applyAlignment="1">
      <alignment vertical="top"/>
    </xf>
    <xf numFmtId="174" fontId="26" fillId="6" borderId="9" xfId="0" applyNumberFormat="1" applyFont="1" applyFill="1" applyBorder="1" applyAlignment="1">
      <alignment horizontal="center"/>
    </xf>
    <xf numFmtId="37" fontId="3" fillId="0" borderId="10" xfId="38" applyNumberFormat="1" applyFont="1" applyFill="1" applyBorder="1" applyProtection="1">
      <alignment/>
      <protection/>
    </xf>
    <xf numFmtId="38" fontId="3" fillId="0" borderId="10" xfId="38" applyFont="1" applyFill="1" applyBorder="1">
      <alignment/>
      <protection/>
    </xf>
    <xf numFmtId="5" fontId="1" fillId="0" borderId="11" xfId="38" applyNumberFormat="1" applyFont="1" applyFill="1" applyBorder="1" applyProtection="1">
      <alignment/>
      <protection/>
    </xf>
    <xf numFmtId="5" fontId="3" fillId="0" borderId="0" xfId="0" applyNumberFormat="1" applyFont="1" applyFill="1" applyAlignment="1">
      <alignment/>
    </xf>
    <xf numFmtId="37" fontId="3" fillId="0" borderId="0" xfId="38" applyNumberFormat="1" applyFont="1" applyFill="1" applyBorder="1">
      <alignment/>
      <protection/>
    </xf>
    <xf numFmtId="0" fontId="1" fillId="0" borderId="8" xfId="0" applyFont="1" applyFill="1" applyBorder="1" applyAlignment="1">
      <alignment horizontal="center"/>
    </xf>
    <xf numFmtId="5" fontId="1" fillId="0" borderId="0" xfId="38" applyNumberFormat="1" applyFont="1" applyFill="1" applyBorder="1" applyProtection="1">
      <alignment/>
      <protection/>
    </xf>
    <xf numFmtId="38" fontId="3" fillId="0" borderId="8" xfId="38" applyFont="1" applyFill="1" applyBorder="1">
      <alignment/>
      <protection/>
    </xf>
    <xf numFmtId="37" fontId="3" fillId="0" borderId="8" xfId="38" applyNumberFormat="1" applyFont="1" applyFill="1" applyBorder="1">
      <alignment/>
      <protection/>
    </xf>
    <xf numFmtId="7" fontId="1" fillId="0" borderId="0" xfId="38" applyNumberFormat="1" applyFont="1" applyFill="1" applyBorder="1" applyProtection="1">
      <alignment/>
      <protection/>
    </xf>
    <xf numFmtId="7" fontId="3" fillId="0" borderId="0" xfId="0" applyNumberFormat="1" applyFont="1" applyFill="1" applyAlignment="1">
      <alignment/>
    </xf>
    <xf numFmtId="5" fontId="3" fillId="0" borderId="8" xfId="38" applyNumberFormat="1" applyFont="1" applyFill="1" applyBorder="1" applyProtection="1">
      <alignment/>
      <protection/>
    </xf>
    <xf numFmtId="0" fontId="1" fillId="0" borderId="0" xfId="0" applyFont="1" applyFill="1" applyAlignment="1">
      <alignment horizontal="center"/>
    </xf>
    <xf numFmtId="171" fontId="3" fillId="0" borderId="0" xfId="0" applyNumberFormat="1" applyFont="1" applyFill="1" applyAlignment="1">
      <alignment/>
    </xf>
    <xf numFmtId="175" fontId="3" fillId="0" borderId="0" xfId="41" applyNumberFormat="1" applyFont="1" applyFill="1" applyAlignment="1">
      <alignment/>
    </xf>
    <xf numFmtId="0" fontId="3" fillId="0" borderId="8" xfId="40" applyFont="1" applyFill="1" applyBorder="1">
      <alignment/>
      <protection/>
    </xf>
    <xf numFmtId="0" fontId="3" fillId="0" borderId="0" xfId="40" applyFont="1" applyFill="1">
      <alignment/>
      <protection/>
    </xf>
    <xf numFmtId="170" fontId="3" fillId="0" borderId="6" xfId="18" applyNumberFormat="1" applyFont="1" applyFill="1" applyBorder="1" applyAlignment="1">
      <alignment/>
    </xf>
    <xf numFmtId="10" fontId="3" fillId="0" borderId="6" xfId="41" applyNumberFormat="1" applyFont="1" applyFill="1" applyBorder="1" applyAlignment="1">
      <alignment/>
    </xf>
    <xf numFmtId="37" fontId="3" fillId="0" borderId="0" xfId="0" applyNumberFormat="1" applyFont="1" applyFill="1" applyAlignment="1">
      <alignment/>
    </xf>
    <xf numFmtId="37" fontId="3" fillId="0" borderId="8" xfId="0" applyNumberFormat="1" applyFont="1" applyFill="1" applyBorder="1" applyAlignment="1">
      <alignment/>
    </xf>
    <xf numFmtId="37" fontId="3" fillId="0" borderId="0" xfId="0" applyNumberFormat="1" applyFont="1" applyFill="1" applyBorder="1" applyAlignment="1">
      <alignment/>
    </xf>
    <xf numFmtId="0" fontId="1" fillId="0" borderId="0" xfId="37" applyFont="1" applyFill="1" applyAlignment="1">
      <alignment horizontal="left" vertical="center"/>
      <protection/>
    </xf>
    <xf numFmtId="37" fontId="3" fillId="0" borderId="0" xfId="33" applyNumberFormat="1" applyFont="1" applyFill="1" applyAlignment="1" applyProtection="1">
      <alignment horizontal="right"/>
      <protection/>
    </xf>
    <xf numFmtId="37" fontId="3" fillId="0" borderId="10" xfId="33" applyNumberFormat="1" applyFont="1" applyFill="1" applyBorder="1" applyAlignment="1">
      <alignment horizontal="right"/>
      <protection/>
    </xf>
    <xf numFmtId="5" fontId="3" fillId="0" borderId="11" xfId="33" applyNumberFormat="1" applyFont="1" applyFill="1" applyBorder="1" applyAlignment="1">
      <alignment horizontal="right"/>
      <protection/>
    </xf>
    <xf numFmtId="5" fontId="3" fillId="0" borderId="11" xfId="0" applyNumberFormat="1" applyFont="1" applyFill="1" applyBorder="1" applyAlignment="1">
      <alignment/>
    </xf>
    <xf numFmtId="0" fontId="1" fillId="0" borderId="8" xfId="0" applyFont="1" applyFill="1" applyBorder="1" applyAlignment="1">
      <alignment/>
    </xf>
    <xf numFmtId="9" fontId="3" fillId="0" borderId="0" xfId="0" applyNumberFormat="1" applyFont="1" applyFill="1" applyAlignment="1">
      <alignment/>
    </xf>
    <xf numFmtId="10" fontId="3" fillId="0" borderId="0" xfId="0" applyNumberFormat="1" applyFont="1" applyFill="1" applyAlignment="1">
      <alignment/>
    </xf>
    <xf numFmtId="169" fontId="3" fillId="0" borderId="0" xfId="0" applyNumberFormat="1" applyFont="1" applyFill="1" applyAlignment="1">
      <alignment/>
    </xf>
    <xf numFmtId="9" fontId="3" fillId="0" borderId="8" xfId="0" applyNumberFormat="1" applyFont="1" applyFill="1" applyBorder="1" applyAlignment="1">
      <alignment/>
    </xf>
    <xf numFmtId="37" fontId="1" fillId="0" borderId="0" xfId="0" applyNumberFormat="1" applyFont="1" applyFill="1" applyAlignment="1">
      <alignment horizontal="center"/>
    </xf>
    <xf numFmtId="37" fontId="3" fillId="0" borderId="0" xfId="38" applyNumberFormat="1" applyFont="1" applyFill="1">
      <alignment/>
      <protection/>
    </xf>
    <xf numFmtId="42" fontId="3" fillId="0" borderId="0" xfId="0" applyNumberFormat="1" applyFont="1" applyFill="1" applyAlignment="1">
      <alignment/>
    </xf>
    <xf numFmtId="177" fontId="3" fillId="0" borderId="6" xfId="0" applyNumberFormat="1" applyFont="1" applyFill="1" applyBorder="1" applyAlignment="1">
      <alignment/>
    </xf>
    <xf numFmtId="0" fontId="3" fillId="0" borderId="0" xfId="0" applyFont="1" applyFill="1" applyAlignment="1">
      <alignment horizontal="center"/>
    </xf>
    <xf numFmtId="170" fontId="3" fillId="0" borderId="0" xfId="0" applyNumberFormat="1" applyFont="1" applyFill="1" applyAlignment="1">
      <alignment/>
    </xf>
    <xf numFmtId="42" fontId="3" fillId="0" borderId="11" xfId="0" applyNumberFormat="1" applyFont="1" applyFill="1" applyBorder="1" applyAlignment="1">
      <alignment horizontal="right"/>
    </xf>
    <xf numFmtId="164" fontId="1" fillId="0" borderId="0" xfId="38" applyNumberFormat="1" applyFont="1" applyFill="1" applyAlignment="1" applyProtection="1">
      <alignment/>
      <protection/>
    </xf>
    <xf numFmtId="38" fontId="1" fillId="0" borderId="0" xfId="38" applyFont="1" applyFill="1">
      <alignment/>
      <protection/>
    </xf>
    <xf numFmtId="164" fontId="1" fillId="0" borderId="0" xfId="38" applyNumberFormat="1" applyFont="1" applyFill="1" applyAlignment="1" applyProtection="1">
      <alignment horizontal="right"/>
      <protection locked="0"/>
    </xf>
    <xf numFmtId="38" fontId="3" fillId="0" borderId="0" xfId="38" applyFont="1" applyFill="1" applyAlignment="1">
      <alignment/>
      <protection/>
    </xf>
    <xf numFmtId="38" fontId="3" fillId="0" borderId="0" xfId="39" applyFont="1" applyFill="1">
      <alignment/>
      <protection/>
    </xf>
    <xf numFmtId="164" fontId="1" fillId="0" borderId="0" xfId="38" applyNumberFormat="1" applyFont="1" applyFill="1" applyAlignment="1" applyProtection="1">
      <alignment horizontal="center"/>
      <protection/>
    </xf>
    <xf numFmtId="164" fontId="1" fillId="0" borderId="0" xfId="38" applyNumberFormat="1" applyFont="1" applyFill="1" applyBorder="1" applyAlignment="1" applyProtection="1">
      <alignment horizontal="center"/>
      <protection/>
    </xf>
    <xf numFmtId="38" fontId="1" fillId="0" borderId="0" xfId="38" applyFont="1" applyFill="1" applyAlignment="1">
      <alignment horizontal="center"/>
      <protection/>
    </xf>
    <xf numFmtId="38" fontId="3" fillId="0" borderId="12" xfId="38" applyFont="1" applyFill="1" applyBorder="1" applyAlignment="1">
      <alignment/>
      <protection/>
    </xf>
    <xf numFmtId="38" fontId="3" fillId="0" borderId="0" xfId="38" applyFont="1" applyFill="1" applyAlignment="1" quotePrefix="1">
      <alignment/>
      <protection/>
    </xf>
    <xf numFmtId="164" fontId="1" fillId="0" borderId="8" xfId="38" applyNumberFormat="1" applyFont="1" applyFill="1" applyBorder="1" applyAlignment="1" applyProtection="1">
      <alignment horizontal="left"/>
      <protection/>
    </xf>
    <xf numFmtId="38" fontId="1" fillId="0" borderId="8" xfId="38" applyFont="1" applyFill="1" applyBorder="1">
      <alignment/>
      <protection/>
    </xf>
    <xf numFmtId="38" fontId="3" fillId="0" borderId="0" xfId="38" applyFont="1" applyFill="1" applyAlignment="1" quotePrefix="1">
      <alignment horizontal="left"/>
      <protection/>
    </xf>
    <xf numFmtId="49" fontId="3" fillId="0" borderId="0" xfId="38" applyNumberFormat="1" applyFont="1" applyFill="1" applyAlignment="1" applyProtection="1">
      <alignment horizontal="left"/>
      <protection/>
    </xf>
    <xf numFmtId="164" fontId="1" fillId="0" borderId="0" xfId="38" applyNumberFormat="1" applyFont="1" applyFill="1" applyAlignment="1" applyProtection="1">
      <alignment horizontal="left"/>
      <protection/>
    </xf>
    <xf numFmtId="37" fontId="1" fillId="0" borderId="0" xfId="38" applyNumberFormat="1" applyFont="1" applyFill="1" applyAlignment="1" applyProtection="1">
      <alignment/>
      <protection/>
    </xf>
    <xf numFmtId="37" fontId="1" fillId="0" borderId="0" xfId="38" applyNumberFormat="1" applyFont="1" applyFill="1">
      <alignment/>
      <protection/>
    </xf>
    <xf numFmtId="37" fontId="1" fillId="0" borderId="0" xfId="38" applyNumberFormat="1" applyFont="1" applyFill="1" applyAlignment="1" applyProtection="1">
      <alignment horizontal="right"/>
      <protection locked="0"/>
    </xf>
    <xf numFmtId="0" fontId="0" fillId="0" borderId="0" xfId="0" applyFont="1" applyFill="1" applyAlignment="1">
      <alignment/>
    </xf>
    <xf numFmtId="37" fontId="3" fillId="0" borderId="0" xfId="38" applyNumberFormat="1" applyFont="1" applyFill="1" applyAlignment="1">
      <alignment/>
      <protection/>
    </xf>
    <xf numFmtId="37" fontId="3" fillId="0" borderId="0" xfId="39" applyNumberFormat="1" applyFont="1" applyFill="1">
      <alignment/>
      <protection/>
    </xf>
    <xf numFmtId="37" fontId="1" fillId="0" borderId="0" xfId="38" applyNumberFormat="1" applyFont="1" applyFill="1" applyAlignment="1" applyProtection="1">
      <alignment horizontal="center"/>
      <protection/>
    </xf>
    <xf numFmtId="37" fontId="1" fillId="0" borderId="0" xfId="38" applyNumberFormat="1" applyFont="1" applyFill="1" applyBorder="1" applyAlignment="1" applyProtection="1">
      <alignment horizontal="center"/>
      <protection/>
    </xf>
    <xf numFmtId="37" fontId="1" fillId="0" borderId="0" xfId="38" applyNumberFormat="1" applyFont="1" applyFill="1" applyAlignment="1">
      <alignment horizontal="center"/>
      <protection/>
    </xf>
    <xf numFmtId="37" fontId="3" fillId="0" borderId="12" xfId="38" applyNumberFormat="1" applyFont="1" applyFill="1" applyBorder="1" applyAlignment="1">
      <alignment/>
      <protection/>
    </xf>
    <xf numFmtId="37" fontId="3" fillId="0" borderId="8" xfId="38" applyNumberFormat="1" applyFont="1" applyFill="1" applyBorder="1" applyAlignment="1">
      <alignment horizontal="center"/>
      <protection/>
    </xf>
    <xf numFmtId="37" fontId="3" fillId="0" borderId="0" xfId="38" applyNumberFormat="1" applyFont="1" applyFill="1" applyAlignment="1">
      <alignment horizontal="center"/>
      <protection/>
    </xf>
    <xf numFmtId="37" fontId="1" fillId="0" borderId="12" xfId="38" applyNumberFormat="1" applyFont="1" applyFill="1" applyBorder="1" applyAlignment="1" applyProtection="1">
      <alignment horizontal="center"/>
      <protection/>
    </xf>
    <xf numFmtId="37" fontId="3" fillId="0" borderId="0" xfId="38" applyNumberFormat="1" applyFont="1" applyFill="1" applyAlignment="1" quotePrefix="1">
      <alignment/>
      <protection/>
    </xf>
    <xf numFmtId="37" fontId="1" fillId="0" borderId="8" xfId="38" applyNumberFormat="1" applyFont="1" applyFill="1" applyBorder="1" applyAlignment="1" applyProtection="1">
      <alignment horizontal="left"/>
      <protection/>
    </xf>
    <xf numFmtId="37" fontId="1" fillId="0" borderId="8" xfId="38" applyNumberFormat="1" applyFont="1" applyFill="1" applyBorder="1">
      <alignment/>
      <protection/>
    </xf>
    <xf numFmtId="37" fontId="3" fillId="0" borderId="10" xfId="38" applyNumberFormat="1" applyFont="1" applyFill="1" applyBorder="1">
      <alignment/>
      <protection/>
    </xf>
    <xf numFmtId="37" fontId="3" fillId="0" borderId="0" xfId="38" applyNumberFormat="1" applyFont="1" applyFill="1" applyAlignment="1" quotePrefix="1">
      <alignment horizontal="left"/>
      <protection/>
    </xf>
    <xf numFmtId="37" fontId="3" fillId="0" borderId="0" xfId="38" applyNumberFormat="1" applyFont="1" applyFill="1" applyAlignment="1" applyProtection="1" quotePrefix="1">
      <alignment horizontal="left"/>
      <protection/>
    </xf>
    <xf numFmtId="37" fontId="3" fillId="0" borderId="0" xfId="38" applyNumberFormat="1" applyFont="1" applyFill="1" applyAlignment="1" applyProtection="1">
      <alignment horizontal="left"/>
      <protection/>
    </xf>
    <xf numFmtId="37" fontId="3" fillId="0" borderId="0" xfId="38" applyNumberFormat="1" applyFont="1" applyFill="1" applyBorder="1" applyAlignment="1">
      <alignment horizontal="right"/>
      <protection/>
    </xf>
    <xf numFmtId="37" fontId="1" fillId="0" borderId="0" xfId="38" applyNumberFormat="1" applyFont="1" applyFill="1" applyAlignment="1" applyProtection="1" quotePrefix="1">
      <alignment horizontal="left"/>
      <protection/>
    </xf>
    <xf numFmtId="37" fontId="1" fillId="0" borderId="11" xfId="38" applyNumberFormat="1" applyFont="1" applyFill="1" applyBorder="1" applyProtection="1">
      <alignment/>
      <protection/>
    </xf>
    <xf numFmtId="37" fontId="1" fillId="0" borderId="0" xfId="38" applyNumberFormat="1" applyFont="1" applyFill="1" applyBorder="1" applyAlignment="1">
      <alignment horizontal="right"/>
      <protection/>
    </xf>
    <xf numFmtId="37" fontId="3" fillId="0" borderId="0" xfId="38" applyNumberFormat="1" applyFont="1" applyFill="1" applyAlignment="1">
      <alignment horizontal="right"/>
      <protection/>
    </xf>
    <xf numFmtId="176" fontId="3" fillId="0" borderId="0" xfId="38" applyNumberFormat="1" applyFont="1" applyFill="1">
      <alignment/>
      <protection/>
    </xf>
    <xf numFmtId="0" fontId="3" fillId="0" borderId="0" xfId="33" applyFont="1" applyFill="1">
      <alignment/>
      <protection/>
    </xf>
    <xf numFmtId="0" fontId="3" fillId="0" borderId="0" xfId="33" applyFont="1" applyFill="1" applyAlignment="1">
      <alignment horizontal="right"/>
      <protection/>
    </xf>
    <xf numFmtId="0" fontId="1" fillId="0" borderId="0" xfId="33" applyFont="1" applyFill="1" applyAlignment="1">
      <alignment horizontal="left"/>
      <protection/>
    </xf>
    <xf numFmtId="0" fontId="1" fillId="0" borderId="0" xfId="33" applyFont="1" applyFill="1" applyAlignment="1">
      <alignment horizontal="right"/>
      <protection/>
    </xf>
    <xf numFmtId="0" fontId="1" fillId="0" borderId="0" xfId="33" applyFont="1" applyFill="1" applyAlignment="1" applyProtection="1">
      <alignment horizontal="right"/>
      <protection locked="0"/>
    </xf>
    <xf numFmtId="0" fontId="3" fillId="0" borderId="0" xfId="33" applyFont="1" applyFill="1" applyAlignment="1">
      <alignment horizontal="left"/>
      <protection/>
    </xf>
    <xf numFmtId="0" fontId="27" fillId="0" borderId="0" xfId="33" applyFont="1" applyFill="1">
      <alignment/>
      <protection/>
    </xf>
    <xf numFmtId="0" fontId="1" fillId="0" borderId="0" xfId="33" applyFont="1" applyFill="1" applyAlignment="1">
      <alignment horizontal="center"/>
      <protection/>
    </xf>
    <xf numFmtId="0" fontId="1" fillId="0" borderId="0" xfId="33" applyFont="1" applyFill="1" applyBorder="1" applyAlignment="1">
      <alignment horizontal="center"/>
      <protection/>
    </xf>
    <xf numFmtId="0" fontId="1" fillId="0" borderId="12" xfId="33" applyFont="1" applyFill="1" applyBorder="1" applyAlignment="1">
      <alignment horizontal="left"/>
      <protection/>
    </xf>
    <xf numFmtId="0" fontId="3" fillId="0" borderId="12" xfId="33" applyFont="1" applyFill="1" applyBorder="1">
      <alignment/>
      <protection/>
    </xf>
    <xf numFmtId="0" fontId="1" fillId="0" borderId="12" xfId="33" applyFont="1" applyFill="1" applyBorder="1" applyAlignment="1">
      <alignment horizontal="center"/>
      <protection/>
    </xf>
    <xf numFmtId="0" fontId="1" fillId="0" borderId="8" xfId="33" applyFont="1" applyFill="1" applyBorder="1" applyAlignment="1">
      <alignment horizontal="center"/>
      <protection/>
    </xf>
    <xf numFmtId="0" fontId="3" fillId="0" borderId="10" xfId="33" applyFont="1" applyFill="1" applyBorder="1" applyAlignment="1">
      <alignment horizontal="right"/>
      <protection/>
    </xf>
    <xf numFmtId="0" fontId="1" fillId="0" borderId="8" xfId="33" applyFont="1" applyFill="1" applyBorder="1">
      <alignment/>
      <protection/>
    </xf>
    <xf numFmtId="0" fontId="3" fillId="0" borderId="8" xfId="33" applyFont="1" applyFill="1" applyBorder="1">
      <alignment/>
      <protection/>
    </xf>
    <xf numFmtId="0" fontId="3" fillId="0" borderId="0" xfId="33" applyFont="1" applyFill="1" applyBorder="1" applyAlignment="1">
      <alignment horizontal="right"/>
      <protection/>
    </xf>
    <xf numFmtId="38" fontId="3" fillId="0" borderId="0" xfId="34" applyFont="1" applyFill="1">
      <alignment/>
      <protection/>
    </xf>
    <xf numFmtId="0" fontId="3" fillId="0" borderId="0" xfId="33" applyFont="1" applyFill="1" quotePrefix="1">
      <alignment/>
      <protection/>
    </xf>
    <xf numFmtId="37" fontId="3" fillId="0" borderId="0" xfId="33" applyNumberFormat="1" applyFont="1" applyFill="1" applyBorder="1">
      <alignment/>
      <protection/>
    </xf>
    <xf numFmtId="5" fontId="3" fillId="0" borderId="11" xfId="33" applyNumberFormat="1" applyFont="1" applyFill="1" applyBorder="1">
      <alignment/>
      <protection/>
    </xf>
    <xf numFmtId="169" fontId="3" fillId="0" borderId="0" xfId="33" applyNumberFormat="1" applyFont="1" applyFill="1">
      <alignment/>
      <protection/>
    </xf>
    <xf numFmtId="10" fontId="3" fillId="0" borderId="0" xfId="33" applyNumberFormat="1" applyFont="1" applyFill="1">
      <alignment/>
      <protection/>
    </xf>
    <xf numFmtId="10" fontId="3" fillId="0" borderId="8" xfId="33" applyNumberFormat="1" applyFont="1" applyFill="1" applyBorder="1">
      <alignment/>
      <protection/>
    </xf>
    <xf numFmtId="10" fontId="3" fillId="0" borderId="11" xfId="33" applyNumberFormat="1" applyFont="1" applyFill="1" applyBorder="1">
      <alignment/>
      <protection/>
    </xf>
    <xf numFmtId="0" fontId="28" fillId="0" borderId="0" xfId="33" applyFont="1" applyFill="1" applyAlignment="1">
      <alignment horizontal="left"/>
      <protection/>
    </xf>
    <xf numFmtId="0" fontId="1" fillId="0" borderId="0" xfId="33" applyFont="1" applyFill="1">
      <alignment/>
      <protection/>
    </xf>
    <xf numFmtId="0" fontId="1" fillId="0" borderId="8" xfId="33" applyFont="1" applyFill="1" applyBorder="1" applyAlignment="1">
      <alignment horizontal="left"/>
      <protection/>
    </xf>
    <xf numFmtId="0" fontId="28" fillId="0" borderId="0" xfId="33" applyFont="1" applyFill="1">
      <alignment/>
      <protection/>
    </xf>
    <xf numFmtId="5" fontId="3" fillId="0" borderId="13" xfId="33" applyNumberFormat="1" applyFont="1" applyFill="1" applyBorder="1" applyAlignment="1" applyProtection="1">
      <alignment horizontal="right"/>
      <protection/>
    </xf>
    <xf numFmtId="0" fontId="3" fillId="0" borderId="14" xfId="33" applyFont="1" applyFill="1" applyBorder="1" applyAlignment="1">
      <alignment horizontal="right"/>
      <protection/>
    </xf>
    <xf numFmtId="0" fontId="1" fillId="0" borderId="0" xfId="33" applyFont="1" applyFill="1" applyBorder="1">
      <alignment/>
      <protection/>
    </xf>
    <xf numFmtId="164" fontId="1" fillId="0" borderId="0" xfId="36" applyNumberFormat="1" applyFont="1" applyFill="1" applyAlignment="1" applyProtection="1">
      <alignment horizontal="left"/>
      <protection/>
    </xf>
    <xf numFmtId="0" fontId="3" fillId="0" borderId="0" xfId="33" applyFont="1" applyFill="1" applyBorder="1">
      <alignment/>
      <protection/>
    </xf>
    <xf numFmtId="0" fontId="1" fillId="0" borderId="0" xfId="33" applyFont="1" applyFill="1" applyAlignment="1" applyProtection="1">
      <alignment horizontal="left"/>
      <protection locked="0"/>
    </xf>
    <xf numFmtId="0" fontId="3" fillId="0" borderId="0" xfId="33" applyFont="1" applyFill="1" applyAlignment="1">
      <alignment horizontal="center"/>
      <protection/>
    </xf>
    <xf numFmtId="0" fontId="3" fillId="0" borderId="0" xfId="33" applyFont="1" applyFill="1" applyBorder="1" applyAlignment="1">
      <alignment horizontal="center"/>
      <protection/>
    </xf>
    <xf numFmtId="43" fontId="22" fillId="0" borderId="0" xfId="16" applyFont="1" applyFill="1" applyAlignment="1">
      <alignment horizontal="center"/>
    </xf>
    <xf numFmtId="0" fontId="29" fillId="0" borderId="0" xfId="33" applyFont="1" applyFill="1" applyAlignment="1">
      <alignment horizontal="left"/>
      <protection/>
    </xf>
    <xf numFmtId="5" fontId="3" fillId="0" borderId="0" xfId="33" applyNumberFormat="1" applyFont="1" applyFill="1" applyProtection="1">
      <alignment/>
      <protection/>
    </xf>
    <xf numFmtId="5" fontId="3" fillId="0" borderId="0" xfId="33" applyNumberFormat="1" applyFont="1" applyFill="1" applyBorder="1">
      <alignment/>
      <protection/>
    </xf>
    <xf numFmtId="0" fontId="3" fillId="0" borderId="0" xfId="33" applyFont="1" applyFill="1" applyAlignment="1" quotePrefix="1">
      <alignment horizontal="left"/>
      <protection/>
    </xf>
    <xf numFmtId="37" fontId="3" fillId="0" borderId="0" xfId="33" applyNumberFormat="1" applyFont="1" applyFill="1" applyProtection="1">
      <alignment/>
      <protection/>
    </xf>
    <xf numFmtId="5" fontId="3" fillId="0" borderId="10" xfId="33" applyNumberFormat="1" applyFont="1" applyFill="1" applyBorder="1" applyProtection="1">
      <alignment/>
      <protection/>
    </xf>
    <xf numFmtId="37" fontId="3" fillId="0" borderId="8" xfId="33" applyNumberFormat="1" applyFont="1" applyFill="1" applyBorder="1" applyProtection="1">
      <alignment/>
      <protection/>
    </xf>
    <xf numFmtId="37" fontId="3" fillId="0" borderId="0" xfId="33" applyNumberFormat="1" applyFont="1" applyFill="1" applyBorder="1" applyProtection="1">
      <alignment/>
      <protection/>
    </xf>
    <xf numFmtId="5" fontId="3" fillId="0" borderId="13" xfId="33" applyNumberFormat="1" applyFont="1" applyFill="1" applyBorder="1" applyProtection="1">
      <alignment/>
      <protection/>
    </xf>
    <xf numFmtId="5" fontId="3" fillId="0" borderId="11" xfId="33" applyNumberFormat="1" applyFont="1" applyFill="1" applyBorder="1" applyProtection="1">
      <alignment/>
      <protection/>
    </xf>
    <xf numFmtId="5" fontId="3" fillId="0" borderId="8" xfId="33" applyNumberFormat="1" applyFont="1" applyFill="1" applyBorder="1" applyProtection="1">
      <alignment/>
      <protection/>
    </xf>
    <xf numFmtId="38" fontId="3" fillId="0" borderId="0" xfId="33" applyNumberFormat="1" applyFont="1" applyFill="1" applyProtection="1">
      <alignment/>
      <protection/>
    </xf>
    <xf numFmtId="37" fontId="3" fillId="0" borderId="0" xfId="33" applyNumberFormat="1" applyFont="1" applyFill="1" applyAlignment="1">
      <alignment horizontal="left"/>
      <protection/>
    </xf>
    <xf numFmtId="37" fontId="3" fillId="0" borderId="8" xfId="38" applyNumberFormat="1" applyFont="1" applyFill="1" applyBorder="1" applyProtection="1">
      <alignment/>
      <protection/>
    </xf>
    <xf numFmtId="37" fontId="3" fillId="0" borderId="0" xfId="38" applyNumberFormat="1" applyFont="1" applyFill="1" applyBorder="1" applyProtection="1">
      <alignment/>
      <protection/>
    </xf>
    <xf numFmtId="164" fontId="3" fillId="0" borderId="0" xfId="38" applyNumberFormat="1" applyFont="1" applyFill="1" applyAlignment="1" applyProtection="1">
      <alignment horizontal="left"/>
      <protection/>
    </xf>
    <xf numFmtId="5" fontId="3" fillId="0" borderId="0" xfId="38" applyNumberFormat="1" applyFont="1" applyFill="1" applyBorder="1" applyProtection="1">
      <alignment/>
      <protection/>
    </xf>
    <xf numFmtId="170" fontId="3" fillId="0" borderId="0" xfId="18" applyNumberFormat="1" applyFont="1" applyFill="1" applyAlignment="1">
      <alignment/>
    </xf>
    <xf numFmtId="164" fontId="1" fillId="0" borderId="8" xfId="38" applyNumberFormat="1" applyFont="1" applyFill="1" applyBorder="1" applyAlignment="1" applyProtection="1">
      <alignment horizontal="center"/>
      <protection/>
    </xf>
    <xf numFmtId="164" fontId="1" fillId="0" borderId="12" xfId="38" applyNumberFormat="1" applyFont="1" applyFill="1" applyBorder="1" applyAlignment="1" applyProtection="1">
      <alignment horizontal="center"/>
      <protection/>
    </xf>
    <xf numFmtId="37" fontId="3" fillId="0" borderId="10" xfId="38" applyNumberFormat="1" applyFont="1" applyFill="1" applyBorder="1" applyAlignment="1">
      <alignment horizontal="right"/>
      <protection/>
    </xf>
    <xf numFmtId="38" fontId="1" fillId="0" borderId="0" xfId="38" applyFont="1" applyFill="1" applyBorder="1">
      <alignment/>
      <protection/>
    </xf>
    <xf numFmtId="37" fontId="1" fillId="0" borderId="0" xfId="38" applyNumberFormat="1" applyFont="1" applyFill="1" applyBorder="1" applyProtection="1">
      <alignment/>
      <protection/>
    </xf>
    <xf numFmtId="37" fontId="1" fillId="0" borderId="0" xfId="38" applyNumberFormat="1" applyFont="1" applyFill="1" applyProtection="1">
      <alignment/>
      <protection/>
    </xf>
    <xf numFmtId="5" fontId="3" fillId="0" borderId="0" xfId="38" applyNumberFormat="1" applyFont="1" applyFill="1">
      <alignment/>
      <protection/>
    </xf>
    <xf numFmtId="5" fontId="1" fillId="0" borderId="0" xfId="38" applyNumberFormat="1" applyFont="1" applyFill="1">
      <alignment/>
      <protection/>
    </xf>
    <xf numFmtId="5" fontId="1" fillId="0" borderId="0" xfId="38" applyNumberFormat="1" applyFont="1" applyFill="1" applyProtection="1">
      <alignment/>
      <protection/>
    </xf>
    <xf numFmtId="5" fontId="1" fillId="0" borderId="0" xfId="38" applyNumberFormat="1" applyFont="1" applyFill="1" applyBorder="1" applyAlignment="1">
      <alignment horizontal="right"/>
      <protection/>
    </xf>
    <xf numFmtId="164" fontId="1" fillId="0" borderId="0" xfId="38" applyNumberFormat="1" applyFont="1" applyFill="1" applyAlignment="1" applyProtection="1" quotePrefix="1">
      <alignment horizontal="left"/>
      <protection/>
    </xf>
    <xf numFmtId="38" fontId="3" fillId="0" borderId="0" xfId="38" applyFont="1" applyFill="1" applyAlignment="1">
      <alignment horizontal="left"/>
      <protection/>
    </xf>
    <xf numFmtId="38" fontId="1" fillId="0" borderId="8" xfId="39" applyFont="1" applyFill="1" applyBorder="1">
      <alignment/>
      <protection/>
    </xf>
    <xf numFmtId="38" fontId="1" fillId="0" borderId="0" xfId="39" applyFont="1" applyFill="1" applyBorder="1">
      <alignment/>
      <protection/>
    </xf>
    <xf numFmtId="0" fontId="3" fillId="0" borderId="0" xfId="38" applyNumberFormat="1" applyFont="1" applyFill="1" applyAlignment="1">
      <alignment horizontal="right"/>
      <protection/>
    </xf>
    <xf numFmtId="17" fontId="3" fillId="0" borderId="0" xfId="38" applyNumberFormat="1" applyFont="1" applyFill="1" applyAlignment="1" quotePrefix="1">
      <alignment horizontal="right"/>
      <protection/>
    </xf>
    <xf numFmtId="0" fontId="3" fillId="0" borderId="0" xfId="38" applyNumberFormat="1" applyFont="1" applyFill="1" applyAlignment="1" quotePrefix="1">
      <alignment horizontal="right"/>
      <protection/>
    </xf>
    <xf numFmtId="164" fontId="3" fillId="0" borderId="0" xfId="38" applyNumberFormat="1" applyFont="1" applyFill="1" applyAlignment="1" applyProtection="1">
      <alignment horizontal="center"/>
      <protection/>
    </xf>
    <xf numFmtId="0" fontId="22" fillId="0" borderId="0" xfId="0" applyFont="1" applyFill="1" applyAlignment="1">
      <alignment/>
    </xf>
    <xf numFmtId="0" fontId="17" fillId="0" borderId="0" xfId="33" applyFont="1" applyAlignment="1">
      <alignment horizontal="left"/>
      <protection/>
    </xf>
    <xf numFmtId="0" fontId="16" fillId="0" borderId="8" xfId="33" applyFont="1" applyBorder="1">
      <alignment/>
      <protection/>
    </xf>
    <xf numFmtId="0" fontId="17" fillId="0" borderId="8" xfId="33" applyFont="1" applyBorder="1">
      <alignment/>
      <protection/>
    </xf>
    <xf numFmtId="0" fontId="17" fillId="0" borderId="0" xfId="33" applyFont="1">
      <alignment/>
      <protection/>
    </xf>
    <xf numFmtId="0" fontId="17" fillId="0" borderId="0" xfId="33" applyFont="1" applyBorder="1" applyAlignment="1">
      <alignment horizontal="right"/>
      <protection/>
    </xf>
    <xf numFmtId="0" fontId="3" fillId="0" borderId="0" xfId="33" applyFont="1">
      <alignment/>
      <protection/>
    </xf>
    <xf numFmtId="0" fontId="3" fillId="0" borderId="0" xfId="33" applyFont="1" applyBorder="1">
      <alignment/>
      <protection/>
    </xf>
    <xf numFmtId="37" fontId="3" fillId="0" borderId="0" xfId="33" applyNumberFormat="1" applyFont="1" applyBorder="1">
      <alignment/>
      <protection/>
    </xf>
    <xf numFmtId="38" fontId="17" fillId="0" borderId="0" xfId="34" applyFont="1">
      <alignment/>
      <protection/>
    </xf>
    <xf numFmtId="0" fontId="30" fillId="0" borderId="8" xfId="33" applyFont="1" applyBorder="1">
      <alignment/>
      <protection/>
    </xf>
    <xf numFmtId="5" fontId="3" fillId="0" borderId="0" xfId="33" applyNumberFormat="1" applyFont="1" applyBorder="1">
      <alignment/>
      <protection/>
    </xf>
    <xf numFmtId="0" fontId="3" fillId="0" borderId="0" xfId="0" applyFont="1" applyFill="1" applyAlignment="1">
      <alignment vertical="top"/>
    </xf>
    <xf numFmtId="0" fontId="3" fillId="0" borderId="0" xfId="0" applyFont="1" applyBorder="1" applyAlignment="1">
      <alignment vertical="top"/>
    </xf>
    <xf numFmtId="0" fontId="3" fillId="0" borderId="0" xfId="33" applyFont="1" applyAlignment="1">
      <alignment horizontal="right"/>
      <protection/>
    </xf>
    <xf numFmtId="0" fontId="31" fillId="0" borderId="0" xfId="0" applyNumberFormat="1" applyFont="1" applyFill="1" applyAlignment="1">
      <alignment horizontal="right"/>
    </xf>
    <xf numFmtId="0" fontId="31" fillId="0" borderId="0" xfId="0" applyNumberFormat="1" applyFont="1" applyFill="1" applyAlignment="1">
      <alignment vertical="top"/>
    </xf>
    <xf numFmtId="0" fontId="31" fillId="0" borderId="0" xfId="0" applyNumberFormat="1" applyFont="1" applyFill="1" applyAlignment="1">
      <alignment horizontal="center"/>
    </xf>
    <xf numFmtId="0" fontId="17" fillId="0" borderId="0" xfId="33" applyFont="1" applyAlignment="1">
      <alignment horizontal="right"/>
      <protection/>
    </xf>
    <xf numFmtId="179" fontId="3" fillId="0"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Fill="1" applyAlignment="1">
      <alignment/>
    </xf>
    <xf numFmtId="4" fontId="3" fillId="0" borderId="0" xfId="16" applyNumberFormat="1" applyFont="1" applyFill="1" applyBorder="1" applyAlignment="1">
      <alignment/>
    </xf>
    <xf numFmtId="42" fontId="3" fillId="0" borderId="0" xfId="16" applyNumberFormat="1" applyFont="1" applyFill="1" applyAlignment="1">
      <alignment/>
    </xf>
    <xf numFmtId="42" fontId="3" fillId="0" borderId="8" xfId="16" applyNumberFormat="1" applyFont="1" applyFill="1" applyBorder="1" applyAlignment="1">
      <alignment/>
    </xf>
    <xf numFmtId="42" fontId="3" fillId="0" borderId="0" xfId="16" applyNumberFormat="1" applyFont="1" applyFill="1" applyBorder="1" applyAlignment="1">
      <alignment/>
    </xf>
    <xf numFmtId="42" fontId="3" fillId="0" borderId="11" xfId="19" applyNumberFormat="1" applyFont="1" applyFill="1" applyBorder="1" applyAlignment="1">
      <alignment/>
    </xf>
    <xf numFmtId="38" fontId="7" fillId="7" borderId="0" xfId="38" applyFont="1" applyFill="1" applyBorder="1">
      <alignment/>
      <protection/>
    </xf>
    <xf numFmtId="5" fontId="17" fillId="0" borderId="11" xfId="33" applyNumberFormat="1" applyFont="1" applyFill="1" applyBorder="1">
      <alignment/>
      <protection/>
    </xf>
    <xf numFmtId="38" fontId="1" fillId="0" borderId="8" xfId="38" applyFont="1" applyFill="1" applyBorder="1" applyAlignment="1">
      <alignment horizontal="center"/>
      <protection/>
    </xf>
    <xf numFmtId="5" fontId="3" fillId="7" borderId="0" xfId="33" applyNumberFormat="1" applyFont="1" applyFill="1" applyBorder="1" applyProtection="1">
      <alignment/>
      <protection/>
    </xf>
    <xf numFmtId="170" fontId="3" fillId="7" borderId="0" xfId="38" applyNumberFormat="1" applyFont="1" applyFill="1" applyProtection="1">
      <alignment/>
      <protection/>
    </xf>
    <xf numFmtId="175" fontId="3" fillId="0" borderId="8" xfId="41" applyNumberFormat="1" applyFont="1" applyFill="1" applyBorder="1" applyAlignment="1">
      <alignment/>
    </xf>
    <xf numFmtId="5" fontId="3" fillId="0" borderId="6" xfId="33" applyNumberFormat="1" applyFont="1" applyFill="1" applyBorder="1" applyAlignment="1">
      <alignment horizontal="right"/>
      <protection/>
    </xf>
    <xf numFmtId="3" fontId="19" fillId="0" borderId="0" xfId="0" applyNumberFormat="1" applyFont="1" applyAlignment="1">
      <alignment/>
    </xf>
    <xf numFmtId="5" fontId="3" fillId="7" borderId="0" xfId="33" applyNumberFormat="1" applyFont="1" applyFill="1" applyAlignment="1">
      <alignment horizontal="right"/>
      <protection/>
    </xf>
    <xf numFmtId="37" fontId="3" fillId="7" borderId="8" xfId="33" applyNumberFormat="1" applyFont="1" applyFill="1" applyBorder="1" applyAlignment="1">
      <alignment horizontal="right"/>
      <protection/>
    </xf>
    <xf numFmtId="37" fontId="3" fillId="0" borderId="0" xfId="33" applyNumberFormat="1" applyFont="1" applyAlignment="1">
      <alignment horizontal="right"/>
      <protection/>
    </xf>
    <xf numFmtId="5" fontId="3" fillId="0" borderId="0" xfId="33" applyNumberFormat="1" applyFont="1" applyAlignment="1" applyProtection="1">
      <alignment horizontal="right"/>
      <protection/>
    </xf>
    <xf numFmtId="5" fontId="3" fillId="0" borderId="0" xfId="33" applyNumberFormat="1" applyFont="1" applyFill="1" applyAlignment="1" applyProtection="1">
      <alignment horizontal="right"/>
      <protection/>
    </xf>
    <xf numFmtId="37" fontId="3" fillId="7" borderId="0" xfId="33" applyNumberFormat="1" applyFont="1" applyFill="1" applyBorder="1" applyAlignment="1">
      <alignment horizontal="right"/>
      <protection/>
    </xf>
    <xf numFmtId="37" fontId="3" fillId="0" borderId="0" xfId="33" applyNumberFormat="1" applyFont="1" applyFill="1" applyBorder="1" applyAlignment="1">
      <alignment horizontal="right"/>
      <protection/>
    </xf>
    <xf numFmtId="0" fontId="3" fillId="7" borderId="0" xfId="33" applyFont="1" applyFill="1">
      <alignment/>
      <protection/>
    </xf>
    <xf numFmtId="5" fontId="3" fillId="0" borderId="7" xfId="33" applyNumberFormat="1" applyFont="1" applyBorder="1" applyAlignment="1" applyProtection="1">
      <alignment horizontal="right"/>
      <protection/>
    </xf>
    <xf numFmtId="42" fontId="3" fillId="0" borderId="0" xfId="16" applyNumberFormat="1" applyFont="1" applyFill="1" applyAlignment="1">
      <alignment/>
    </xf>
    <xf numFmtId="42" fontId="3" fillId="0" borderId="0" xfId="16" applyNumberFormat="1" applyFont="1" applyFill="1" applyBorder="1" applyAlignment="1">
      <alignment/>
    </xf>
    <xf numFmtId="42" fontId="3" fillId="0" borderId="7" xfId="16" applyNumberFormat="1" applyFont="1" applyFill="1" applyBorder="1" applyAlignment="1">
      <alignment/>
    </xf>
    <xf numFmtId="0" fontId="18" fillId="0" borderId="0" xfId="0" applyFont="1" applyAlignment="1">
      <alignment horizontal="center"/>
    </xf>
    <xf numFmtId="0" fontId="0" fillId="0" borderId="0" xfId="0" applyAlignment="1">
      <alignment/>
    </xf>
    <xf numFmtId="38" fontId="1" fillId="0" borderId="8" xfId="38" applyFont="1" applyFill="1" applyBorder="1" applyAlignment="1">
      <alignment horizontal="center"/>
      <protection/>
    </xf>
    <xf numFmtId="0" fontId="1" fillId="0" borderId="8" xfId="0" applyFont="1" applyFill="1" applyBorder="1" applyAlignment="1">
      <alignment horizontal="center"/>
    </xf>
    <xf numFmtId="15" fontId="14" fillId="0" borderId="0" xfId="0" applyNumberFormat="1" applyFont="1" applyAlignment="1">
      <alignment horizontal="center"/>
    </xf>
    <xf numFmtId="0" fontId="14" fillId="0" borderId="0" xfId="0" applyFont="1" applyAlignment="1">
      <alignment horizontal="center"/>
    </xf>
    <xf numFmtId="0" fontId="0" fillId="0" borderId="0" xfId="0" applyBorder="1" applyAlignment="1">
      <alignment horizontal="center"/>
    </xf>
    <xf numFmtId="0" fontId="19" fillId="0" borderId="0" xfId="0" applyFont="1" applyAlignment="1">
      <alignment/>
    </xf>
    <xf numFmtId="0" fontId="19" fillId="0" borderId="0" xfId="0" applyNumberFormat="1" applyFont="1" applyAlignment="1" applyProtection="1">
      <alignment/>
      <protection locked="0"/>
    </xf>
    <xf numFmtId="0" fontId="19" fillId="0" borderId="0" xfId="0" applyNumberFormat="1" applyFont="1" applyAlignment="1" applyProtection="1">
      <alignment horizontal="left"/>
      <protection locked="0"/>
    </xf>
    <xf numFmtId="0" fontId="19" fillId="0" borderId="0" xfId="0" applyNumberFormat="1" applyFont="1" applyAlignment="1" applyProtection="1">
      <alignment vertical="top"/>
      <protection locked="0"/>
    </xf>
    <xf numFmtId="0" fontId="19" fillId="0" borderId="0" xfId="0" applyNumberFormat="1" applyFont="1" applyAlignment="1" applyProtection="1">
      <alignment horizontal="right"/>
      <protection locked="0"/>
    </xf>
    <xf numFmtId="0" fontId="19" fillId="0" borderId="0" xfId="0" applyNumberFormat="1" applyFont="1" applyFill="1" applyAlignment="1" applyProtection="1">
      <alignment horizontal="right"/>
      <protection locked="0"/>
    </xf>
    <xf numFmtId="0" fontId="19" fillId="0" borderId="0" xfId="0" applyNumberFormat="1" applyFont="1" applyFill="1" applyAlignment="1">
      <alignment vertical="top"/>
    </xf>
    <xf numFmtId="0" fontId="19" fillId="0" borderId="0" xfId="0" applyFont="1" applyFill="1" applyAlignment="1">
      <alignment/>
    </xf>
    <xf numFmtId="0" fontId="19" fillId="0" borderId="0" xfId="0" applyNumberFormat="1" applyFont="1" applyAlignment="1">
      <alignment vertical="top"/>
    </xf>
    <xf numFmtId="49" fontId="19" fillId="0" borderId="0" xfId="0" applyNumberFormat="1" applyFont="1" applyFill="1" applyAlignment="1">
      <alignment horizontal="center"/>
    </xf>
    <xf numFmtId="0" fontId="19" fillId="0" borderId="0" xfId="0" applyNumberFormat="1" applyFont="1" applyAlignment="1" applyProtection="1">
      <alignment horizontal="center"/>
      <protection locked="0"/>
    </xf>
    <xf numFmtId="49" fontId="19" fillId="0" borderId="0" xfId="0" applyNumberFormat="1" applyFont="1" applyAlignment="1">
      <alignment vertical="top"/>
    </xf>
    <xf numFmtId="0" fontId="19" fillId="0" borderId="15" xfId="0" applyNumberFormat="1" applyFont="1" applyBorder="1" applyAlignment="1" applyProtection="1">
      <alignment horizontal="center"/>
      <protection locked="0"/>
    </xf>
    <xf numFmtId="0" fontId="19" fillId="0" borderId="0" xfId="0" applyNumberFormat="1" applyFont="1" applyBorder="1" applyAlignment="1" applyProtection="1">
      <alignment horizontal="center"/>
      <protection locked="0"/>
    </xf>
    <xf numFmtId="3" fontId="19" fillId="0" borderId="0" xfId="0" applyNumberFormat="1" applyFont="1" applyAlignment="1">
      <alignment vertical="top"/>
    </xf>
    <xf numFmtId="42" fontId="19" fillId="0" borderId="0" xfId="0" applyNumberFormat="1" applyFont="1" applyAlignment="1">
      <alignment vertical="top"/>
    </xf>
    <xf numFmtId="0" fontId="19" fillId="0" borderId="0" xfId="0" applyNumberFormat="1" applyFont="1" applyAlignment="1">
      <alignment/>
    </xf>
    <xf numFmtId="3" fontId="19" fillId="0" borderId="0" xfId="0" applyNumberFormat="1" applyFont="1" applyFill="1" applyAlignment="1">
      <alignment/>
    </xf>
    <xf numFmtId="0" fontId="19" fillId="0" borderId="15" xfId="0" applyNumberFormat="1" applyFont="1" applyBorder="1" applyAlignment="1" applyProtection="1">
      <alignment horizontal="centerContinuous"/>
      <protection locked="0"/>
    </xf>
    <xf numFmtId="196" fontId="19" fillId="0" borderId="0" xfId="0" applyNumberFormat="1" applyFont="1" applyAlignment="1">
      <alignment/>
    </xf>
    <xf numFmtId="3" fontId="19" fillId="0" borderId="0" xfId="0" applyNumberFormat="1" applyFont="1" applyFill="1" applyBorder="1" applyAlignment="1">
      <alignment vertical="top"/>
    </xf>
    <xf numFmtId="3" fontId="19" fillId="5" borderId="0" xfId="0" applyNumberFormat="1" applyFont="1" applyFill="1" applyAlignment="1">
      <alignment/>
    </xf>
    <xf numFmtId="3" fontId="19" fillId="0" borderId="15" xfId="0" applyNumberFormat="1" applyFont="1" applyBorder="1" applyAlignment="1">
      <alignment/>
    </xf>
    <xf numFmtId="3" fontId="19" fillId="0" borderId="0" xfId="0" applyNumberFormat="1" applyFont="1" applyBorder="1" applyAlignment="1">
      <alignment/>
    </xf>
    <xf numFmtId="3" fontId="19" fillId="0" borderId="0" xfId="0" applyNumberFormat="1" applyFont="1" applyAlignment="1">
      <alignment horizontal="fill"/>
    </xf>
    <xf numFmtId="0" fontId="19" fillId="0" borderId="0" xfId="0" applyNumberFormat="1" applyFont="1" applyFill="1" applyAlignment="1" applyProtection="1">
      <alignment horizontal="center"/>
      <protection locked="0"/>
    </xf>
    <xf numFmtId="196" fontId="19" fillId="0" borderId="0" xfId="0" applyNumberFormat="1" applyFont="1" applyFill="1" applyAlignment="1">
      <alignment/>
    </xf>
    <xf numFmtId="3" fontId="19" fillId="5" borderId="0" xfId="0" applyNumberFormat="1" applyFont="1" applyFill="1" applyBorder="1" applyAlignment="1">
      <alignment/>
    </xf>
    <xf numFmtId="3" fontId="19" fillId="0" borderId="0" xfId="0" applyNumberFormat="1" applyFont="1" applyFill="1" applyBorder="1" applyAlignment="1">
      <alignment/>
    </xf>
    <xf numFmtId="3" fontId="19" fillId="5" borderId="15" xfId="0" applyNumberFormat="1" applyFont="1" applyFill="1" applyBorder="1" applyAlignment="1">
      <alignment/>
    </xf>
    <xf numFmtId="42" fontId="19" fillId="0" borderId="16" xfId="0" applyNumberFormat="1" applyFont="1" applyFill="1" applyBorder="1" applyAlignment="1" applyProtection="1">
      <alignment horizontal="right"/>
      <protection locked="0"/>
    </xf>
    <xf numFmtId="42" fontId="19" fillId="0" borderId="0" xfId="0" applyNumberFormat="1" applyFont="1" applyFill="1" applyBorder="1" applyAlignment="1" applyProtection="1">
      <alignment horizontal="right"/>
      <protection locked="0"/>
    </xf>
    <xf numFmtId="3" fontId="19" fillId="0" borderId="0" xfId="0" applyNumberFormat="1" applyFont="1" applyFill="1" applyAlignment="1">
      <alignment vertical="top"/>
    </xf>
    <xf numFmtId="0" fontId="19" fillId="0" borderId="0" xfId="0" applyNumberFormat="1" applyFont="1" applyFill="1" applyAlignment="1">
      <alignment/>
    </xf>
    <xf numFmtId="0" fontId="19" fillId="0" borderId="0" xfId="0" applyNumberFormat="1" applyFont="1" applyFill="1" applyAlignment="1" applyProtection="1">
      <alignment vertical="top"/>
      <protection locked="0"/>
    </xf>
    <xf numFmtId="3" fontId="19" fillId="5" borderId="0" xfId="0" applyNumberFormat="1" applyFont="1" applyFill="1" applyAlignment="1">
      <alignment vertical="top"/>
    </xf>
    <xf numFmtId="0" fontId="19" fillId="0" borderId="0" xfId="0" applyFont="1" applyBorder="1" applyAlignment="1">
      <alignment/>
    </xf>
    <xf numFmtId="3" fontId="19" fillId="5" borderId="0" xfId="0" applyNumberFormat="1" applyFont="1" applyFill="1" applyBorder="1" applyAlignment="1">
      <alignment vertical="top"/>
    </xf>
    <xf numFmtId="3" fontId="19" fillId="5" borderId="15" xfId="0" applyNumberFormat="1" applyFont="1" applyFill="1" applyBorder="1" applyAlignment="1">
      <alignment vertical="top"/>
    </xf>
    <xf numFmtId="199" fontId="19" fillId="0" borderId="0" xfId="0" applyNumberFormat="1" applyFont="1" applyFill="1" applyAlignment="1">
      <alignment vertical="top"/>
    </xf>
    <xf numFmtId="199" fontId="19" fillId="0" borderId="0" xfId="0" applyNumberFormat="1" applyFont="1" applyAlignment="1">
      <alignment vertical="top"/>
    </xf>
    <xf numFmtId="199" fontId="19" fillId="0" borderId="0" xfId="0" applyNumberFormat="1" applyFont="1" applyAlignment="1">
      <alignment horizontal="center"/>
    </xf>
    <xf numFmtId="0" fontId="19" fillId="0" borderId="0" xfId="0" applyFont="1" applyAlignment="1">
      <alignment horizontal="center"/>
    </xf>
    <xf numFmtId="0" fontId="19" fillId="0" borderId="0" xfId="0" applyNumberFormat="1" applyFont="1" applyAlignment="1">
      <alignment horizontal="left"/>
    </xf>
    <xf numFmtId="200" fontId="19" fillId="0" borderId="0" xfId="0" applyNumberFormat="1" applyFont="1" applyAlignment="1">
      <alignment/>
    </xf>
    <xf numFmtId="200" fontId="19" fillId="5" borderId="0" xfId="0" applyNumberFormat="1" applyFont="1" applyFill="1" applyAlignment="1" applyProtection="1">
      <alignment vertical="top"/>
      <protection locked="0"/>
    </xf>
    <xf numFmtId="200" fontId="19" fillId="0" borderId="0" xfId="0" applyNumberFormat="1" applyFont="1" applyAlignment="1" applyProtection="1">
      <alignment vertical="top"/>
      <protection locked="0"/>
    </xf>
    <xf numFmtId="200" fontId="19" fillId="0" borderId="0" xfId="0" applyNumberFormat="1" applyFont="1" applyFill="1" applyAlignment="1" applyProtection="1">
      <alignment vertical="top"/>
      <protection locked="0"/>
    </xf>
    <xf numFmtId="0" fontId="19" fillId="0" borderId="0" xfId="0" applyNumberFormat="1" applyFont="1" applyAlignment="1">
      <alignment horizontal="right"/>
    </xf>
    <xf numFmtId="0" fontId="19" fillId="0" borderId="0" xfId="0" applyNumberFormat="1" applyFont="1" applyFill="1" applyAlignment="1">
      <alignment horizontal="right"/>
    </xf>
    <xf numFmtId="3" fontId="19" fillId="0" borderId="0" xfId="0" applyNumberFormat="1" applyFont="1" applyFill="1" applyAlignment="1">
      <alignment horizontal="center"/>
    </xf>
    <xf numFmtId="0" fontId="19" fillId="0" borderId="0" xfId="0" applyNumberFormat="1" applyFont="1" applyAlignment="1">
      <alignment horizontal="center"/>
    </xf>
    <xf numFmtId="49" fontId="19" fillId="0" borderId="0" xfId="0" applyNumberFormat="1" applyFont="1" applyAlignment="1">
      <alignment horizontal="left"/>
    </xf>
    <xf numFmtId="49" fontId="19" fillId="0" borderId="0" xfId="0" applyNumberFormat="1" applyFont="1" applyAlignment="1">
      <alignment horizontal="center"/>
    </xf>
    <xf numFmtId="0" fontId="19" fillId="0" borderId="0" xfId="0" applyNumberFormat="1" applyFont="1" applyFill="1" applyAlignment="1">
      <alignment horizontal="center"/>
    </xf>
    <xf numFmtId="3" fontId="23" fillId="0" borderId="0" xfId="0" applyNumberFormat="1" applyFont="1" applyAlignment="1">
      <alignment horizontal="center"/>
    </xf>
    <xf numFmtId="0" fontId="23" fillId="0" borderId="0" xfId="0" applyNumberFormat="1" applyFont="1" applyAlignment="1" applyProtection="1">
      <alignment horizontal="center"/>
      <protection locked="0"/>
    </xf>
    <xf numFmtId="0" fontId="23" fillId="0" borderId="0" xfId="0" applyFont="1" applyAlignment="1">
      <alignment horizontal="center"/>
    </xf>
    <xf numFmtId="0" fontId="23" fillId="0" borderId="0" xfId="0" applyNumberFormat="1" applyFont="1" applyAlignment="1" applyProtection="1">
      <alignment horizontal="left"/>
      <protection locked="0"/>
    </xf>
    <xf numFmtId="3" fontId="23" fillId="0" borderId="0" xfId="0" applyNumberFormat="1" applyFont="1" applyAlignment="1">
      <alignment/>
    </xf>
    <xf numFmtId="0" fontId="23" fillId="0" borderId="0" xfId="0" applyNumberFormat="1" applyFont="1" applyAlignment="1">
      <alignment/>
    </xf>
    <xf numFmtId="3" fontId="32" fillId="0" borderId="0" xfId="0" applyNumberFormat="1" applyFont="1" applyAlignment="1">
      <alignment/>
    </xf>
    <xf numFmtId="201" fontId="19" fillId="0" borderId="0" xfId="0" applyNumberFormat="1" applyFont="1" applyAlignment="1">
      <alignment/>
    </xf>
    <xf numFmtId="175" fontId="19" fillId="0" borderId="0" xfId="0" applyNumberFormat="1" applyFont="1" applyAlignment="1">
      <alignment horizontal="center"/>
    </xf>
    <xf numFmtId="175" fontId="19" fillId="0" borderId="0" xfId="0" applyNumberFormat="1" applyFont="1" applyFill="1" applyAlignment="1">
      <alignment horizontal="center"/>
    </xf>
    <xf numFmtId="3" fontId="19" fillId="0" borderId="17" xfId="0" applyNumberFormat="1" applyFont="1" applyBorder="1" applyAlignment="1">
      <alignment/>
    </xf>
    <xf numFmtId="196" fontId="19" fillId="0" borderId="0" xfId="0" applyNumberFormat="1" applyFont="1" applyFill="1" applyAlignment="1">
      <alignment horizontal="center"/>
    </xf>
    <xf numFmtId="201" fontId="19" fillId="0" borderId="0" xfId="0" applyNumberFormat="1" applyFont="1" applyFill="1" applyAlignment="1">
      <alignment horizontal="right"/>
    </xf>
    <xf numFmtId="201" fontId="19" fillId="0" borderId="0" xfId="0" applyNumberFormat="1" applyFont="1" applyFill="1" applyAlignment="1">
      <alignment/>
    </xf>
    <xf numFmtId="0" fontId="19" fillId="0" borderId="0" xfId="0" applyNumberFormat="1" applyFont="1" applyFill="1" applyAlignment="1" applyProtection="1">
      <alignment/>
      <protection locked="0"/>
    </xf>
    <xf numFmtId="3" fontId="19" fillId="0" borderId="0" xfId="0" applyNumberFormat="1" applyFont="1" applyAlignment="1">
      <alignment horizontal="center"/>
    </xf>
    <xf numFmtId="0" fontId="19" fillId="0" borderId="15" xfId="0" applyFont="1" applyBorder="1" applyAlignment="1">
      <alignment/>
    </xf>
    <xf numFmtId="3" fontId="19" fillId="0" borderId="16" xfId="0" applyNumberFormat="1" applyFont="1" applyBorder="1" applyAlignment="1">
      <alignment/>
    </xf>
    <xf numFmtId="38" fontId="19" fillId="0" borderId="0" xfId="16" applyNumberFormat="1" applyFont="1" applyFill="1" applyAlignment="1">
      <alignment horizontal="center"/>
    </xf>
    <xf numFmtId="0" fontId="19" fillId="0" borderId="0" xfId="0" applyFont="1" applyFill="1" applyAlignment="1">
      <alignment horizontal="center"/>
    </xf>
    <xf numFmtId="0" fontId="23" fillId="0" borderId="0" xfId="0" applyNumberFormat="1" applyFont="1" applyFill="1" applyAlignment="1" applyProtection="1">
      <alignment horizontal="center"/>
      <protection locked="0"/>
    </xf>
    <xf numFmtId="0" fontId="23" fillId="0" borderId="0" xfId="0" applyNumberFormat="1" applyFont="1" applyAlignment="1" applyProtection="1">
      <alignment horizontal="center"/>
      <protection locked="0"/>
    </xf>
    <xf numFmtId="3" fontId="33" fillId="0" borderId="0" xfId="0" applyNumberFormat="1" applyFont="1" applyAlignment="1">
      <alignment/>
    </xf>
    <xf numFmtId="180" fontId="19" fillId="0" borderId="0" xfId="0" applyNumberFormat="1" applyFont="1" applyFill="1" applyAlignment="1">
      <alignment horizontal="left"/>
    </xf>
    <xf numFmtId="0" fontId="19" fillId="0" borderId="0" xfId="35" applyNumberFormat="1" applyFont="1" applyAlignment="1">
      <alignment/>
      <protection/>
    </xf>
    <xf numFmtId="0" fontId="34" fillId="0" borderId="0" xfId="0" applyFont="1" applyAlignment="1">
      <alignment/>
    </xf>
    <xf numFmtId="196" fontId="19" fillId="0" borderId="0" xfId="0" applyNumberFormat="1" applyFont="1" applyFill="1" applyAlignment="1">
      <alignment horizontal="right"/>
    </xf>
    <xf numFmtId="196" fontId="19" fillId="0" borderId="0" xfId="0" applyNumberFormat="1" applyFont="1" applyAlignment="1">
      <alignment horizontal="center"/>
    </xf>
    <xf numFmtId="175" fontId="19" fillId="0" borderId="0" xfId="0" applyNumberFormat="1" applyFont="1" applyAlignment="1">
      <alignment horizontal="left"/>
    </xf>
    <xf numFmtId="10" fontId="19" fillId="0" borderId="0" xfId="0" applyNumberFormat="1" applyFont="1" applyFill="1" applyAlignment="1">
      <alignment horizontal="right"/>
    </xf>
    <xf numFmtId="171" fontId="19" fillId="0" borderId="0" xfId="0" applyNumberFormat="1" applyFont="1" applyFill="1" applyAlignment="1">
      <alignment horizontal="right"/>
    </xf>
    <xf numFmtId="10" fontId="19" fillId="0" borderId="0" xfId="0" applyNumberFormat="1" applyFont="1" applyAlignment="1">
      <alignment horizontal="left"/>
    </xf>
    <xf numFmtId="3" fontId="19" fillId="0" borderId="0" xfId="0" applyNumberFormat="1" applyFont="1" applyFill="1" applyAlignment="1">
      <alignment horizontal="left"/>
    </xf>
    <xf numFmtId="175" fontId="19" fillId="0" borderId="0" xfId="0" applyNumberFormat="1" applyFont="1" applyAlignment="1" applyProtection="1">
      <alignment horizontal="left"/>
      <protection locked="0"/>
    </xf>
    <xf numFmtId="3" fontId="19" fillId="0" borderId="0" xfId="0" applyNumberFormat="1" applyFont="1" applyFill="1" applyAlignment="1">
      <alignment horizontal="right"/>
    </xf>
    <xf numFmtId="202" fontId="19" fillId="0" borderId="0" xfId="0" applyNumberFormat="1" applyFont="1" applyAlignment="1">
      <alignment/>
    </xf>
    <xf numFmtId="3" fontId="19" fillId="0" borderId="18" xfId="0" applyNumberFormat="1" applyFont="1" applyBorder="1" applyAlignment="1">
      <alignment/>
    </xf>
    <xf numFmtId="0" fontId="19" fillId="0" borderId="0" xfId="0" applyFont="1" applyFill="1" applyBorder="1" applyAlignment="1">
      <alignment/>
    </xf>
    <xf numFmtId="0" fontId="19" fillId="0" borderId="15" xfId="0" applyNumberFormat="1" applyFont="1" applyFill="1" applyBorder="1" applyAlignment="1" applyProtection="1">
      <alignment vertical="top"/>
      <protection locked="0"/>
    </xf>
    <xf numFmtId="0" fontId="19" fillId="0" borderId="15" xfId="0" applyNumberFormat="1" applyFont="1" applyFill="1" applyBorder="1" applyAlignment="1">
      <alignment vertical="top"/>
    </xf>
    <xf numFmtId="3" fontId="19" fillId="0" borderId="0" xfId="0" applyNumberFormat="1" applyFont="1" applyFill="1" applyAlignment="1">
      <alignment horizontal="center"/>
    </xf>
    <xf numFmtId="3" fontId="19" fillId="0" borderId="17" xfId="0" applyNumberFormat="1" applyFont="1" applyFill="1" applyBorder="1" applyAlignment="1">
      <alignment/>
    </xf>
    <xf numFmtId="49" fontId="19" fillId="0" borderId="0" xfId="0" applyNumberFormat="1" applyFont="1" applyFill="1" applyAlignment="1">
      <alignment vertical="top"/>
    </xf>
    <xf numFmtId="49" fontId="19" fillId="0" borderId="0" xfId="0" applyNumberFormat="1" applyFont="1" applyFill="1" applyBorder="1" applyAlignment="1">
      <alignment/>
    </xf>
    <xf numFmtId="49" fontId="19" fillId="0" borderId="0" xfId="0" applyNumberFormat="1" applyFont="1" applyFill="1" applyAlignment="1">
      <alignment/>
    </xf>
    <xf numFmtId="49" fontId="19" fillId="0" borderId="0" xfId="0" applyNumberFormat="1" applyFont="1" applyFill="1" applyAlignment="1">
      <alignment horizontal="center"/>
    </xf>
    <xf numFmtId="0" fontId="19" fillId="0" borderId="0" xfId="0" applyNumberFormat="1" applyFont="1" applyFill="1" applyBorder="1" applyAlignment="1">
      <alignment vertical="top"/>
    </xf>
    <xf numFmtId="201" fontId="19" fillId="0" borderId="0" xfId="0" applyNumberFormat="1" applyFont="1" applyFill="1" applyAlignment="1">
      <alignment vertical="top"/>
    </xf>
    <xf numFmtId="196" fontId="19" fillId="0" borderId="0" xfId="0" applyNumberFormat="1" applyFont="1" applyFill="1" applyAlignment="1">
      <alignment vertical="top"/>
    </xf>
    <xf numFmtId="3" fontId="19" fillId="0" borderId="15" xfId="0" applyNumberFormat="1" applyFont="1" applyBorder="1" applyAlignment="1">
      <alignment horizontal="center"/>
    </xf>
    <xf numFmtId="4" fontId="19" fillId="0" borderId="0" xfId="0" applyNumberFormat="1" applyFont="1" applyAlignment="1">
      <alignment/>
    </xf>
    <xf numFmtId="3" fontId="19" fillId="0" borderId="0" xfId="0" applyNumberFormat="1" applyFont="1" applyBorder="1" applyAlignment="1">
      <alignment horizontal="center"/>
    </xf>
    <xf numFmtId="3" fontId="19" fillId="0" borderId="0" xfId="0" applyNumberFormat="1" applyFont="1" applyFill="1" applyAlignment="1" quotePrefix="1">
      <alignment/>
    </xf>
    <xf numFmtId="196" fontId="19" fillId="0" borderId="0" xfId="0" applyNumberFormat="1" applyFont="1" applyAlignment="1" applyProtection="1">
      <alignment horizontal="center"/>
      <protection locked="0"/>
    </xf>
    <xf numFmtId="196" fontId="19" fillId="0" borderId="0" xfId="0" applyNumberFormat="1" applyFont="1" applyAlignment="1" quotePrefix="1">
      <alignment/>
    </xf>
    <xf numFmtId="0" fontId="19" fillId="0" borderId="15" xfId="0" applyNumberFormat="1" applyFont="1" applyBorder="1" applyAlignment="1">
      <alignment/>
    </xf>
    <xf numFmtId="3" fontId="19" fillId="0" borderId="0" xfId="0" applyNumberFormat="1" applyFont="1" applyAlignment="1" quotePrefix="1">
      <alignment horizontal="right"/>
    </xf>
    <xf numFmtId="3" fontId="19" fillId="0" borderId="0" xfId="0" applyNumberFormat="1" applyFont="1" applyFill="1" applyBorder="1" applyAlignment="1">
      <alignment horizontal="center"/>
    </xf>
    <xf numFmtId="42" fontId="19" fillId="5" borderId="0" xfId="0" applyNumberFormat="1" applyFont="1" applyFill="1" applyAlignment="1">
      <alignment/>
    </xf>
    <xf numFmtId="42" fontId="19" fillId="0" borderId="0" xfId="0" applyNumberFormat="1" applyFont="1" applyFill="1" applyAlignment="1">
      <alignment/>
    </xf>
    <xf numFmtId="3" fontId="19" fillId="0" borderId="0" xfId="0" applyNumberFormat="1" applyFont="1" applyFill="1" applyAlignment="1" applyProtection="1">
      <alignment/>
      <protection locked="0"/>
    </xf>
    <xf numFmtId="0" fontId="19" fillId="0" borderId="0" xfId="0" applyNumberFormat="1" applyFont="1" applyBorder="1" applyAlignment="1" applyProtection="1">
      <alignment vertical="top"/>
      <protection locked="0"/>
    </xf>
    <xf numFmtId="9" fontId="19" fillId="0" borderId="0" xfId="0" applyNumberFormat="1" applyFont="1" applyAlignment="1">
      <alignment/>
    </xf>
    <xf numFmtId="171" fontId="19" fillId="0" borderId="0" xfId="0" applyNumberFormat="1" applyFont="1" applyAlignment="1">
      <alignment/>
    </xf>
    <xf numFmtId="0" fontId="19" fillId="0" borderId="0" xfId="0" applyFont="1" applyFill="1" applyAlignment="1" quotePrefix="1">
      <alignment/>
    </xf>
    <xf numFmtId="171" fontId="19" fillId="5" borderId="0" xfId="0" applyNumberFormat="1" applyFont="1" applyFill="1" applyAlignment="1">
      <alignment/>
    </xf>
    <xf numFmtId="171" fontId="19" fillId="0" borderId="15" xfId="0" applyNumberFormat="1" applyFont="1" applyBorder="1" applyAlignment="1">
      <alignment/>
    </xf>
    <xf numFmtId="171" fontId="19" fillId="0" borderId="0" xfId="0" applyNumberFormat="1" applyFont="1" applyBorder="1" applyAlignment="1">
      <alignment/>
    </xf>
    <xf numFmtId="0" fontId="19" fillId="0" borderId="0" xfId="0" applyNumberFormat="1" applyFont="1" applyFill="1" applyBorder="1" applyAlignment="1" applyProtection="1">
      <alignment horizontal="center"/>
      <protection locked="0"/>
    </xf>
    <xf numFmtId="0" fontId="34" fillId="0" borderId="0" xfId="0" applyNumberFormat="1" applyFont="1" applyAlignment="1" applyProtection="1">
      <alignment vertical="top"/>
      <protection locked="0"/>
    </xf>
    <xf numFmtId="0" fontId="19" fillId="0" borderId="0" xfId="0" applyFont="1" applyFill="1" applyAlignment="1" applyProtection="1">
      <alignment/>
      <protection/>
    </xf>
    <xf numFmtId="38" fontId="19" fillId="5" borderId="0" xfId="0" applyNumberFormat="1" applyFont="1" applyFill="1" applyBorder="1" applyAlignment="1" applyProtection="1">
      <alignment vertical="top"/>
      <protection locked="0"/>
    </xf>
    <xf numFmtId="38" fontId="19" fillId="0" borderId="0" xfId="0" applyNumberFormat="1" applyFont="1" applyFill="1" applyBorder="1" applyAlignment="1" applyProtection="1">
      <alignment vertical="top"/>
      <protection locked="0"/>
    </xf>
    <xf numFmtId="0" fontId="19" fillId="0" borderId="0" xfId="0" applyNumberFormat="1" applyFont="1" applyBorder="1" applyAlignment="1">
      <alignment vertical="top"/>
    </xf>
    <xf numFmtId="38" fontId="19" fillId="5" borderId="15" xfId="0" applyNumberFormat="1" applyFont="1" applyFill="1" applyBorder="1" applyAlignment="1" applyProtection="1">
      <alignment vertical="top"/>
      <protection locked="0"/>
    </xf>
    <xf numFmtId="38" fontId="19" fillId="0" borderId="0" xfId="0" applyNumberFormat="1" applyFont="1" applyFill="1" applyBorder="1" applyAlignment="1" applyProtection="1">
      <alignment vertical="top"/>
      <protection/>
    </xf>
    <xf numFmtId="197" fontId="19" fillId="0" borderId="0" xfId="0" applyNumberFormat="1" applyFont="1" applyFill="1" applyBorder="1" applyAlignment="1" applyProtection="1">
      <alignment vertical="top"/>
      <protection/>
    </xf>
    <xf numFmtId="199" fontId="19" fillId="0" borderId="0" xfId="0" applyNumberFormat="1" applyFont="1" applyAlignment="1" applyProtection="1">
      <alignment vertical="top"/>
      <protection locked="0"/>
    </xf>
    <xf numFmtId="38" fontId="35" fillId="5" borderId="0" xfId="0" applyNumberFormat="1" applyFont="1" applyFill="1" applyBorder="1" applyAlignment="1" applyProtection="1">
      <alignment vertical="top"/>
      <protection locked="0"/>
    </xf>
    <xf numFmtId="38" fontId="35" fillId="0" borderId="0" xfId="0" applyNumberFormat="1" applyFont="1" applyFill="1" applyBorder="1" applyAlignment="1" applyProtection="1">
      <alignment vertical="top"/>
      <protection locked="0"/>
    </xf>
    <xf numFmtId="1" fontId="19" fillId="0" borderId="0" xfId="0" applyNumberFormat="1" applyFont="1" applyFill="1" applyAlignment="1" applyProtection="1">
      <alignment vertical="top"/>
      <protection/>
    </xf>
    <xf numFmtId="197" fontId="19" fillId="5" borderId="0" xfId="0" applyNumberFormat="1" applyFont="1" applyFill="1" applyBorder="1" applyAlignment="1" applyProtection="1">
      <alignment/>
      <protection locked="0"/>
    </xf>
    <xf numFmtId="197" fontId="19" fillId="0" borderId="0" xfId="0" applyNumberFormat="1" applyFont="1" applyFill="1" applyBorder="1" applyAlignment="1" applyProtection="1">
      <alignment/>
      <protection locked="0"/>
    </xf>
    <xf numFmtId="1" fontId="19" fillId="0" borderId="0" xfId="0" applyNumberFormat="1" applyFont="1" applyFill="1" applyAlignment="1" applyProtection="1">
      <alignment/>
      <protection/>
    </xf>
    <xf numFmtId="0" fontId="19" fillId="0" borderId="0" xfId="0" applyNumberFormat="1" applyFont="1" applyBorder="1" applyAlignment="1" applyProtection="1">
      <alignment/>
      <protection locked="0"/>
    </xf>
    <xf numFmtId="0" fontId="19" fillId="0" borderId="19" xfId="0" applyNumberFormat="1" applyFont="1" applyBorder="1" applyAlignment="1" applyProtection="1">
      <alignment/>
      <protection locked="0"/>
    </xf>
    <xf numFmtId="0" fontId="19" fillId="0" borderId="19" xfId="0" applyNumberFormat="1" applyFont="1" applyBorder="1" applyAlignment="1" applyProtection="1">
      <alignment vertical="top"/>
      <protection locked="0"/>
    </xf>
    <xf numFmtId="197" fontId="19" fillId="5" borderId="15" xfId="0" applyNumberFormat="1" applyFont="1" applyFill="1" applyBorder="1" applyAlignment="1" applyProtection="1">
      <alignment/>
      <protection locked="0"/>
    </xf>
    <xf numFmtId="3" fontId="19" fillId="0" borderId="0" xfId="0" applyNumberFormat="1" applyFont="1" applyFill="1" applyAlignment="1" applyProtection="1">
      <alignment horizontal="right"/>
      <protection locked="0"/>
    </xf>
    <xf numFmtId="195" fontId="19" fillId="0" borderId="0" xfId="0" applyNumberFormat="1" applyFont="1" applyAlignment="1" applyProtection="1">
      <alignment/>
      <protection locked="0"/>
    </xf>
    <xf numFmtId="197" fontId="19" fillId="0" borderId="0" xfId="0" applyNumberFormat="1" applyFont="1" applyFill="1" applyBorder="1" applyAlignment="1" applyProtection="1">
      <alignment/>
      <protection/>
    </xf>
    <xf numFmtId="3" fontId="19" fillId="0" borderId="0" xfId="0" applyNumberFormat="1" applyFont="1" applyFill="1" applyAlignment="1" applyProtection="1">
      <alignment/>
      <protection/>
    </xf>
    <xf numFmtId="0" fontId="19" fillId="0" borderId="0" xfId="0" applyNumberFormat="1" applyFont="1" applyAlignment="1" applyProtection="1">
      <alignment horizontal="left" wrapText="1"/>
      <protection locked="0"/>
    </xf>
    <xf numFmtId="0" fontId="19" fillId="0" borderId="0" xfId="0" applyFont="1" applyAlignment="1">
      <alignment horizontal="left" wrapText="1"/>
    </xf>
    <xf numFmtId="197" fontId="19" fillId="0" borderId="0" xfId="0" applyNumberFormat="1" applyFont="1" applyAlignment="1" applyProtection="1">
      <alignment vertical="top"/>
      <protection locked="0"/>
    </xf>
    <xf numFmtId="0" fontId="19" fillId="0" borderId="0" xfId="0" applyNumberFormat="1" applyFont="1" applyAlignment="1" applyProtection="1">
      <alignment horizontal="left" indent="8"/>
      <protection locked="0"/>
    </xf>
    <xf numFmtId="10" fontId="19" fillId="5" borderId="0" xfId="0" applyNumberFormat="1" applyFont="1" applyFill="1" applyAlignment="1">
      <alignment vertical="top"/>
    </xf>
    <xf numFmtId="0" fontId="36" fillId="0" borderId="0" xfId="0" applyNumberFormat="1" applyFont="1" applyFill="1" applyAlignment="1" applyProtection="1">
      <alignment vertical="top"/>
      <protection locked="0"/>
    </xf>
    <xf numFmtId="10" fontId="19" fillId="0" borderId="0" xfId="0" applyNumberFormat="1" applyFont="1" applyFill="1" applyAlignment="1">
      <alignment vertical="top"/>
    </xf>
    <xf numFmtId="0" fontId="19" fillId="0" borderId="0" xfId="0" applyFont="1" applyFill="1" applyAlignment="1">
      <alignment horizontal="center"/>
    </xf>
    <xf numFmtId="0" fontId="19" fillId="0" borderId="0" xfId="0" applyNumberFormat="1" applyFont="1" applyFill="1" applyAlignment="1">
      <alignment horizontal="left" indent="2"/>
    </xf>
    <xf numFmtId="0" fontId="19" fillId="0" borderId="0" xfId="0" applyFont="1" applyFill="1" applyAlignment="1">
      <alignment horizontal="left" indent="2"/>
    </xf>
    <xf numFmtId="0" fontId="19" fillId="0" borderId="0" xfId="0" applyNumberFormat="1" applyFont="1" applyFill="1" applyAlignment="1">
      <alignment horizontal="left"/>
    </xf>
    <xf numFmtId="0" fontId="19" fillId="0" borderId="0" xfId="35" applyNumberFormat="1" applyFont="1" applyFill="1">
      <alignment/>
      <protection/>
    </xf>
    <xf numFmtId="0" fontId="23" fillId="0" borderId="0" xfId="0" applyFont="1" applyAlignment="1">
      <alignment/>
    </xf>
    <xf numFmtId="0" fontId="19" fillId="0" borderId="0" xfId="0" applyFont="1" applyAlignment="1">
      <alignment wrapText="1"/>
    </xf>
    <xf numFmtId="0" fontId="0" fillId="0" borderId="0" xfId="0" applyAlignment="1">
      <alignment wrapText="1"/>
    </xf>
    <xf numFmtId="38" fontId="3" fillId="7" borderId="0" xfId="38" applyFont="1" applyFill="1" applyBorder="1">
      <alignment/>
      <protection/>
    </xf>
  </cellXfs>
  <cellStyles count="36">
    <cellStyle name="Normal" xfId="0"/>
    <cellStyle name="Actual Date" xfId="15"/>
    <cellStyle name="Comma" xfId="16"/>
    <cellStyle name="Comma [0]" xfId="17"/>
    <cellStyle name="Comma_Rate Formula Non-Levelized FERC Form 1 Data(2)1 with DBG info" xfId="18"/>
    <cellStyle name="Currency" xfId="19"/>
    <cellStyle name="Currency [0]" xfId="20"/>
    <cellStyle name="Date" xfId="21"/>
    <cellStyle name="Fixed" xfId="22"/>
    <cellStyle name="Followed Hyperlink" xfId="23"/>
    <cellStyle name="Grey" xfId="24"/>
    <cellStyle name="HEADER" xfId="25"/>
    <cellStyle name="Heading1" xfId="26"/>
    <cellStyle name="Heading2" xfId="27"/>
    <cellStyle name="HIGHLIGHT" xfId="28"/>
    <cellStyle name="Hyperlink" xfId="29"/>
    <cellStyle name="Input [yellow]" xfId="30"/>
    <cellStyle name="no dec" xfId="31"/>
    <cellStyle name="Normal - Style1" xfId="32"/>
    <cellStyle name="Normal_0112 No Link Exp" xfId="33"/>
    <cellStyle name="Normal_0212 A Statements" xfId="34"/>
    <cellStyle name="Normal_ATE-4  Attachment  O Populated (3)" xfId="35"/>
    <cellStyle name="Normal_Book2" xfId="36"/>
    <cellStyle name="Normal_Book2_12-31-2004 SPS BK Revised Revenue Credit" xfId="37"/>
    <cellStyle name="Normal_Book4_1" xfId="38"/>
    <cellStyle name="Normal_Budgeted A Statements" xfId="39"/>
    <cellStyle name="Normal_SHEET" xfId="40"/>
    <cellStyle name="Percent" xfId="41"/>
    <cellStyle name="Percent [2]" xfId="42"/>
    <cellStyle name="RangeBelow" xfId="43"/>
    <cellStyle name="SubRoutine" xfId="44"/>
    <cellStyle name="þ(Î'_x000C_ïþ÷_x000C_âþÖ_x0006__x0002_Þ”_x0013__x0007__x0001__x0001__x0000__x0002_ÿÿÿÿÿÿÿÿÿÿÿÿÿÿÿ¯_x0000_&quot;_x0002_a_x0014_ _x0000__x0000__x0000_þ&quot;ÿÿÿÿ_x0000__x0000_Î_x0005__x0005__x0000__x0000__x0000__x0000__x0000__x0000__x0000__x0000__x0000__x0000__x0000__x0000__x0000__x0000__x0000_Í!Ë_x0000__x0000__x0000__x0000__x0000__x0000__x0000__x0000__x0000__x0000_           _x0000__x0000__x0000__x0000__x0000_           _x0000__x0000__x0000__x0000__x0000__x0000__x0000__x0000__x0003_   &#13;rting Windows 3.1 ....&#13;TXT GOTO WINSTART&#13;asdlkjhasldkjhalkjshdfalhsdflkjahsdlkjhasdlkjhasldkjhljkhasjjdhajshdjhfjd" xfId="45"/>
    <cellStyle name="Total" xfId="46"/>
    <cellStyle name="Unprot" xfId="47"/>
    <cellStyle name="Unprot$" xfId="48"/>
    <cellStyle name="Unprotec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PCPSS01\Home\te594\Dassler\AR-F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SP-SS\REVREQ\EXCEL\FERC\SPS%20COSS%20for%202003\December%202003\BK%20Inpu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lue\team\INCTAX\93RTN\FEDERAL\NSP(MN)\93GLD2A.XLW"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rp\SharedData\SSP-SS\TaxSrvcs\INCOME\2001\2001ftr\ssc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rp\SharedData\TaxSrvcs\INCOME\1998\1998ftr\Fuelco\reconcil_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t1088\Desktop\spsfrant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elcpsp01\SharedData\SSP-SS\REVREQ\EXCEL\FERC\SPS%20COSS%20for%202003\December%202003\BK%20In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FIT"/>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 BK - Funct Model"/>
      <sheetName val="meter check"/>
      <sheetName val="Constan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ps fed amt ace anal"/>
      <sheetName val="psc fed amt ace anal"/>
      <sheetName val="tax rates"/>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ex"/>
      <sheetName val="return to accrual"/>
      <sheetName val="trial balance - trc order"/>
      <sheetName val="trial balance - acct order"/>
      <sheetName val="tax adjustments"/>
      <sheetName val="reclass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try"/>
      <sheetName val="26002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7 BK - Funct Model"/>
      <sheetName val="meter check"/>
      <sheetName val="Consta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A6:H11"/>
  <sheetViews>
    <sheetView showGridLines="0" tabSelected="1" workbookViewId="0" topLeftCell="A1">
      <selection activeCell="C10" sqref="C10:F10"/>
    </sheetView>
  </sheetViews>
  <sheetFormatPr defaultColWidth="8.88671875" defaultRowHeight="15"/>
  <sheetData>
    <row r="6" spans="1:8" ht="15.75">
      <c r="A6" s="237" t="s">
        <v>236</v>
      </c>
      <c r="B6" s="237"/>
      <c r="C6" s="237"/>
      <c r="D6" s="237"/>
      <c r="E6" s="237"/>
      <c r="F6" s="237"/>
      <c r="G6" s="237"/>
      <c r="H6" s="237"/>
    </row>
    <row r="7" spans="1:8" ht="15.75">
      <c r="A7" s="237" t="s">
        <v>237</v>
      </c>
      <c r="B7" s="237"/>
      <c r="C7" s="237"/>
      <c r="D7" s="237"/>
      <c r="E7" s="237"/>
      <c r="F7" s="237"/>
      <c r="G7" s="237"/>
      <c r="H7" s="237"/>
    </row>
    <row r="8" spans="1:8" ht="15.75">
      <c r="A8" s="237" t="s">
        <v>315</v>
      </c>
      <c r="B8" s="237"/>
      <c r="C8" s="237"/>
      <c r="D8" s="237"/>
      <c r="E8" s="237"/>
      <c r="F8" s="237"/>
      <c r="G8" s="237"/>
      <c r="H8" s="237"/>
    </row>
    <row r="9" spans="1:8" ht="15.75">
      <c r="A9" s="236"/>
      <c r="B9" s="237"/>
      <c r="C9" s="237"/>
      <c r="D9" s="237"/>
      <c r="E9" s="237"/>
      <c r="F9" s="237"/>
      <c r="G9" s="237"/>
      <c r="H9" s="237"/>
    </row>
    <row r="10" spans="3:6" ht="15">
      <c r="C10" s="238" t="s">
        <v>317</v>
      </c>
      <c r="D10" s="238"/>
      <c r="E10" s="238"/>
      <c r="F10" s="238"/>
    </row>
    <row r="11" spans="1:8" ht="15.75">
      <c r="A11" s="236"/>
      <c r="B11" s="237"/>
      <c r="C11" s="237"/>
      <c r="D11" s="237"/>
      <c r="E11" s="237"/>
      <c r="F11" s="237"/>
      <c r="G11" s="237"/>
      <c r="H11" s="237"/>
    </row>
  </sheetData>
  <mergeCells count="6">
    <mergeCell ref="A11:H11"/>
    <mergeCell ref="A6:H6"/>
    <mergeCell ref="A7:H7"/>
    <mergeCell ref="A8:H8"/>
    <mergeCell ref="A9:H9"/>
    <mergeCell ref="C10:F1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P64"/>
  <sheetViews>
    <sheetView showGridLines="0" workbookViewId="0" topLeftCell="A1">
      <selection activeCell="A4" sqref="A4"/>
    </sheetView>
  </sheetViews>
  <sheetFormatPr defaultColWidth="14.4453125" defaultRowHeight="15"/>
  <cols>
    <col min="1" max="1" width="4.77734375" style="73" customWidth="1"/>
    <col min="2" max="2" width="2.77734375" style="2" customWidth="1"/>
    <col min="3" max="3" width="34.6640625" style="2" customWidth="1"/>
    <col min="4" max="4" width="14.4453125" style="2" customWidth="1"/>
    <col min="5" max="5" width="0.88671875" style="2" customWidth="1"/>
    <col min="6" max="6" width="12.88671875" style="2" bestFit="1" customWidth="1"/>
    <col min="7" max="7" width="0.88671875" style="2" customWidth="1"/>
    <col min="8" max="8" width="12.88671875" style="2" bestFit="1" customWidth="1"/>
    <col min="9" max="9" width="0.88671875" style="2" customWidth="1"/>
    <col min="10" max="10" width="12.88671875" style="2" bestFit="1" customWidth="1"/>
    <col min="11" max="11" width="0.88671875" style="2" customWidth="1"/>
    <col min="12" max="12" width="12.88671875" style="2" customWidth="1"/>
    <col min="13" max="13" width="0.88671875" style="2" customWidth="1"/>
    <col min="14" max="14" width="18.10546875" style="2" bestFit="1" customWidth="1"/>
    <col min="15" max="15" width="0.671875" style="2" customWidth="1"/>
    <col min="16" max="16" width="14.4453125" style="2" bestFit="1" customWidth="1"/>
    <col min="17" max="16384" width="14.4453125" style="2" customWidth="1"/>
  </cols>
  <sheetData>
    <row r="1" spans="1:15" ht="12.75">
      <c r="A1" s="70" t="s">
        <v>15</v>
      </c>
      <c r="B1" s="71"/>
      <c r="C1" s="71"/>
      <c r="D1" s="71"/>
      <c r="E1" s="71"/>
      <c r="F1" s="72" t="s">
        <v>285</v>
      </c>
      <c r="G1" s="71"/>
      <c r="H1" s="71"/>
      <c r="I1" s="71"/>
      <c r="J1" s="71"/>
      <c r="K1" s="71"/>
      <c r="L1" s="71"/>
      <c r="M1" s="71"/>
      <c r="N1" s="71"/>
      <c r="O1" s="71"/>
    </row>
    <row r="2" spans="1:15" ht="12.75">
      <c r="A2" s="70" t="s">
        <v>30</v>
      </c>
      <c r="B2" s="71"/>
      <c r="C2" s="71"/>
      <c r="D2" s="71"/>
      <c r="E2" s="71"/>
      <c r="F2" s="72"/>
      <c r="G2" s="71"/>
      <c r="H2" s="71"/>
      <c r="I2" s="71"/>
      <c r="J2" s="71"/>
      <c r="K2" s="71"/>
      <c r="L2" s="71"/>
      <c r="M2" s="71"/>
      <c r="N2" s="71"/>
      <c r="O2" s="71"/>
    </row>
    <row r="3" spans="1:15" ht="12.75">
      <c r="A3" s="70" t="s">
        <v>286</v>
      </c>
      <c r="B3" s="71"/>
      <c r="C3" s="71"/>
      <c r="D3" s="71" t="s">
        <v>112</v>
      </c>
      <c r="E3" s="71"/>
      <c r="F3" s="71"/>
      <c r="G3" s="71"/>
      <c r="H3" s="71"/>
      <c r="I3" s="71"/>
      <c r="J3" s="71"/>
      <c r="K3" s="71"/>
      <c r="L3" s="71"/>
      <c r="M3" s="71"/>
      <c r="N3" s="71"/>
      <c r="O3" s="71"/>
    </row>
    <row r="5" ht="4.5" customHeight="1">
      <c r="B5" s="74"/>
    </row>
    <row r="6" spans="1:16" ht="12.75">
      <c r="A6" s="73" t="s">
        <v>153</v>
      </c>
      <c r="D6" s="75" t="s">
        <v>172</v>
      </c>
      <c r="E6" s="77"/>
      <c r="F6" s="5"/>
      <c r="G6" s="5"/>
      <c r="H6" s="5"/>
      <c r="I6" s="5"/>
      <c r="J6" s="5"/>
      <c r="K6" s="5"/>
      <c r="L6" s="5"/>
      <c r="M6" s="5"/>
      <c r="N6" s="5"/>
      <c r="O6" s="5"/>
      <c r="P6" s="5"/>
    </row>
    <row r="7" spans="1:16" ht="12.75">
      <c r="A7" s="78" t="s">
        <v>129</v>
      </c>
      <c r="D7" s="75">
        <v>105</v>
      </c>
      <c r="E7" s="77"/>
      <c r="F7" s="5"/>
      <c r="G7" s="5"/>
      <c r="H7" s="5"/>
      <c r="I7" s="5"/>
      <c r="J7" s="5"/>
      <c r="K7" s="5"/>
      <c r="L7" s="5"/>
      <c r="M7" s="5"/>
      <c r="N7" s="5"/>
      <c r="O7" s="5"/>
      <c r="P7" s="5"/>
    </row>
    <row r="8" spans="1:16" ht="12.75">
      <c r="A8" s="79" t="s">
        <v>133</v>
      </c>
      <c r="B8" s="80" t="s">
        <v>16</v>
      </c>
      <c r="C8" s="81"/>
      <c r="D8" s="32"/>
      <c r="F8" s="5"/>
      <c r="G8" s="5"/>
      <c r="H8" s="5"/>
      <c r="I8" s="5"/>
      <c r="J8" s="5"/>
      <c r="K8" s="5"/>
      <c r="L8" s="5"/>
      <c r="M8" s="5"/>
      <c r="N8" s="5"/>
      <c r="O8" s="5"/>
      <c r="P8" s="5"/>
    </row>
    <row r="9" spans="1:16" ht="12.75">
      <c r="A9" s="82">
        <f aca="true" t="shared" si="0" ref="A9:A37">+A8+1</f>
        <v>2</v>
      </c>
      <c r="C9" s="83" t="s">
        <v>268</v>
      </c>
      <c r="D9" s="27">
        <f aca="true" t="shared" si="1" ref="D9:D21">+D28+D47</f>
        <v>8103</v>
      </c>
      <c r="E9" s="28"/>
      <c r="F9" s="5"/>
      <c r="G9" s="5"/>
      <c r="H9" s="5"/>
      <c r="I9" s="5"/>
      <c r="J9" s="5"/>
      <c r="K9" s="5"/>
      <c r="L9" s="5"/>
      <c r="M9" s="5"/>
      <c r="N9" s="5"/>
      <c r="O9" s="5"/>
      <c r="P9" s="5"/>
    </row>
    <row r="10" spans="1:16" ht="12.75">
      <c r="A10" s="82">
        <f t="shared" si="0"/>
        <v>3</v>
      </c>
      <c r="C10" s="83" t="s">
        <v>287</v>
      </c>
      <c r="D10" s="28">
        <f t="shared" si="1"/>
        <v>8103</v>
      </c>
      <c r="E10" s="28"/>
      <c r="F10" s="5"/>
      <c r="G10" s="5"/>
      <c r="H10" s="5"/>
      <c r="I10" s="5"/>
      <c r="J10" s="5"/>
      <c r="K10" s="5"/>
      <c r="L10" s="5"/>
      <c r="M10" s="5"/>
      <c r="N10" s="5"/>
      <c r="O10" s="5"/>
      <c r="P10" s="5"/>
    </row>
    <row r="11" spans="1:16" ht="12.75">
      <c r="A11" s="82">
        <f t="shared" si="0"/>
        <v>4</v>
      </c>
      <c r="C11" s="83" t="s">
        <v>154</v>
      </c>
      <c r="D11" s="28">
        <f t="shared" si="1"/>
        <v>8103</v>
      </c>
      <c r="E11" s="28"/>
      <c r="F11" s="5"/>
      <c r="G11" s="5"/>
      <c r="H11" s="5"/>
      <c r="I11" s="5"/>
      <c r="J11" s="5"/>
      <c r="K11" s="5"/>
      <c r="L11" s="5"/>
      <c r="M11" s="5"/>
      <c r="N11" s="5"/>
      <c r="O11" s="5"/>
      <c r="P11" s="5"/>
    </row>
    <row r="12" spans="1:16" ht="12.75">
      <c r="A12" s="82">
        <f t="shared" si="0"/>
        <v>5</v>
      </c>
      <c r="C12" s="83" t="s">
        <v>155</v>
      </c>
      <c r="D12" s="28">
        <f t="shared" si="1"/>
        <v>8103</v>
      </c>
      <c r="E12" s="28"/>
      <c r="F12" s="5"/>
      <c r="G12" s="5"/>
      <c r="H12" s="5"/>
      <c r="I12" s="5"/>
      <c r="J12" s="5"/>
      <c r="K12" s="5"/>
      <c r="L12" s="5"/>
      <c r="M12" s="5"/>
      <c r="N12" s="5"/>
      <c r="O12" s="5"/>
      <c r="P12" s="5"/>
    </row>
    <row r="13" spans="1:16" ht="12.75">
      <c r="A13" s="82">
        <f t="shared" si="0"/>
        <v>6</v>
      </c>
      <c r="C13" s="83" t="s">
        <v>156</v>
      </c>
      <c r="D13" s="28">
        <f t="shared" si="1"/>
        <v>8103</v>
      </c>
      <c r="E13" s="28"/>
      <c r="F13" s="5"/>
      <c r="G13" s="5"/>
      <c r="H13" s="5"/>
      <c r="I13" s="5"/>
      <c r="J13" s="5"/>
      <c r="K13" s="5"/>
      <c r="L13" s="5"/>
      <c r="M13" s="5"/>
      <c r="N13" s="5"/>
      <c r="O13" s="5"/>
      <c r="P13" s="5"/>
    </row>
    <row r="14" spans="1:16" ht="12.75">
      <c r="A14" s="82">
        <f t="shared" si="0"/>
        <v>7</v>
      </c>
      <c r="C14" s="83" t="s">
        <v>128</v>
      </c>
      <c r="D14" s="28">
        <f t="shared" si="1"/>
        <v>8103</v>
      </c>
      <c r="E14" s="28"/>
      <c r="F14" s="5"/>
      <c r="G14" s="5"/>
      <c r="H14" s="5"/>
      <c r="I14" s="5"/>
      <c r="J14" s="5"/>
      <c r="K14" s="5"/>
      <c r="L14" s="5"/>
      <c r="M14" s="5"/>
      <c r="N14" s="5"/>
      <c r="O14" s="5"/>
      <c r="P14" s="5"/>
    </row>
    <row r="15" spans="1:16" ht="12.75">
      <c r="A15" s="82">
        <f t="shared" si="0"/>
        <v>8</v>
      </c>
      <c r="C15" s="83" t="s">
        <v>157</v>
      </c>
      <c r="D15" s="28">
        <f t="shared" si="1"/>
        <v>8103</v>
      </c>
      <c r="E15" s="28"/>
      <c r="F15" s="5"/>
      <c r="G15" s="5"/>
      <c r="H15" s="5"/>
      <c r="I15" s="5"/>
      <c r="J15" s="5"/>
      <c r="K15" s="5"/>
      <c r="L15" s="5"/>
      <c r="M15" s="5"/>
      <c r="N15" s="5"/>
      <c r="O15" s="5"/>
      <c r="P15" s="5"/>
    </row>
    <row r="16" spans="1:16" ht="12.75">
      <c r="A16" s="82">
        <f t="shared" si="0"/>
        <v>9</v>
      </c>
      <c r="C16" s="83" t="s">
        <v>158</v>
      </c>
      <c r="D16" s="28">
        <f t="shared" si="1"/>
        <v>8103</v>
      </c>
      <c r="E16" s="28"/>
      <c r="F16" s="5"/>
      <c r="G16" s="5"/>
      <c r="H16" s="5"/>
      <c r="I16" s="5"/>
      <c r="J16" s="5"/>
      <c r="K16" s="5"/>
      <c r="L16" s="5"/>
      <c r="M16" s="5"/>
      <c r="N16" s="5"/>
      <c r="O16" s="5"/>
      <c r="P16" s="5"/>
    </row>
    <row r="17" spans="1:16" ht="12.75">
      <c r="A17" s="82">
        <f t="shared" si="0"/>
        <v>10</v>
      </c>
      <c r="C17" s="83" t="s">
        <v>159</v>
      </c>
      <c r="D17" s="28">
        <f t="shared" si="1"/>
        <v>8103</v>
      </c>
      <c r="E17" s="28"/>
      <c r="F17" s="5"/>
      <c r="G17" s="5"/>
      <c r="H17" s="5"/>
      <c r="I17" s="5"/>
      <c r="J17" s="5"/>
      <c r="K17" s="5"/>
      <c r="L17" s="5"/>
      <c r="M17" s="5"/>
      <c r="N17" s="5"/>
      <c r="O17" s="5"/>
      <c r="P17" s="5"/>
    </row>
    <row r="18" spans="1:16" ht="12.75">
      <c r="A18" s="82">
        <f t="shared" si="0"/>
        <v>11</v>
      </c>
      <c r="C18" s="83" t="s">
        <v>160</v>
      </c>
      <c r="D18" s="28">
        <f t="shared" si="1"/>
        <v>8103</v>
      </c>
      <c r="E18" s="28"/>
      <c r="F18" s="5"/>
      <c r="G18" s="5"/>
      <c r="H18" s="5"/>
      <c r="I18" s="5"/>
      <c r="J18" s="5"/>
      <c r="K18" s="5"/>
      <c r="L18" s="5"/>
      <c r="M18" s="5"/>
      <c r="N18" s="5"/>
      <c r="O18" s="5"/>
      <c r="P18" s="5"/>
    </row>
    <row r="19" spans="1:16" ht="12.75">
      <c r="A19" s="82">
        <f t="shared" si="0"/>
        <v>12</v>
      </c>
      <c r="C19" s="83" t="s">
        <v>161</v>
      </c>
      <c r="D19" s="28">
        <f t="shared" si="1"/>
        <v>8103</v>
      </c>
      <c r="E19" s="28"/>
      <c r="F19" s="5"/>
      <c r="G19" s="5"/>
      <c r="H19" s="5"/>
      <c r="I19" s="5"/>
      <c r="J19" s="5"/>
      <c r="K19" s="5"/>
      <c r="L19" s="5"/>
      <c r="M19" s="5"/>
      <c r="N19" s="5"/>
      <c r="O19" s="5"/>
      <c r="P19" s="5"/>
    </row>
    <row r="20" spans="1:16" ht="12.75">
      <c r="A20" s="82">
        <f t="shared" si="0"/>
        <v>13</v>
      </c>
      <c r="C20" s="83" t="s">
        <v>162</v>
      </c>
      <c r="D20" s="28">
        <f t="shared" si="1"/>
        <v>8103</v>
      </c>
      <c r="E20" s="28"/>
      <c r="F20" s="5"/>
      <c r="G20" s="5"/>
      <c r="H20" s="5"/>
      <c r="I20" s="5"/>
      <c r="J20" s="5"/>
      <c r="K20" s="5"/>
      <c r="L20" s="5"/>
      <c r="M20" s="5"/>
      <c r="N20" s="5"/>
      <c r="O20" s="5"/>
      <c r="P20" s="5"/>
    </row>
    <row r="21" spans="1:16" ht="12.75">
      <c r="A21" s="82">
        <f t="shared" si="0"/>
        <v>14</v>
      </c>
      <c r="C21" s="83" t="s">
        <v>187</v>
      </c>
      <c r="D21" s="28">
        <f t="shared" si="1"/>
        <v>8103</v>
      </c>
      <c r="E21" s="28"/>
      <c r="F21" s="5"/>
      <c r="G21" s="5"/>
      <c r="H21" s="5"/>
      <c r="I21" s="5"/>
      <c r="J21" s="5"/>
      <c r="K21" s="5"/>
      <c r="L21" s="5"/>
      <c r="M21" s="5"/>
      <c r="N21" s="5"/>
      <c r="O21" s="5"/>
      <c r="P21" s="5"/>
    </row>
    <row r="22" spans="1:16" ht="12.75">
      <c r="A22" s="82">
        <f t="shared" si="0"/>
        <v>15</v>
      </c>
      <c r="C22" s="83"/>
      <c r="D22" s="31"/>
      <c r="E22" s="19"/>
      <c r="F22" s="5"/>
      <c r="G22" s="5"/>
      <c r="H22" s="5"/>
      <c r="I22" s="5"/>
      <c r="J22" s="5"/>
      <c r="K22" s="5"/>
      <c r="L22" s="5"/>
      <c r="M22" s="5"/>
      <c r="N22" s="5"/>
      <c r="O22" s="5"/>
      <c r="P22" s="5"/>
    </row>
    <row r="23" spans="1:16" ht="13.5" thickBot="1">
      <c r="A23" s="82">
        <f t="shared" si="0"/>
        <v>16</v>
      </c>
      <c r="C23" s="84" t="s">
        <v>193</v>
      </c>
      <c r="D23" s="33">
        <f>SUM(D9:D21)/13</f>
        <v>8103</v>
      </c>
      <c r="E23" s="19"/>
      <c r="F23" s="5"/>
      <c r="G23" s="5"/>
      <c r="H23" s="5"/>
      <c r="I23" s="5"/>
      <c r="J23" s="5"/>
      <c r="K23" s="5"/>
      <c r="L23" s="5"/>
      <c r="M23" s="5"/>
      <c r="N23" s="5"/>
      <c r="O23" s="5"/>
      <c r="P23" s="5"/>
    </row>
    <row r="24" spans="1:16" ht="13.5" thickTop="1">
      <c r="A24" s="82"/>
      <c r="D24" s="19"/>
      <c r="E24" s="19"/>
      <c r="F24" s="5"/>
      <c r="G24" s="5"/>
      <c r="H24" s="5"/>
      <c r="I24" s="5"/>
      <c r="J24" s="5"/>
      <c r="K24" s="5"/>
      <c r="L24" s="5"/>
      <c r="M24" s="5"/>
      <c r="N24" s="5"/>
      <c r="O24" s="5"/>
      <c r="P24" s="5"/>
    </row>
    <row r="25" spans="1:16" ht="12.75">
      <c r="A25" s="82"/>
      <c r="D25" s="75" t="s">
        <v>172</v>
      </c>
      <c r="E25" s="77"/>
      <c r="F25" s="5"/>
      <c r="G25" s="5"/>
      <c r="H25" s="5"/>
      <c r="I25" s="5"/>
      <c r="J25" s="5"/>
      <c r="K25" s="5"/>
      <c r="L25" s="5"/>
      <c r="M25" s="5"/>
      <c r="N25" s="5"/>
      <c r="O25" s="5"/>
      <c r="P25" s="5"/>
    </row>
    <row r="26" spans="1:16" ht="12.75">
      <c r="A26" s="82"/>
      <c r="C26" s="5"/>
      <c r="D26" s="75">
        <v>105</v>
      </c>
      <c r="E26" s="77"/>
      <c r="F26" s="5"/>
      <c r="G26" s="5"/>
      <c r="H26" s="5"/>
      <c r="I26" s="5"/>
      <c r="J26" s="5"/>
      <c r="K26" s="5"/>
      <c r="L26" s="5"/>
      <c r="M26" s="5"/>
      <c r="N26" s="5"/>
      <c r="O26" s="5"/>
      <c r="P26" s="5"/>
    </row>
    <row r="27" spans="1:16" ht="12.75">
      <c r="A27" s="82">
        <f>A23+1</f>
        <v>17</v>
      </c>
      <c r="B27" s="80" t="s">
        <v>18</v>
      </c>
      <c r="C27" s="81"/>
      <c r="D27" s="32"/>
      <c r="F27" s="5"/>
      <c r="G27" s="5"/>
      <c r="H27" s="5"/>
      <c r="I27" s="5"/>
      <c r="J27" s="5"/>
      <c r="K27" s="5"/>
      <c r="L27" s="5"/>
      <c r="M27" s="5"/>
      <c r="N27" s="5"/>
      <c r="O27" s="5"/>
      <c r="P27" s="5"/>
    </row>
    <row r="28" spans="1:16" ht="13.5" customHeight="1">
      <c r="A28" s="82">
        <f t="shared" si="0"/>
        <v>18</v>
      </c>
      <c r="C28" s="83" t="s">
        <v>268</v>
      </c>
      <c r="D28" s="27">
        <v>0</v>
      </c>
      <c r="E28" s="28"/>
      <c r="F28" s="5"/>
      <c r="G28" s="5"/>
      <c r="H28" s="5"/>
      <c r="I28" s="5"/>
      <c r="J28" s="5"/>
      <c r="K28" s="5"/>
      <c r="L28" s="5"/>
      <c r="M28" s="5"/>
      <c r="N28" s="5"/>
      <c r="O28" s="5"/>
      <c r="P28" s="5"/>
    </row>
    <row r="29" spans="1:16" ht="12.75">
      <c r="A29" s="82">
        <f t="shared" si="0"/>
        <v>19</v>
      </c>
      <c r="C29" s="83" t="s">
        <v>287</v>
      </c>
      <c r="D29" s="28">
        <v>0</v>
      </c>
      <c r="E29" s="28"/>
      <c r="F29" s="5"/>
      <c r="G29" s="5"/>
      <c r="H29" s="5"/>
      <c r="I29" s="5"/>
      <c r="J29" s="5"/>
      <c r="K29" s="5"/>
      <c r="L29" s="5"/>
      <c r="M29" s="5"/>
      <c r="N29" s="5"/>
      <c r="O29" s="5"/>
      <c r="P29" s="5"/>
    </row>
    <row r="30" spans="1:16" ht="12.75">
      <c r="A30" s="82">
        <f t="shared" si="0"/>
        <v>20</v>
      </c>
      <c r="C30" s="83" t="s">
        <v>154</v>
      </c>
      <c r="D30" s="28">
        <v>0</v>
      </c>
      <c r="E30" s="28"/>
      <c r="F30" s="5"/>
      <c r="G30" s="5"/>
      <c r="H30" s="5"/>
      <c r="I30" s="5"/>
      <c r="J30" s="5"/>
      <c r="K30" s="5"/>
      <c r="L30" s="5"/>
      <c r="M30" s="5"/>
      <c r="N30" s="5"/>
      <c r="O30" s="5"/>
      <c r="P30" s="5"/>
    </row>
    <row r="31" spans="1:16" ht="12.75">
      <c r="A31" s="82">
        <f t="shared" si="0"/>
        <v>21</v>
      </c>
      <c r="C31" s="83" t="s">
        <v>155</v>
      </c>
      <c r="D31" s="28">
        <v>0</v>
      </c>
      <c r="E31" s="28"/>
      <c r="F31" s="5"/>
      <c r="G31" s="5"/>
      <c r="H31" s="5"/>
      <c r="I31" s="5"/>
      <c r="J31" s="5"/>
      <c r="K31" s="5"/>
      <c r="L31" s="5"/>
      <c r="M31" s="5"/>
      <c r="N31" s="5"/>
      <c r="O31" s="5"/>
      <c r="P31" s="5"/>
    </row>
    <row r="32" spans="1:16" ht="12.75">
      <c r="A32" s="82">
        <f t="shared" si="0"/>
        <v>22</v>
      </c>
      <c r="C32" s="83" t="s">
        <v>156</v>
      </c>
      <c r="D32" s="28">
        <v>0</v>
      </c>
      <c r="E32" s="28"/>
      <c r="F32" s="5"/>
      <c r="G32" s="5"/>
      <c r="H32" s="5"/>
      <c r="I32" s="5"/>
      <c r="J32" s="5"/>
      <c r="K32" s="5"/>
      <c r="L32" s="5"/>
      <c r="M32" s="5"/>
      <c r="N32" s="5"/>
      <c r="O32" s="5"/>
      <c r="P32" s="5"/>
    </row>
    <row r="33" spans="1:16" ht="12.75">
      <c r="A33" s="82">
        <f t="shared" si="0"/>
        <v>23</v>
      </c>
      <c r="C33" s="83" t="s">
        <v>128</v>
      </c>
      <c r="D33" s="28">
        <v>0</v>
      </c>
      <c r="E33" s="28"/>
      <c r="F33" s="5"/>
      <c r="G33" s="5"/>
      <c r="H33" s="5"/>
      <c r="I33" s="5"/>
      <c r="J33" s="5"/>
      <c r="K33" s="5"/>
      <c r="L33" s="5"/>
      <c r="M33" s="5"/>
      <c r="N33" s="5"/>
      <c r="O33" s="5"/>
      <c r="P33" s="5"/>
    </row>
    <row r="34" spans="1:16" ht="12.75">
      <c r="A34" s="82">
        <f t="shared" si="0"/>
        <v>24</v>
      </c>
      <c r="C34" s="83" t="s">
        <v>157</v>
      </c>
      <c r="D34" s="28">
        <v>0</v>
      </c>
      <c r="E34" s="28"/>
      <c r="F34" s="5"/>
      <c r="G34" s="5"/>
      <c r="H34" s="5"/>
      <c r="I34" s="5"/>
      <c r="J34" s="5"/>
      <c r="K34" s="5"/>
      <c r="L34" s="5"/>
      <c r="M34" s="5"/>
      <c r="N34" s="5"/>
      <c r="O34" s="5"/>
      <c r="P34" s="5"/>
    </row>
    <row r="35" spans="1:16" ht="12.75">
      <c r="A35" s="82">
        <f t="shared" si="0"/>
        <v>25</v>
      </c>
      <c r="C35" s="83" t="s">
        <v>158</v>
      </c>
      <c r="D35" s="28">
        <v>0</v>
      </c>
      <c r="E35" s="28"/>
      <c r="F35" s="5"/>
      <c r="G35" s="5"/>
      <c r="H35" s="5"/>
      <c r="I35" s="5"/>
      <c r="J35" s="5"/>
      <c r="K35" s="5"/>
      <c r="L35" s="5"/>
      <c r="M35" s="5"/>
      <c r="N35" s="5"/>
      <c r="O35" s="5"/>
      <c r="P35" s="5"/>
    </row>
    <row r="36" spans="1:16" ht="12.75">
      <c r="A36" s="82">
        <f t="shared" si="0"/>
        <v>26</v>
      </c>
      <c r="C36" s="83" t="s">
        <v>159</v>
      </c>
      <c r="D36" s="28">
        <v>0</v>
      </c>
      <c r="E36" s="28"/>
      <c r="F36" s="5"/>
      <c r="G36" s="5"/>
      <c r="H36" s="5"/>
      <c r="I36" s="5"/>
      <c r="J36" s="5"/>
      <c r="K36" s="5"/>
      <c r="L36" s="5"/>
      <c r="M36" s="5"/>
      <c r="N36" s="5"/>
      <c r="O36" s="5"/>
      <c r="P36" s="5"/>
    </row>
    <row r="37" spans="1:16" ht="12.75">
      <c r="A37" s="82">
        <f t="shared" si="0"/>
        <v>27</v>
      </c>
      <c r="C37" s="83" t="s">
        <v>160</v>
      </c>
      <c r="D37" s="28">
        <v>0</v>
      </c>
      <c r="E37" s="28"/>
      <c r="F37" s="5"/>
      <c r="G37" s="5"/>
      <c r="H37" s="5"/>
      <c r="I37" s="5"/>
      <c r="J37" s="5"/>
      <c r="K37" s="5"/>
      <c r="L37" s="5"/>
      <c r="M37" s="5"/>
      <c r="N37" s="5"/>
      <c r="O37" s="5"/>
      <c r="P37" s="5"/>
    </row>
    <row r="38" spans="1:16" ht="12.75">
      <c r="A38" s="82">
        <f aca="true" t="shared" si="2" ref="A38:A61">+A37+1</f>
        <v>28</v>
      </c>
      <c r="C38" s="83" t="s">
        <v>161</v>
      </c>
      <c r="D38" s="28">
        <v>0</v>
      </c>
      <c r="E38" s="28"/>
      <c r="F38" s="5"/>
      <c r="G38" s="5"/>
      <c r="H38" s="5"/>
      <c r="I38" s="5"/>
      <c r="J38" s="5"/>
      <c r="K38" s="5"/>
      <c r="L38" s="5"/>
      <c r="M38" s="5"/>
      <c r="N38" s="5"/>
      <c r="O38" s="5"/>
      <c r="P38" s="5"/>
    </row>
    <row r="39" spans="1:16" ht="12.75">
      <c r="A39" s="82">
        <f t="shared" si="2"/>
        <v>29</v>
      </c>
      <c r="C39" s="83" t="s">
        <v>162</v>
      </c>
      <c r="D39" s="28">
        <v>0</v>
      </c>
      <c r="E39" s="28"/>
      <c r="F39" s="5"/>
      <c r="G39" s="5"/>
      <c r="H39" s="5"/>
      <c r="I39" s="5"/>
      <c r="J39" s="5"/>
      <c r="K39" s="5"/>
      <c r="L39" s="5"/>
      <c r="M39" s="5"/>
      <c r="N39" s="5"/>
      <c r="O39" s="5"/>
      <c r="P39" s="5"/>
    </row>
    <row r="40" spans="1:16" ht="12.75">
      <c r="A40" s="82">
        <f t="shared" si="2"/>
        <v>30</v>
      </c>
      <c r="C40" s="83" t="s">
        <v>187</v>
      </c>
      <c r="D40" s="28">
        <v>0</v>
      </c>
      <c r="E40" s="28"/>
      <c r="F40" s="5"/>
      <c r="G40" s="5"/>
      <c r="H40" s="5"/>
      <c r="I40" s="5"/>
      <c r="J40" s="5"/>
      <c r="K40" s="5"/>
      <c r="L40" s="5"/>
      <c r="M40" s="5"/>
      <c r="N40" s="5"/>
      <c r="O40" s="5"/>
      <c r="P40" s="5"/>
    </row>
    <row r="41" spans="1:16" ht="12.75">
      <c r="A41" s="82">
        <f t="shared" si="2"/>
        <v>31</v>
      </c>
      <c r="C41" s="83"/>
      <c r="D41" s="31"/>
      <c r="E41" s="19"/>
      <c r="F41" s="5"/>
      <c r="G41" s="5"/>
      <c r="H41" s="5"/>
      <c r="I41" s="5"/>
      <c r="J41" s="5"/>
      <c r="K41" s="5"/>
      <c r="L41" s="5"/>
      <c r="M41" s="5"/>
      <c r="N41" s="5"/>
      <c r="O41" s="5"/>
      <c r="P41" s="5"/>
    </row>
    <row r="42" spans="1:16" ht="13.5" thickBot="1">
      <c r="A42" s="82">
        <f t="shared" si="2"/>
        <v>32</v>
      </c>
      <c r="C42" s="84" t="s">
        <v>193</v>
      </c>
      <c r="D42" s="33">
        <f>SUM(D28:D40)/13</f>
        <v>0</v>
      </c>
      <c r="E42" s="19"/>
      <c r="F42" s="5"/>
      <c r="G42" s="5"/>
      <c r="H42" s="5"/>
      <c r="I42" s="5"/>
      <c r="J42" s="5"/>
      <c r="K42" s="5"/>
      <c r="L42" s="5"/>
      <c r="M42" s="5"/>
      <c r="N42" s="5"/>
      <c r="O42" s="5"/>
      <c r="P42" s="5"/>
    </row>
    <row r="43" spans="1:16" ht="13.5" thickTop="1">
      <c r="A43" s="82"/>
      <c r="C43" s="5"/>
      <c r="D43" s="5"/>
      <c r="E43" s="5"/>
      <c r="F43" s="5"/>
      <c r="G43" s="5"/>
      <c r="H43" s="5"/>
      <c r="I43" s="5"/>
      <c r="J43" s="5"/>
      <c r="K43" s="5"/>
      <c r="L43" s="5"/>
      <c r="M43" s="5"/>
      <c r="N43" s="5"/>
      <c r="O43" s="5"/>
      <c r="P43" s="5"/>
    </row>
    <row r="44" spans="1:16" ht="12.75">
      <c r="A44" s="82"/>
      <c r="C44" s="5"/>
      <c r="D44" s="75" t="s">
        <v>172</v>
      </c>
      <c r="E44" s="77"/>
      <c r="F44" s="5"/>
      <c r="G44" s="5"/>
      <c r="H44" s="5"/>
      <c r="I44" s="5"/>
      <c r="J44" s="5"/>
      <c r="K44" s="5"/>
      <c r="L44" s="5"/>
      <c r="M44" s="5"/>
      <c r="N44" s="5"/>
      <c r="O44" s="5"/>
      <c r="P44" s="5"/>
    </row>
    <row r="45" spans="1:16" ht="12.75">
      <c r="A45" s="82"/>
      <c r="C45" s="5"/>
      <c r="D45" s="75">
        <v>105</v>
      </c>
      <c r="E45" s="77"/>
      <c r="F45" s="5"/>
      <c r="G45" s="5"/>
      <c r="H45" s="5"/>
      <c r="I45" s="5"/>
      <c r="J45" s="5"/>
      <c r="K45" s="5"/>
      <c r="L45" s="5"/>
      <c r="M45" s="5"/>
      <c r="N45" s="5"/>
      <c r="O45" s="5"/>
      <c r="P45" s="5"/>
    </row>
    <row r="46" spans="1:16" ht="12.75">
      <c r="A46" s="82">
        <f>A42+1</f>
        <v>33</v>
      </c>
      <c r="B46" s="80" t="s">
        <v>19</v>
      </c>
      <c r="C46" s="81"/>
      <c r="D46" s="32"/>
      <c r="F46" s="5"/>
      <c r="G46" s="5"/>
      <c r="H46" s="5"/>
      <c r="I46" s="5"/>
      <c r="J46" s="5"/>
      <c r="K46" s="5"/>
      <c r="L46" s="5"/>
      <c r="M46" s="5"/>
      <c r="N46" s="5"/>
      <c r="O46" s="5"/>
      <c r="P46" s="5"/>
    </row>
    <row r="47" spans="1:16" ht="12.75">
      <c r="A47" s="82">
        <f t="shared" si="2"/>
        <v>34</v>
      </c>
      <c r="C47" s="83" t="s">
        <v>268</v>
      </c>
      <c r="D47" s="27">
        <v>8103</v>
      </c>
      <c r="E47" s="28"/>
      <c r="F47" s="5"/>
      <c r="G47" s="5"/>
      <c r="H47" s="5"/>
      <c r="I47" s="5"/>
      <c r="J47" s="5"/>
      <c r="K47" s="5"/>
      <c r="L47" s="5"/>
      <c r="M47" s="5"/>
      <c r="N47" s="5"/>
      <c r="O47" s="5"/>
      <c r="P47" s="5"/>
    </row>
    <row r="48" spans="1:16" ht="12.75">
      <c r="A48" s="82">
        <f t="shared" si="2"/>
        <v>35</v>
      </c>
      <c r="C48" s="83" t="s">
        <v>287</v>
      </c>
      <c r="D48" s="27">
        <v>8103</v>
      </c>
      <c r="E48" s="28"/>
      <c r="F48" s="5"/>
      <c r="G48" s="5"/>
      <c r="H48" s="5"/>
      <c r="I48" s="5"/>
      <c r="J48" s="5"/>
      <c r="K48" s="5"/>
      <c r="L48" s="5"/>
      <c r="M48" s="5"/>
      <c r="N48" s="5"/>
      <c r="O48" s="5"/>
      <c r="P48" s="5"/>
    </row>
    <row r="49" spans="1:16" ht="12.75">
      <c r="A49" s="82">
        <f t="shared" si="2"/>
        <v>36</v>
      </c>
      <c r="C49" s="83" t="s">
        <v>154</v>
      </c>
      <c r="D49" s="27">
        <v>8103</v>
      </c>
      <c r="E49" s="28"/>
      <c r="F49" s="5"/>
      <c r="G49" s="5"/>
      <c r="H49" s="5"/>
      <c r="I49" s="5"/>
      <c r="J49" s="5"/>
      <c r="K49" s="5"/>
      <c r="L49" s="5"/>
      <c r="M49" s="5"/>
      <c r="N49" s="5"/>
      <c r="O49" s="5"/>
      <c r="P49" s="5"/>
    </row>
    <row r="50" spans="1:16" ht="12.75">
      <c r="A50" s="82">
        <f t="shared" si="2"/>
        <v>37</v>
      </c>
      <c r="C50" s="83" t="s">
        <v>155</v>
      </c>
      <c r="D50" s="27">
        <v>8103</v>
      </c>
      <c r="E50" s="28"/>
      <c r="F50" s="5"/>
      <c r="G50" s="5"/>
      <c r="H50" s="5"/>
      <c r="I50" s="5"/>
      <c r="J50" s="5"/>
      <c r="K50" s="5"/>
      <c r="L50" s="5"/>
      <c r="M50" s="5"/>
      <c r="N50" s="5"/>
      <c r="O50" s="5"/>
      <c r="P50" s="5"/>
    </row>
    <row r="51" spans="1:16" ht="12.75">
      <c r="A51" s="82">
        <f t="shared" si="2"/>
        <v>38</v>
      </c>
      <c r="C51" s="83" t="s">
        <v>156</v>
      </c>
      <c r="D51" s="27">
        <v>8103</v>
      </c>
      <c r="E51" s="28"/>
      <c r="F51" s="5"/>
      <c r="G51" s="5"/>
      <c r="H51" s="5"/>
      <c r="I51" s="5"/>
      <c r="J51" s="5"/>
      <c r="K51" s="5"/>
      <c r="L51" s="5"/>
      <c r="M51" s="5"/>
      <c r="N51" s="5"/>
      <c r="O51" s="5"/>
      <c r="P51" s="5"/>
    </row>
    <row r="52" spans="1:16" ht="12.75">
      <c r="A52" s="82">
        <f t="shared" si="2"/>
        <v>39</v>
      </c>
      <c r="C52" s="83" t="s">
        <v>128</v>
      </c>
      <c r="D52" s="27">
        <v>8103</v>
      </c>
      <c r="E52" s="28"/>
      <c r="F52" s="5"/>
      <c r="G52" s="5"/>
      <c r="H52" s="5"/>
      <c r="I52" s="5"/>
      <c r="J52" s="5"/>
      <c r="K52" s="5"/>
      <c r="L52" s="5"/>
      <c r="M52" s="5"/>
      <c r="N52" s="5"/>
      <c r="O52" s="5"/>
      <c r="P52" s="5"/>
    </row>
    <row r="53" spans="1:16" ht="12.75">
      <c r="A53" s="82">
        <f t="shared" si="2"/>
        <v>40</v>
      </c>
      <c r="C53" s="83" t="s">
        <v>157</v>
      </c>
      <c r="D53" s="27">
        <v>8103</v>
      </c>
      <c r="E53" s="28"/>
      <c r="F53" s="5"/>
      <c r="G53" s="5"/>
      <c r="H53" s="5"/>
      <c r="I53" s="5"/>
      <c r="J53" s="5"/>
      <c r="K53" s="5"/>
      <c r="L53" s="5"/>
      <c r="M53" s="5"/>
      <c r="N53" s="5"/>
      <c r="O53" s="5"/>
      <c r="P53" s="5"/>
    </row>
    <row r="54" spans="1:16" ht="12.75">
      <c r="A54" s="82">
        <f t="shared" si="2"/>
        <v>41</v>
      </c>
      <c r="C54" s="83" t="s">
        <v>158</v>
      </c>
      <c r="D54" s="27">
        <v>8103</v>
      </c>
      <c r="E54" s="28"/>
      <c r="F54" s="5"/>
      <c r="G54" s="5"/>
      <c r="H54" s="5"/>
      <c r="I54" s="5"/>
      <c r="J54" s="5"/>
      <c r="K54" s="5"/>
      <c r="L54" s="5"/>
      <c r="M54" s="5"/>
      <c r="N54" s="5"/>
      <c r="O54" s="5"/>
      <c r="P54" s="5"/>
    </row>
    <row r="55" spans="1:16" ht="12.75">
      <c r="A55" s="82">
        <f t="shared" si="2"/>
        <v>42</v>
      </c>
      <c r="C55" s="83" t="s">
        <v>159</v>
      </c>
      <c r="D55" s="27">
        <v>8103</v>
      </c>
      <c r="E55" s="28"/>
      <c r="F55" s="5"/>
      <c r="G55" s="5"/>
      <c r="H55" s="5"/>
      <c r="I55" s="5"/>
      <c r="J55" s="5"/>
      <c r="K55" s="5"/>
      <c r="L55" s="5"/>
      <c r="M55" s="5"/>
      <c r="N55" s="5"/>
      <c r="O55" s="5"/>
      <c r="P55" s="5"/>
    </row>
    <row r="56" spans="1:16" ht="12.75">
      <c r="A56" s="82">
        <f t="shared" si="2"/>
        <v>43</v>
      </c>
      <c r="C56" s="83" t="s">
        <v>160</v>
      </c>
      <c r="D56" s="27">
        <v>8103</v>
      </c>
      <c r="E56" s="28"/>
      <c r="F56" s="5"/>
      <c r="G56" s="5"/>
      <c r="H56" s="5"/>
      <c r="I56" s="5"/>
      <c r="J56" s="5"/>
      <c r="K56" s="5"/>
      <c r="L56" s="5"/>
      <c r="M56" s="5"/>
      <c r="N56" s="5"/>
      <c r="O56" s="5"/>
      <c r="P56" s="5"/>
    </row>
    <row r="57" spans="1:16" ht="12.75">
      <c r="A57" s="82">
        <f t="shared" si="2"/>
        <v>44</v>
      </c>
      <c r="C57" s="83" t="s">
        <v>161</v>
      </c>
      <c r="D57" s="27">
        <v>8103</v>
      </c>
      <c r="E57" s="28"/>
      <c r="F57" s="5"/>
      <c r="G57" s="5"/>
      <c r="H57" s="5"/>
      <c r="I57" s="5"/>
      <c r="J57" s="5"/>
      <c r="K57" s="5"/>
      <c r="L57" s="5"/>
      <c r="M57" s="5"/>
      <c r="N57" s="5"/>
      <c r="O57" s="5"/>
      <c r="P57" s="5"/>
    </row>
    <row r="58" spans="1:16" ht="12.75">
      <c r="A58" s="82">
        <f t="shared" si="2"/>
        <v>45</v>
      </c>
      <c r="C58" s="83" t="s">
        <v>162</v>
      </c>
      <c r="D58" s="27">
        <v>8103</v>
      </c>
      <c r="E58" s="28"/>
      <c r="F58" s="5"/>
      <c r="G58" s="5"/>
      <c r="H58" s="5"/>
      <c r="I58" s="5"/>
      <c r="J58" s="5"/>
      <c r="K58" s="5"/>
      <c r="L58" s="5"/>
      <c r="M58" s="5"/>
      <c r="N58" s="5"/>
      <c r="O58" s="5"/>
      <c r="P58" s="5"/>
    </row>
    <row r="59" spans="1:16" ht="12.75">
      <c r="A59" s="82">
        <f t="shared" si="2"/>
        <v>46</v>
      </c>
      <c r="C59" s="83" t="s">
        <v>187</v>
      </c>
      <c r="D59" s="27">
        <v>8103</v>
      </c>
      <c r="E59" s="28"/>
      <c r="F59" s="5"/>
      <c r="G59" s="5"/>
      <c r="H59" s="5"/>
      <c r="I59" s="5"/>
      <c r="J59" s="5"/>
      <c r="K59" s="5"/>
      <c r="L59" s="5"/>
      <c r="M59" s="5"/>
      <c r="N59" s="5"/>
      <c r="O59" s="5"/>
      <c r="P59" s="5"/>
    </row>
    <row r="60" spans="1:16" ht="12.75">
      <c r="A60" s="82">
        <f t="shared" si="2"/>
        <v>47</v>
      </c>
      <c r="C60" s="83"/>
      <c r="D60" s="31"/>
      <c r="E60" s="19"/>
      <c r="F60" s="5"/>
      <c r="G60" s="5"/>
      <c r="H60" s="5"/>
      <c r="I60" s="5"/>
      <c r="J60" s="5"/>
      <c r="K60" s="5"/>
      <c r="L60" s="5"/>
      <c r="M60" s="5"/>
      <c r="N60" s="5"/>
      <c r="O60" s="5"/>
      <c r="P60" s="5"/>
    </row>
    <row r="61" spans="1:16" ht="13.5" thickBot="1">
      <c r="A61" s="82">
        <f t="shared" si="2"/>
        <v>48</v>
      </c>
      <c r="C61" s="84" t="s">
        <v>193</v>
      </c>
      <c r="D61" s="33">
        <f>SUM(D47:D59)/13</f>
        <v>8103</v>
      </c>
      <c r="E61" s="19"/>
      <c r="F61" s="5"/>
      <c r="G61" s="5"/>
      <c r="H61" s="5"/>
      <c r="I61" s="5"/>
      <c r="J61" s="5"/>
      <c r="K61" s="5"/>
      <c r="L61" s="5"/>
      <c r="M61" s="5"/>
      <c r="N61" s="5"/>
      <c r="O61" s="5"/>
      <c r="P61" s="5"/>
    </row>
    <row r="62" ht="13.5" thickTop="1"/>
    <row r="64" ht="12.75">
      <c r="C64" s="71"/>
    </row>
  </sheetData>
  <printOptions horizontalCentered="1"/>
  <pageMargins left="0.75" right="0.25" top="0.75" bottom="0.4" header="0" footer="0.25"/>
  <pageSetup fitToHeight="1" fitToWidth="1" horizontalDpi="600" verticalDpi="600" orientation="portrait" scale="93"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tabColor indexed="42"/>
    <pageSetUpPr fitToPage="1"/>
  </sheetPr>
  <dimension ref="A1:P93"/>
  <sheetViews>
    <sheetView showGridLines="0" workbookViewId="0" topLeftCell="A1">
      <selection activeCell="A4" sqref="A4"/>
    </sheetView>
  </sheetViews>
  <sheetFormatPr defaultColWidth="14.4453125" defaultRowHeight="15"/>
  <cols>
    <col min="1" max="1" width="5.4453125" style="73" customWidth="1"/>
    <col min="2" max="2" width="2.88671875" style="2" customWidth="1"/>
    <col min="3" max="3" width="34.6640625" style="2" customWidth="1"/>
    <col min="4" max="4" width="14.4453125" style="2" customWidth="1"/>
    <col min="5" max="5" width="0.88671875" style="2" customWidth="1"/>
    <col min="6" max="6" width="16.3359375" style="2" bestFit="1" customWidth="1"/>
    <col min="7" max="7" width="0.88671875" style="2" customWidth="1"/>
    <col min="8" max="8" width="12.88671875" style="2" bestFit="1" customWidth="1"/>
    <col min="9" max="9" width="0.88671875" style="2" customWidth="1"/>
    <col min="10" max="10" width="12.88671875" style="2" bestFit="1" customWidth="1"/>
    <col min="11" max="11" width="0.88671875" style="2" customWidth="1"/>
    <col min="12" max="12" width="12.88671875" style="2" customWidth="1"/>
    <col min="13" max="13" width="0.88671875" style="2" customWidth="1"/>
    <col min="14" max="14" width="18.10546875" style="2" bestFit="1" customWidth="1"/>
    <col min="15" max="15" width="0.671875" style="2" customWidth="1"/>
    <col min="16" max="16" width="14.4453125" style="2" bestFit="1" customWidth="1"/>
    <col min="17" max="16384" width="14.4453125" style="2" customWidth="1"/>
  </cols>
  <sheetData>
    <row r="1" spans="1:15" ht="12.75">
      <c r="A1" s="70" t="s">
        <v>15</v>
      </c>
      <c r="B1" s="71"/>
      <c r="C1" s="71"/>
      <c r="D1" s="71"/>
      <c r="E1" s="71"/>
      <c r="F1" s="72" t="s">
        <v>285</v>
      </c>
      <c r="G1" s="71"/>
      <c r="H1" s="71"/>
      <c r="I1" s="71"/>
      <c r="J1" s="71"/>
      <c r="K1" s="71"/>
      <c r="L1" s="71"/>
      <c r="M1" s="71"/>
      <c r="N1" s="71"/>
      <c r="O1" s="71"/>
    </row>
    <row r="2" spans="1:15" ht="12.75">
      <c r="A2" s="70" t="s">
        <v>12</v>
      </c>
      <c r="B2" s="71"/>
      <c r="C2" s="71"/>
      <c r="D2" s="71"/>
      <c r="E2" s="71"/>
      <c r="F2" s="72"/>
      <c r="G2" s="71"/>
      <c r="H2" s="71"/>
      <c r="I2" s="71"/>
      <c r="J2" s="71"/>
      <c r="K2" s="71"/>
      <c r="L2" s="71"/>
      <c r="M2" s="71"/>
      <c r="N2" s="71"/>
      <c r="O2" s="71"/>
    </row>
    <row r="3" spans="1:15" ht="12.75">
      <c r="A3" s="70" t="s">
        <v>286</v>
      </c>
      <c r="B3" s="71"/>
      <c r="C3" s="71"/>
      <c r="E3" s="71"/>
      <c r="F3" s="71"/>
      <c r="G3" s="71"/>
      <c r="H3" s="71"/>
      <c r="I3" s="71"/>
      <c r="J3" s="71"/>
      <c r="K3" s="71"/>
      <c r="L3" s="71"/>
      <c r="M3" s="71"/>
      <c r="N3" s="71"/>
      <c r="O3" s="71"/>
    </row>
    <row r="5" spans="4:16" ht="6" customHeight="1">
      <c r="D5" s="5"/>
      <c r="E5" s="5"/>
      <c r="F5" s="5"/>
      <c r="G5" s="5"/>
      <c r="H5" s="5"/>
      <c r="I5" s="5"/>
      <c r="J5" s="5"/>
      <c r="K5" s="5"/>
      <c r="L5" s="5"/>
      <c r="M5" s="5"/>
      <c r="N5" s="5"/>
      <c r="O5" s="5"/>
      <c r="P5" s="5"/>
    </row>
    <row r="6" spans="1:16" ht="12.75">
      <c r="A6" s="73" t="s">
        <v>153</v>
      </c>
      <c r="D6" s="75" t="s">
        <v>31</v>
      </c>
      <c r="E6" s="77"/>
      <c r="F6" s="43" t="s">
        <v>152</v>
      </c>
      <c r="G6" s="5"/>
      <c r="H6" s="5"/>
      <c r="I6" s="5"/>
      <c r="J6" s="5"/>
      <c r="K6" s="5"/>
      <c r="L6" s="5"/>
      <c r="M6" s="5"/>
      <c r="N6" s="5"/>
      <c r="O6" s="5"/>
      <c r="P6" s="5"/>
    </row>
    <row r="7" spans="1:16" ht="12.75">
      <c r="A7" s="78" t="s">
        <v>129</v>
      </c>
      <c r="D7" s="75" t="s">
        <v>32</v>
      </c>
      <c r="E7" s="77"/>
      <c r="F7" s="36" t="s">
        <v>33</v>
      </c>
      <c r="G7" s="5"/>
      <c r="H7" s="5"/>
      <c r="I7" s="5"/>
      <c r="J7" s="5"/>
      <c r="K7" s="5"/>
      <c r="L7" s="5"/>
      <c r="M7" s="5"/>
      <c r="N7" s="5"/>
      <c r="O7" s="5"/>
      <c r="P7" s="5"/>
    </row>
    <row r="8" spans="1:16" ht="12.75">
      <c r="A8" s="79"/>
      <c r="B8" s="80" t="s">
        <v>16</v>
      </c>
      <c r="C8" s="81"/>
      <c r="D8" s="32"/>
      <c r="F8" s="5"/>
      <c r="G8" s="5"/>
      <c r="H8" s="5"/>
      <c r="I8" s="5"/>
      <c r="J8" s="5"/>
      <c r="K8" s="5"/>
      <c r="L8" s="5"/>
      <c r="M8" s="5"/>
      <c r="N8" s="83"/>
      <c r="O8" s="5"/>
      <c r="P8" s="5"/>
    </row>
    <row r="9" spans="1:16" ht="12.75">
      <c r="A9" s="82">
        <f aca="true" t="shared" si="0" ref="A9:A68">+A8+1</f>
        <v>1</v>
      </c>
      <c r="C9" s="83" t="s">
        <v>268</v>
      </c>
      <c r="D9" s="28">
        <f>+D32+D57</f>
        <v>342377</v>
      </c>
      <c r="E9" s="28"/>
      <c r="F9" s="28">
        <f>+F32+F57</f>
        <v>67964579</v>
      </c>
      <c r="G9" s="5"/>
      <c r="H9" s="5"/>
      <c r="I9" s="5"/>
      <c r="J9" s="5"/>
      <c r="K9" s="5"/>
      <c r="L9" s="5"/>
      <c r="M9" s="5"/>
      <c r="N9" s="83"/>
      <c r="O9" s="5"/>
      <c r="P9" s="5"/>
    </row>
    <row r="10" spans="1:16" ht="12.75">
      <c r="A10" s="82">
        <f t="shared" si="0"/>
        <v>2</v>
      </c>
      <c r="C10" s="83" t="s">
        <v>287</v>
      </c>
      <c r="D10" s="28"/>
      <c r="E10" s="28"/>
      <c r="F10" s="28"/>
      <c r="G10" s="5"/>
      <c r="H10" s="5"/>
      <c r="I10" s="5"/>
      <c r="J10" s="5"/>
      <c r="K10" s="5"/>
      <c r="L10" s="5"/>
      <c r="M10" s="5"/>
      <c r="N10" s="83"/>
      <c r="O10" s="5"/>
      <c r="P10" s="5"/>
    </row>
    <row r="11" spans="1:16" ht="12.75">
      <c r="A11" s="82">
        <f t="shared" si="0"/>
        <v>3</v>
      </c>
      <c r="C11" s="83" t="s">
        <v>154</v>
      </c>
      <c r="D11" s="28"/>
      <c r="E11" s="28"/>
      <c r="F11" s="28"/>
      <c r="G11" s="5"/>
      <c r="H11" s="5"/>
      <c r="I11" s="5"/>
      <c r="J11" s="5"/>
      <c r="K11" s="5"/>
      <c r="L11" s="5"/>
      <c r="M11" s="5"/>
      <c r="N11" s="83"/>
      <c r="O11" s="5"/>
      <c r="P11" s="5"/>
    </row>
    <row r="12" spans="1:16" ht="12.75">
      <c r="A12" s="82">
        <f t="shared" si="0"/>
        <v>4</v>
      </c>
      <c r="C12" s="83" t="s">
        <v>155</v>
      </c>
      <c r="D12" s="28"/>
      <c r="E12" s="28"/>
      <c r="F12" s="28"/>
      <c r="G12" s="5"/>
      <c r="H12" s="5"/>
      <c r="I12" s="5"/>
      <c r="J12" s="5"/>
      <c r="K12" s="5"/>
      <c r="L12" s="5"/>
      <c r="M12" s="5"/>
      <c r="N12" s="83"/>
      <c r="O12" s="5"/>
      <c r="P12" s="5"/>
    </row>
    <row r="13" spans="1:16" ht="12.75">
      <c r="A13" s="82">
        <f t="shared" si="0"/>
        <v>5</v>
      </c>
      <c r="C13" s="83" t="s">
        <v>156</v>
      </c>
      <c r="D13" s="28"/>
      <c r="E13" s="28"/>
      <c r="F13" s="28"/>
      <c r="G13" s="5"/>
      <c r="H13" s="5"/>
      <c r="I13" s="5"/>
      <c r="J13" s="5"/>
      <c r="K13" s="5"/>
      <c r="L13" s="5"/>
      <c r="M13" s="5"/>
      <c r="N13" s="83"/>
      <c r="O13" s="5"/>
      <c r="P13" s="5"/>
    </row>
    <row r="14" spans="1:16" ht="12.75">
      <c r="A14" s="82">
        <f t="shared" si="0"/>
        <v>6</v>
      </c>
      <c r="C14" s="83" t="s">
        <v>128</v>
      </c>
      <c r="D14" s="28"/>
      <c r="E14" s="28"/>
      <c r="F14" s="28"/>
      <c r="G14" s="5"/>
      <c r="H14" s="83"/>
      <c r="I14" s="5"/>
      <c r="J14" s="5"/>
      <c r="K14" s="5"/>
      <c r="L14" s="5"/>
      <c r="M14" s="5"/>
      <c r="N14" s="83"/>
      <c r="O14" s="5"/>
      <c r="P14" s="5"/>
    </row>
    <row r="15" spans="1:16" ht="12.75">
      <c r="A15" s="82">
        <f t="shared" si="0"/>
        <v>7</v>
      </c>
      <c r="C15" s="83" t="s">
        <v>157</v>
      </c>
      <c r="D15" s="28"/>
      <c r="E15" s="28"/>
      <c r="F15" s="28"/>
      <c r="G15" s="5"/>
      <c r="H15" s="83"/>
      <c r="I15" s="5"/>
      <c r="J15" s="5"/>
      <c r="K15" s="5"/>
      <c r="L15" s="5"/>
      <c r="M15" s="5"/>
      <c r="N15" s="83"/>
      <c r="O15" s="5"/>
      <c r="P15" s="5"/>
    </row>
    <row r="16" spans="1:16" ht="12.75">
      <c r="A16" s="82">
        <f t="shared" si="0"/>
        <v>8</v>
      </c>
      <c r="C16" s="83" t="s">
        <v>158</v>
      </c>
      <c r="D16" s="28"/>
      <c r="E16" s="28"/>
      <c r="F16" s="28"/>
      <c r="G16" s="5"/>
      <c r="H16" s="5"/>
      <c r="I16" s="5"/>
      <c r="J16" s="5"/>
      <c r="K16" s="5"/>
      <c r="L16" s="5"/>
      <c r="M16" s="5"/>
      <c r="N16" s="83"/>
      <c r="O16" s="5"/>
      <c r="P16" s="5"/>
    </row>
    <row r="17" spans="1:16" ht="12.75">
      <c r="A17" s="82">
        <f t="shared" si="0"/>
        <v>9</v>
      </c>
      <c r="C17" s="83" t="s">
        <v>159</v>
      </c>
      <c r="D17" s="28"/>
      <c r="E17" s="28"/>
      <c r="F17" s="28"/>
      <c r="G17" s="5"/>
      <c r="H17" s="5"/>
      <c r="I17" s="5"/>
      <c r="J17" s="5"/>
      <c r="K17" s="5"/>
      <c r="L17" s="5"/>
      <c r="M17" s="5"/>
      <c r="N17" s="83"/>
      <c r="O17" s="5"/>
      <c r="P17" s="5"/>
    </row>
    <row r="18" spans="1:16" ht="12.75">
      <c r="A18" s="82">
        <f t="shared" si="0"/>
        <v>10</v>
      </c>
      <c r="C18" s="83" t="s">
        <v>160</v>
      </c>
      <c r="D18" s="28"/>
      <c r="E18" s="28"/>
      <c r="F18" s="28"/>
      <c r="G18" s="5"/>
      <c r="H18" s="5"/>
      <c r="I18" s="5"/>
      <c r="J18" s="5"/>
      <c r="K18" s="5"/>
      <c r="L18" s="5"/>
      <c r="M18" s="5"/>
      <c r="N18" s="83"/>
      <c r="O18" s="5"/>
      <c r="P18" s="5"/>
    </row>
    <row r="19" spans="1:16" ht="12.75">
      <c r="A19" s="82">
        <f t="shared" si="0"/>
        <v>11</v>
      </c>
      <c r="C19" s="83" t="s">
        <v>161</v>
      </c>
      <c r="D19" s="28"/>
      <c r="E19" s="28"/>
      <c r="F19" s="28"/>
      <c r="G19" s="5"/>
      <c r="H19" s="5"/>
      <c r="I19" s="5"/>
      <c r="J19" s="5"/>
      <c r="K19" s="5"/>
      <c r="L19" s="5"/>
      <c r="M19" s="5"/>
      <c r="N19" s="83"/>
      <c r="O19" s="5"/>
      <c r="P19" s="5"/>
    </row>
    <row r="20" spans="1:16" ht="12.75">
      <c r="A20" s="82">
        <f t="shared" si="0"/>
        <v>12</v>
      </c>
      <c r="C20" s="83" t="s">
        <v>162</v>
      </c>
      <c r="D20" s="28"/>
      <c r="E20" s="28"/>
      <c r="F20" s="28"/>
      <c r="G20" s="5"/>
      <c r="H20" s="5"/>
      <c r="I20" s="5"/>
      <c r="J20" s="5"/>
      <c r="K20" s="5"/>
      <c r="L20" s="5"/>
      <c r="M20" s="5"/>
      <c r="N20" s="83"/>
      <c r="O20" s="5"/>
      <c r="P20" s="5"/>
    </row>
    <row r="21" spans="1:16" ht="12.75">
      <c r="A21" s="82">
        <f t="shared" si="0"/>
        <v>13</v>
      </c>
      <c r="C21" s="83" t="s">
        <v>187</v>
      </c>
      <c r="D21" s="28">
        <f>+D44+D69</f>
        <v>436686</v>
      </c>
      <c r="E21" s="28"/>
      <c r="F21" s="28">
        <f>+F44+F69</f>
        <v>104975318</v>
      </c>
      <c r="G21" s="5"/>
      <c r="H21" s="5"/>
      <c r="I21" s="5"/>
      <c r="J21" s="5"/>
      <c r="K21" s="5"/>
      <c r="L21" s="5"/>
      <c r="M21" s="5"/>
      <c r="N21" s="5"/>
      <c r="O21" s="5"/>
      <c r="P21" s="5"/>
    </row>
    <row r="22" spans="1:16" ht="7.5" customHeight="1">
      <c r="A22" s="82"/>
      <c r="C22" s="83"/>
      <c r="D22" s="31"/>
      <c r="E22" s="19"/>
      <c r="F22" s="31"/>
      <c r="G22" s="5"/>
      <c r="H22" s="5"/>
      <c r="I22" s="5"/>
      <c r="J22" s="5"/>
      <c r="K22" s="5"/>
      <c r="L22" s="5"/>
      <c r="M22" s="5"/>
      <c r="N22" s="5"/>
      <c r="O22" s="5"/>
      <c r="P22" s="5"/>
    </row>
    <row r="23" spans="1:16" ht="12.75">
      <c r="A23" s="82">
        <f>A21+1</f>
        <v>14</v>
      </c>
      <c r="C23" s="83" t="s">
        <v>175</v>
      </c>
      <c r="D23" s="38"/>
      <c r="E23" s="19"/>
      <c r="F23" s="162"/>
      <c r="G23" s="5"/>
      <c r="H23" s="5"/>
      <c r="I23" s="5"/>
      <c r="J23" s="5"/>
      <c r="K23" s="5"/>
      <c r="L23" s="5"/>
      <c r="M23" s="5"/>
      <c r="N23" s="5"/>
      <c r="O23" s="5"/>
      <c r="P23" s="5"/>
    </row>
    <row r="24" spans="1:16" ht="7.5" customHeight="1">
      <c r="A24" s="82"/>
      <c r="C24" s="83"/>
      <c r="D24" s="163"/>
      <c r="E24" s="19"/>
      <c r="F24" s="163"/>
      <c r="G24" s="5"/>
      <c r="H24" s="5"/>
      <c r="I24" s="5"/>
      <c r="J24" s="5"/>
      <c r="K24" s="5"/>
      <c r="L24" s="5"/>
      <c r="M24" s="5"/>
      <c r="N24" s="5"/>
      <c r="O24" s="5"/>
      <c r="P24" s="5"/>
    </row>
    <row r="25" spans="1:16" ht="12.75">
      <c r="A25" s="82">
        <f>A23+1</f>
        <v>15</v>
      </c>
      <c r="C25" s="164" t="s">
        <v>193</v>
      </c>
      <c r="D25" s="37">
        <f>SUM(D9:D21)/2+D23</f>
        <v>389531.5</v>
      </c>
      <c r="E25" s="163"/>
      <c r="F25" s="37">
        <f>SUM(F9:F21)/2</f>
        <v>86469948.5</v>
      </c>
      <c r="G25" s="5"/>
      <c r="H25" s="5"/>
      <c r="I25" s="5"/>
      <c r="J25" s="5"/>
      <c r="K25" s="5"/>
      <c r="L25" s="5"/>
      <c r="M25" s="5"/>
      <c r="N25" s="5"/>
      <c r="O25" s="5"/>
      <c r="P25" s="5"/>
    </row>
    <row r="26" spans="1:16" ht="9.75" customHeight="1">
      <c r="A26" s="82"/>
      <c r="C26" s="83"/>
      <c r="D26" s="19"/>
      <c r="E26" s="19"/>
      <c r="F26" s="5"/>
      <c r="G26" s="5"/>
      <c r="H26" s="5"/>
      <c r="I26" s="5"/>
      <c r="J26" s="5"/>
      <c r="K26" s="5"/>
      <c r="L26" s="5"/>
      <c r="M26" s="5"/>
      <c r="N26" s="19"/>
      <c r="O26" s="5"/>
      <c r="P26" s="5"/>
    </row>
    <row r="27" spans="1:16" ht="13.5" thickBot="1">
      <c r="A27" s="82">
        <f>A25+1</f>
        <v>16</v>
      </c>
      <c r="C27" s="84" t="s">
        <v>193</v>
      </c>
      <c r="D27" s="33">
        <f>D52+D75</f>
        <v>389531.5</v>
      </c>
      <c r="E27" s="6"/>
      <c r="F27" s="33">
        <f>F52+F75</f>
        <v>80295252.93508936</v>
      </c>
      <c r="H27" s="19"/>
      <c r="J27" s="19"/>
      <c r="K27" s="19"/>
      <c r="L27" s="19"/>
      <c r="M27" s="19"/>
      <c r="N27" s="5"/>
      <c r="O27" s="19"/>
      <c r="P27" s="19"/>
    </row>
    <row r="28" spans="1:16" ht="13.5" thickTop="1">
      <c r="A28" s="82"/>
      <c r="D28" s="5"/>
      <c r="E28" s="5"/>
      <c r="F28" s="5"/>
      <c r="G28" s="5"/>
      <c r="H28" s="5"/>
      <c r="I28" s="5"/>
      <c r="J28" s="5"/>
      <c r="K28" s="5"/>
      <c r="L28" s="5"/>
      <c r="M28" s="5"/>
      <c r="N28" s="5"/>
      <c r="O28" s="5"/>
      <c r="P28" s="5"/>
    </row>
    <row r="29" spans="1:16" ht="12.75">
      <c r="A29" s="82"/>
      <c r="D29" s="75" t="s">
        <v>31</v>
      </c>
      <c r="E29" s="77"/>
      <c r="F29" s="43" t="s">
        <v>152</v>
      </c>
      <c r="G29" s="5"/>
      <c r="H29" s="5"/>
      <c r="I29" s="5"/>
      <c r="J29" s="5"/>
      <c r="K29" s="5"/>
      <c r="L29" s="5"/>
      <c r="M29" s="5"/>
      <c r="N29" s="5"/>
      <c r="O29" s="5"/>
      <c r="P29" s="5"/>
    </row>
    <row r="30" spans="1:16" ht="12.75">
      <c r="A30" s="82"/>
      <c r="C30" s="5"/>
      <c r="D30" s="75" t="s">
        <v>32</v>
      </c>
      <c r="E30" s="77"/>
      <c r="F30" s="36" t="s">
        <v>33</v>
      </c>
      <c r="G30" s="5"/>
      <c r="H30" s="5"/>
      <c r="I30" s="5"/>
      <c r="J30" s="5"/>
      <c r="K30" s="5"/>
      <c r="L30" s="5"/>
      <c r="M30" s="5"/>
      <c r="N30" s="5"/>
      <c r="O30" s="5"/>
      <c r="P30" s="5"/>
    </row>
    <row r="31" spans="1:16" ht="13.5" customHeight="1">
      <c r="A31" s="82"/>
      <c r="B31" s="80" t="s">
        <v>18</v>
      </c>
      <c r="C31" s="81"/>
      <c r="D31" s="32"/>
      <c r="F31" s="5"/>
      <c r="G31" s="5"/>
      <c r="H31" s="5"/>
      <c r="I31" s="5"/>
      <c r="J31" s="5"/>
      <c r="K31" s="5"/>
      <c r="L31" s="5"/>
      <c r="M31" s="5"/>
      <c r="N31" s="5"/>
      <c r="O31" s="5"/>
      <c r="P31" s="5"/>
    </row>
    <row r="32" spans="1:16" ht="12.75">
      <c r="A32" s="82">
        <f>A27+1</f>
        <v>17</v>
      </c>
      <c r="C32" s="83" t="s">
        <v>268</v>
      </c>
      <c r="D32" s="28">
        <v>306176</v>
      </c>
      <c r="E32" s="28"/>
      <c r="F32" s="28">
        <v>43192286</v>
      </c>
      <c r="G32" s="5"/>
      <c r="H32" s="165"/>
      <c r="I32" s="5"/>
      <c r="J32" s="5"/>
      <c r="K32" s="5"/>
      <c r="L32" s="5"/>
      <c r="M32" s="5"/>
      <c r="N32" s="5"/>
      <c r="O32" s="5"/>
      <c r="P32" s="5"/>
    </row>
    <row r="33" spans="1:16" ht="12.75">
      <c r="A33" s="82">
        <f t="shared" si="0"/>
        <v>18</v>
      </c>
      <c r="C33" s="83" t="s">
        <v>287</v>
      </c>
      <c r="D33" s="28"/>
      <c r="E33" s="28"/>
      <c r="F33" s="28"/>
      <c r="G33" s="5"/>
      <c r="H33" s="28"/>
      <c r="I33" s="5"/>
      <c r="J33" s="5"/>
      <c r="K33" s="5"/>
      <c r="L33" s="5"/>
      <c r="M33" s="5"/>
      <c r="N33" s="5"/>
      <c r="O33" s="5"/>
      <c r="P33" s="5"/>
    </row>
    <row r="34" spans="1:16" ht="12.75">
      <c r="A34" s="82">
        <f t="shared" si="0"/>
        <v>19</v>
      </c>
      <c r="C34" s="83" t="s">
        <v>154</v>
      </c>
      <c r="D34" s="28"/>
      <c r="E34" s="28"/>
      <c r="F34" s="28"/>
      <c r="G34" s="5"/>
      <c r="H34" s="28"/>
      <c r="I34" s="5"/>
      <c r="J34" s="5"/>
      <c r="K34" s="5"/>
      <c r="L34" s="5"/>
      <c r="M34" s="5"/>
      <c r="N34" s="5"/>
      <c r="O34" s="5"/>
      <c r="P34" s="5"/>
    </row>
    <row r="35" spans="1:16" ht="12.75">
      <c r="A35" s="82">
        <f t="shared" si="0"/>
        <v>20</v>
      </c>
      <c r="C35" s="83" t="s">
        <v>155</v>
      </c>
      <c r="D35" s="28"/>
      <c r="E35" s="28"/>
      <c r="F35" s="28"/>
      <c r="G35" s="5"/>
      <c r="H35" s="28"/>
      <c r="I35" s="5"/>
      <c r="J35" s="5"/>
      <c r="K35" s="5"/>
      <c r="L35" s="5"/>
      <c r="M35" s="5"/>
      <c r="N35" s="5"/>
      <c r="O35" s="5"/>
      <c r="P35" s="5"/>
    </row>
    <row r="36" spans="1:16" ht="12.75">
      <c r="A36" s="82">
        <f t="shared" si="0"/>
        <v>21</v>
      </c>
      <c r="C36" s="83" t="s">
        <v>156</v>
      </c>
      <c r="D36" s="28"/>
      <c r="E36" s="28"/>
      <c r="F36" s="28"/>
      <c r="G36" s="5"/>
      <c r="H36" s="28"/>
      <c r="I36" s="5"/>
      <c r="J36" s="5"/>
      <c r="K36" s="5"/>
      <c r="L36" s="5"/>
      <c r="M36" s="5"/>
      <c r="N36" s="5"/>
      <c r="O36" s="5"/>
      <c r="P36" s="5"/>
    </row>
    <row r="37" spans="1:16" ht="12.75">
      <c r="A37" s="82">
        <f t="shared" si="0"/>
        <v>22</v>
      </c>
      <c r="C37" s="83" t="s">
        <v>128</v>
      </c>
      <c r="D37" s="28"/>
      <c r="E37" s="28"/>
      <c r="F37" s="28"/>
      <c r="G37" s="5"/>
      <c r="H37" s="83"/>
      <c r="I37" s="5"/>
      <c r="J37" s="5"/>
      <c r="K37" s="5"/>
      <c r="L37" s="5"/>
      <c r="M37" s="5"/>
      <c r="N37" s="5"/>
      <c r="O37" s="5"/>
      <c r="P37" s="5"/>
    </row>
    <row r="38" spans="1:16" ht="12.75">
      <c r="A38" s="82">
        <f t="shared" si="0"/>
        <v>23</v>
      </c>
      <c r="C38" s="83" t="s">
        <v>157</v>
      </c>
      <c r="D38" s="28"/>
      <c r="E38" s="28"/>
      <c r="F38" s="28"/>
      <c r="G38" s="5"/>
      <c r="H38" s="83"/>
      <c r="I38" s="5"/>
      <c r="J38" s="5"/>
      <c r="K38" s="5"/>
      <c r="L38" s="5"/>
      <c r="M38" s="5"/>
      <c r="N38" s="5"/>
      <c r="O38" s="5"/>
      <c r="P38" s="5"/>
    </row>
    <row r="39" spans="1:16" ht="12.75">
      <c r="A39" s="82">
        <f t="shared" si="0"/>
        <v>24</v>
      </c>
      <c r="C39" s="83" t="s">
        <v>158</v>
      </c>
      <c r="D39" s="28"/>
      <c r="E39" s="28"/>
      <c r="F39" s="28"/>
      <c r="G39" s="5"/>
      <c r="H39" s="28"/>
      <c r="I39" s="5"/>
      <c r="J39" s="5"/>
      <c r="K39" s="5"/>
      <c r="L39" s="5"/>
      <c r="M39" s="5"/>
      <c r="N39" s="5"/>
      <c r="O39" s="5"/>
      <c r="P39" s="5"/>
    </row>
    <row r="40" spans="1:16" ht="12.75">
      <c r="A40" s="82">
        <f t="shared" si="0"/>
        <v>25</v>
      </c>
      <c r="C40" s="83" t="s">
        <v>159</v>
      </c>
      <c r="D40" s="28"/>
      <c r="E40" s="28"/>
      <c r="F40" s="28"/>
      <c r="G40" s="5"/>
      <c r="H40" s="28"/>
      <c r="I40" s="5"/>
      <c r="J40" s="5"/>
      <c r="K40" s="5"/>
      <c r="L40" s="5"/>
      <c r="M40" s="5"/>
      <c r="N40" s="5"/>
      <c r="O40" s="5"/>
      <c r="P40" s="5"/>
    </row>
    <row r="41" spans="1:16" ht="12.75">
      <c r="A41" s="82">
        <f t="shared" si="0"/>
        <v>26</v>
      </c>
      <c r="C41" s="83" t="s">
        <v>160</v>
      </c>
      <c r="D41" s="28"/>
      <c r="E41" s="28"/>
      <c r="F41" s="28"/>
      <c r="G41" s="5"/>
      <c r="H41" s="28"/>
      <c r="I41" s="5"/>
      <c r="J41" s="5"/>
      <c r="K41" s="5"/>
      <c r="L41" s="5"/>
      <c r="M41" s="5"/>
      <c r="N41" s="5"/>
      <c r="O41" s="5"/>
      <c r="P41" s="5"/>
    </row>
    <row r="42" spans="1:16" ht="12.75">
      <c r="A42" s="82">
        <f t="shared" si="0"/>
        <v>27</v>
      </c>
      <c r="C42" s="83" t="s">
        <v>161</v>
      </c>
      <c r="D42" s="28"/>
      <c r="E42" s="28"/>
      <c r="F42" s="28"/>
      <c r="G42" s="5"/>
      <c r="H42" s="28"/>
      <c r="I42" s="5"/>
      <c r="J42" s="5"/>
      <c r="K42" s="5"/>
      <c r="L42" s="5"/>
      <c r="M42" s="5"/>
      <c r="N42" s="5"/>
      <c r="O42" s="5"/>
      <c r="P42" s="5"/>
    </row>
    <row r="43" spans="1:16" ht="12.75">
      <c r="A43" s="82">
        <f t="shared" si="0"/>
        <v>28</v>
      </c>
      <c r="C43" s="83" t="s">
        <v>162</v>
      </c>
      <c r="D43" s="28"/>
      <c r="E43" s="28"/>
      <c r="F43" s="28"/>
      <c r="G43" s="5"/>
      <c r="H43" s="28"/>
      <c r="I43" s="5"/>
      <c r="J43" s="5"/>
      <c r="K43" s="5"/>
      <c r="L43" s="5"/>
      <c r="M43" s="5"/>
      <c r="N43" s="5"/>
      <c r="O43" s="5"/>
      <c r="P43" s="5"/>
    </row>
    <row r="44" spans="1:16" ht="12.75">
      <c r="A44" s="82">
        <f t="shared" si="0"/>
        <v>29</v>
      </c>
      <c r="C44" s="83" t="s">
        <v>187</v>
      </c>
      <c r="D44" s="28">
        <v>412677</v>
      </c>
      <c r="E44" s="28"/>
      <c r="F44" s="28">
        <v>77088789</v>
      </c>
      <c r="G44" s="5"/>
      <c r="H44" s="28"/>
      <c r="I44" s="5"/>
      <c r="J44" s="5"/>
      <c r="K44" s="5"/>
      <c r="L44" s="5"/>
      <c r="M44" s="5"/>
      <c r="N44" s="5"/>
      <c r="O44" s="5"/>
      <c r="P44" s="5"/>
    </row>
    <row r="45" spans="1:16" ht="7.5" customHeight="1">
      <c r="A45" s="82"/>
      <c r="C45" s="83"/>
      <c r="D45" s="31"/>
      <c r="E45" s="19"/>
      <c r="F45" s="31"/>
      <c r="G45" s="5"/>
      <c r="H45" s="28"/>
      <c r="I45" s="5"/>
      <c r="J45" s="5"/>
      <c r="K45" s="5"/>
      <c r="L45" s="5"/>
      <c r="M45" s="5"/>
      <c r="N45" s="5"/>
      <c r="O45" s="5"/>
      <c r="P45" s="5"/>
    </row>
    <row r="46" spans="1:16" ht="12.75">
      <c r="A46" s="82">
        <f>A44+1</f>
        <v>30</v>
      </c>
      <c r="C46" s="83" t="s">
        <v>175</v>
      </c>
      <c r="D46" s="28"/>
      <c r="E46" s="28"/>
      <c r="F46" s="28"/>
      <c r="G46" s="5"/>
      <c r="H46" s="28"/>
      <c r="I46" s="5"/>
      <c r="J46" s="5"/>
      <c r="K46" s="5"/>
      <c r="L46" s="5"/>
      <c r="M46" s="5"/>
      <c r="N46" s="5"/>
      <c r="O46" s="5"/>
      <c r="P46" s="5"/>
    </row>
    <row r="47" spans="1:16" ht="7.5" customHeight="1">
      <c r="A47" s="82"/>
      <c r="C47" s="83"/>
      <c r="D47" s="31"/>
      <c r="E47" s="19"/>
      <c r="F47" s="31"/>
      <c r="G47" s="5"/>
      <c r="H47" s="163"/>
      <c r="I47" s="5"/>
      <c r="J47" s="5"/>
      <c r="K47" s="5"/>
      <c r="L47" s="5"/>
      <c r="M47" s="5"/>
      <c r="N47" s="5"/>
      <c r="O47" s="5"/>
      <c r="P47" s="5"/>
    </row>
    <row r="48" spans="1:16" ht="12.75">
      <c r="A48" s="82">
        <f>A46+1</f>
        <v>31</v>
      </c>
      <c r="C48" s="164" t="s">
        <v>193</v>
      </c>
      <c r="D48" s="165">
        <f>SUM(D32:D44)/2+D46</f>
        <v>359426.5</v>
      </c>
      <c r="E48" s="163"/>
      <c r="F48" s="165">
        <f>SUM(F32:F44)/2</f>
        <v>60140537.5</v>
      </c>
      <c r="G48" s="5"/>
      <c r="H48" s="37"/>
      <c r="I48" s="5"/>
      <c r="J48" s="5"/>
      <c r="K48" s="5"/>
      <c r="L48" s="5"/>
      <c r="M48" s="5"/>
      <c r="N48" s="5"/>
      <c r="O48" s="5"/>
      <c r="P48" s="5"/>
    </row>
    <row r="49" spans="1:16" ht="12.75">
      <c r="A49" s="82"/>
      <c r="C49" s="83" t="s">
        <v>226</v>
      </c>
      <c r="D49" s="5"/>
      <c r="E49" s="5"/>
      <c r="F49" s="5"/>
      <c r="G49" s="5"/>
      <c r="H49" s="5"/>
      <c r="I49" s="5"/>
      <c r="J49" s="5"/>
      <c r="K49" s="5"/>
      <c r="L49" s="5"/>
      <c r="M49" s="5"/>
      <c r="N49" s="5"/>
      <c r="O49" s="5"/>
      <c r="P49" s="5"/>
    </row>
    <row r="50" spans="1:16" ht="12.75">
      <c r="A50" s="82">
        <f>A48+1</f>
        <v>32</v>
      </c>
      <c r="C50" s="83" t="s">
        <v>288</v>
      </c>
      <c r="D50" s="44"/>
      <c r="E50" s="5"/>
      <c r="F50" s="45">
        <f>F82</f>
        <v>0.9359771235503566</v>
      </c>
      <c r="G50" s="5"/>
      <c r="H50" s="5"/>
      <c r="I50" s="5"/>
      <c r="J50" s="5"/>
      <c r="K50" s="5"/>
      <c r="L50" s="5"/>
      <c r="M50" s="5"/>
      <c r="N50" s="5"/>
      <c r="O50" s="5"/>
      <c r="P50" s="5"/>
    </row>
    <row r="51" spans="1:16" ht="7.5" customHeight="1">
      <c r="A51" s="82"/>
      <c r="C51" s="83"/>
      <c r="D51" s="5"/>
      <c r="E51" s="5"/>
      <c r="F51" s="5"/>
      <c r="G51" s="5"/>
      <c r="H51" s="5"/>
      <c r="I51" s="5"/>
      <c r="J51" s="5"/>
      <c r="K51" s="5"/>
      <c r="L51" s="5"/>
      <c r="M51" s="5"/>
      <c r="N51" s="6"/>
      <c r="O51" s="5"/>
      <c r="P51" s="5"/>
    </row>
    <row r="52" spans="1:16" s="71" customFormat="1" ht="13.5" thickBot="1">
      <c r="A52" s="82">
        <f>A50+1</f>
        <v>33</v>
      </c>
      <c r="C52" s="84" t="s">
        <v>193</v>
      </c>
      <c r="D52" s="33">
        <f>D48</f>
        <v>359426.5</v>
      </c>
      <c r="E52" s="6"/>
      <c r="F52" s="33">
        <f>F48*F50</f>
        <v>56290167.29802235</v>
      </c>
      <c r="G52" s="6"/>
      <c r="H52" s="6"/>
      <c r="I52" s="6"/>
      <c r="J52" s="6"/>
      <c r="K52" s="6"/>
      <c r="L52" s="6"/>
      <c r="M52" s="6"/>
      <c r="N52" s="75"/>
      <c r="O52" s="6"/>
      <c r="P52" s="6"/>
    </row>
    <row r="53" spans="1:16" ht="13.5" thickTop="1">
      <c r="A53" s="82"/>
      <c r="C53" s="5"/>
      <c r="D53" s="5"/>
      <c r="E53" s="5"/>
      <c r="F53" s="5"/>
      <c r="G53" s="5"/>
      <c r="K53" s="75"/>
      <c r="M53" s="75"/>
      <c r="N53" s="5"/>
      <c r="O53" s="75"/>
      <c r="P53" s="76"/>
    </row>
    <row r="54" spans="1:16" ht="12.75">
      <c r="A54" s="82"/>
      <c r="C54" s="5"/>
      <c r="D54" s="75" t="s">
        <v>31</v>
      </c>
      <c r="E54" s="77"/>
      <c r="F54" s="43" t="s">
        <v>152</v>
      </c>
      <c r="G54" s="5"/>
      <c r="H54" s="5"/>
      <c r="I54" s="5"/>
      <c r="J54" s="5"/>
      <c r="K54" s="5"/>
      <c r="L54" s="5"/>
      <c r="M54" s="5"/>
      <c r="N54" s="5"/>
      <c r="O54" s="5"/>
      <c r="P54" s="5"/>
    </row>
    <row r="55" spans="1:16" ht="12.75">
      <c r="A55" s="82"/>
      <c r="C55" s="5"/>
      <c r="D55" s="75" t="s">
        <v>32</v>
      </c>
      <c r="E55" s="77"/>
      <c r="F55" s="36" t="s">
        <v>33</v>
      </c>
      <c r="G55" s="5"/>
      <c r="H55" s="5"/>
      <c r="I55" s="5"/>
      <c r="J55" s="5"/>
      <c r="K55" s="5"/>
      <c r="L55" s="5"/>
      <c r="M55" s="5"/>
      <c r="N55" s="5"/>
      <c r="O55" s="5"/>
      <c r="P55" s="5"/>
    </row>
    <row r="56" spans="1:16" ht="12.75">
      <c r="A56" s="82"/>
      <c r="B56" s="80" t="s">
        <v>19</v>
      </c>
      <c r="C56" s="81"/>
      <c r="D56" s="32"/>
      <c r="F56" s="5"/>
      <c r="G56" s="5"/>
      <c r="H56" s="5"/>
      <c r="I56" s="5"/>
      <c r="J56" s="5"/>
      <c r="K56" s="5"/>
      <c r="L56" s="5"/>
      <c r="M56" s="5"/>
      <c r="N56" s="5"/>
      <c r="O56" s="5"/>
      <c r="P56" s="5"/>
    </row>
    <row r="57" spans="1:16" ht="12.75">
      <c r="A57" s="82">
        <f>A52+1</f>
        <v>34</v>
      </c>
      <c r="C57" s="83" t="s">
        <v>268</v>
      </c>
      <c r="D57" s="28">
        <v>36201</v>
      </c>
      <c r="E57" s="28"/>
      <c r="F57" s="28">
        <v>24772293</v>
      </c>
      <c r="G57" s="5"/>
      <c r="H57" s="5"/>
      <c r="I57" s="5"/>
      <c r="J57" s="5"/>
      <c r="K57" s="5"/>
      <c r="L57" s="5"/>
      <c r="M57" s="5"/>
      <c r="N57" s="5"/>
      <c r="O57" s="5"/>
      <c r="P57" s="5"/>
    </row>
    <row r="58" spans="1:16" ht="12.75">
      <c r="A58" s="82">
        <f t="shared" si="0"/>
        <v>35</v>
      </c>
      <c r="C58" s="83" t="s">
        <v>287</v>
      </c>
      <c r="D58" s="28"/>
      <c r="E58" s="28"/>
      <c r="F58" s="28"/>
      <c r="G58" s="5"/>
      <c r="H58" s="5"/>
      <c r="I58" s="5"/>
      <c r="J58" s="5"/>
      <c r="K58" s="5"/>
      <c r="L58" s="5"/>
      <c r="M58" s="5"/>
      <c r="N58" s="5"/>
      <c r="O58" s="5"/>
      <c r="P58" s="5"/>
    </row>
    <row r="59" spans="1:16" ht="12.75">
      <c r="A59" s="82">
        <f t="shared" si="0"/>
        <v>36</v>
      </c>
      <c r="C59" s="83" t="s">
        <v>154</v>
      </c>
      <c r="D59" s="28"/>
      <c r="E59" s="28"/>
      <c r="F59" s="28"/>
      <c r="G59" s="5"/>
      <c r="H59" s="5"/>
      <c r="I59" s="5"/>
      <c r="J59" s="5"/>
      <c r="K59" s="5"/>
      <c r="L59" s="5"/>
      <c r="M59" s="5"/>
      <c r="N59" s="5"/>
      <c r="O59" s="5"/>
      <c r="P59" s="5"/>
    </row>
    <row r="60" spans="1:16" ht="12.75">
      <c r="A60" s="82">
        <f t="shared" si="0"/>
        <v>37</v>
      </c>
      <c r="C60" s="83" t="s">
        <v>155</v>
      </c>
      <c r="D60" s="28"/>
      <c r="E60" s="28"/>
      <c r="F60" s="28"/>
      <c r="G60" s="5"/>
      <c r="H60" s="5"/>
      <c r="I60" s="5"/>
      <c r="J60" s="5"/>
      <c r="K60" s="5"/>
      <c r="L60" s="5"/>
      <c r="M60" s="5"/>
      <c r="N60" s="5"/>
      <c r="O60" s="5"/>
      <c r="P60" s="5"/>
    </row>
    <row r="61" spans="1:16" ht="12.75">
      <c r="A61" s="82">
        <f t="shared" si="0"/>
        <v>38</v>
      </c>
      <c r="C61" s="83" t="s">
        <v>156</v>
      </c>
      <c r="D61" s="28"/>
      <c r="E61" s="28"/>
      <c r="F61" s="28"/>
      <c r="G61" s="5"/>
      <c r="H61" s="5"/>
      <c r="I61" s="5"/>
      <c r="J61" s="5"/>
      <c r="K61" s="5"/>
      <c r="L61" s="5"/>
      <c r="M61" s="5"/>
      <c r="N61" s="5"/>
      <c r="O61" s="5"/>
      <c r="P61" s="5"/>
    </row>
    <row r="62" spans="1:16" ht="12.75">
      <c r="A62" s="82">
        <f t="shared" si="0"/>
        <v>39</v>
      </c>
      <c r="C62" s="83" t="s">
        <v>128</v>
      </c>
      <c r="D62" s="28"/>
      <c r="E62" s="28"/>
      <c r="F62" s="28"/>
      <c r="G62" s="5"/>
      <c r="H62" s="83"/>
      <c r="I62" s="5"/>
      <c r="J62" s="5"/>
      <c r="K62" s="5"/>
      <c r="L62" s="5"/>
      <c r="M62" s="5"/>
      <c r="N62" s="5"/>
      <c r="O62" s="5"/>
      <c r="P62" s="5"/>
    </row>
    <row r="63" spans="1:16" ht="12.75">
      <c r="A63" s="82">
        <f t="shared" si="0"/>
        <v>40</v>
      </c>
      <c r="C63" s="83" t="s">
        <v>157</v>
      </c>
      <c r="D63" s="28"/>
      <c r="E63" s="28"/>
      <c r="F63" s="28"/>
      <c r="G63" s="5"/>
      <c r="H63" s="83"/>
      <c r="I63" s="5"/>
      <c r="J63" s="5"/>
      <c r="K63" s="5"/>
      <c r="L63" s="5"/>
      <c r="M63" s="5"/>
      <c r="N63" s="5"/>
      <c r="O63" s="5"/>
      <c r="P63" s="5"/>
    </row>
    <row r="64" spans="1:16" ht="12.75">
      <c r="A64" s="82">
        <f t="shared" si="0"/>
        <v>41</v>
      </c>
      <c r="C64" s="83" t="s">
        <v>158</v>
      </c>
      <c r="D64" s="28"/>
      <c r="E64" s="28"/>
      <c r="F64" s="28"/>
      <c r="G64" s="5"/>
      <c r="H64" s="5"/>
      <c r="I64" s="5"/>
      <c r="J64" s="5"/>
      <c r="K64" s="5"/>
      <c r="L64" s="5"/>
      <c r="M64" s="5"/>
      <c r="N64" s="5"/>
      <c r="O64" s="5"/>
      <c r="P64" s="5"/>
    </row>
    <row r="65" spans="1:16" ht="12.75">
      <c r="A65" s="82">
        <f t="shared" si="0"/>
        <v>42</v>
      </c>
      <c r="C65" s="83" t="s">
        <v>159</v>
      </c>
      <c r="D65" s="28"/>
      <c r="E65" s="28"/>
      <c r="F65" s="28"/>
      <c r="G65" s="5"/>
      <c r="H65" s="5"/>
      <c r="I65" s="5"/>
      <c r="J65" s="5"/>
      <c r="K65" s="5"/>
      <c r="L65" s="5"/>
      <c r="M65" s="5"/>
      <c r="N65" s="5"/>
      <c r="O65" s="5"/>
      <c r="P65" s="5"/>
    </row>
    <row r="66" spans="1:16" ht="12.75">
      <c r="A66" s="82">
        <f t="shared" si="0"/>
        <v>43</v>
      </c>
      <c r="C66" s="83" t="s">
        <v>160</v>
      </c>
      <c r="D66" s="28"/>
      <c r="E66" s="28"/>
      <c r="F66" s="28"/>
      <c r="G66" s="5"/>
      <c r="H66" s="5"/>
      <c r="I66" s="5"/>
      <c r="J66" s="5"/>
      <c r="K66" s="5"/>
      <c r="L66" s="5"/>
      <c r="M66" s="5"/>
      <c r="N66" s="5"/>
      <c r="O66" s="5"/>
      <c r="P66" s="5"/>
    </row>
    <row r="67" spans="1:16" ht="12.75">
      <c r="A67" s="82">
        <f t="shared" si="0"/>
        <v>44</v>
      </c>
      <c r="C67" s="83" t="s">
        <v>161</v>
      </c>
      <c r="D67" s="28"/>
      <c r="E67" s="28"/>
      <c r="F67" s="28"/>
      <c r="G67" s="5"/>
      <c r="H67" s="5"/>
      <c r="I67" s="5"/>
      <c r="J67" s="5"/>
      <c r="K67" s="5"/>
      <c r="L67" s="5"/>
      <c r="M67" s="5"/>
      <c r="N67" s="5"/>
      <c r="O67" s="5"/>
      <c r="P67" s="5"/>
    </row>
    <row r="68" spans="1:16" ht="12.75">
      <c r="A68" s="82">
        <f t="shared" si="0"/>
        <v>45</v>
      </c>
      <c r="C68" s="83" t="s">
        <v>162</v>
      </c>
      <c r="D68" s="28"/>
      <c r="E68" s="28"/>
      <c r="F68" s="28"/>
      <c r="G68" s="5"/>
      <c r="H68" s="5"/>
      <c r="I68" s="5"/>
      <c r="J68" s="5"/>
      <c r="K68" s="5"/>
      <c r="L68" s="5"/>
      <c r="M68" s="5"/>
      <c r="N68" s="5"/>
      <c r="O68" s="5"/>
      <c r="P68" s="5"/>
    </row>
    <row r="69" spans="1:16" ht="12.75">
      <c r="A69" s="82">
        <f>+A68+1</f>
        <v>46</v>
      </c>
      <c r="C69" s="83" t="s">
        <v>187</v>
      </c>
      <c r="D69" s="28">
        <v>24009</v>
      </c>
      <c r="E69" s="28"/>
      <c r="F69" s="28">
        <v>27886529</v>
      </c>
      <c r="G69" s="5"/>
      <c r="H69" s="5"/>
      <c r="I69" s="5"/>
      <c r="J69" s="5"/>
      <c r="K69" s="5"/>
      <c r="L69" s="5"/>
      <c r="M69" s="5"/>
      <c r="N69" s="5"/>
      <c r="O69" s="5"/>
      <c r="P69" s="5"/>
    </row>
    <row r="70" spans="1:16" ht="7.5" customHeight="1">
      <c r="A70" s="82"/>
      <c r="C70" s="83"/>
      <c r="D70" s="31"/>
      <c r="E70" s="19"/>
      <c r="F70" s="31"/>
      <c r="G70" s="5"/>
      <c r="H70" s="5"/>
      <c r="I70" s="5"/>
      <c r="J70" s="5"/>
      <c r="K70" s="5"/>
      <c r="L70" s="5"/>
      <c r="M70" s="5"/>
      <c r="N70" s="5"/>
      <c r="O70" s="5"/>
      <c r="P70" s="5"/>
    </row>
    <row r="71" spans="1:16" ht="12.75">
      <c r="A71" s="82">
        <f>A69+1</f>
        <v>47</v>
      </c>
      <c r="C71" s="164" t="s">
        <v>193</v>
      </c>
      <c r="D71" s="165">
        <f>SUM(D57:D69)/2</f>
        <v>30105</v>
      </c>
      <c r="E71" s="163"/>
      <c r="F71" s="165">
        <f>SUM(F57:F69)/2</f>
        <v>26329411</v>
      </c>
      <c r="G71" s="5"/>
      <c r="H71" s="5"/>
      <c r="I71" s="5"/>
      <c r="J71" s="5"/>
      <c r="K71" s="5"/>
      <c r="L71" s="5"/>
      <c r="M71" s="5"/>
      <c r="N71" s="5"/>
      <c r="O71" s="5"/>
      <c r="P71" s="5"/>
    </row>
    <row r="72" spans="1:16" ht="12.75">
      <c r="A72" s="82"/>
      <c r="C72" s="83" t="s">
        <v>226</v>
      </c>
      <c r="D72" s="5"/>
      <c r="E72" s="5"/>
      <c r="F72" s="5"/>
      <c r="G72" s="5"/>
      <c r="H72" s="5"/>
      <c r="I72" s="5"/>
      <c r="J72" s="5"/>
      <c r="K72" s="5"/>
      <c r="L72" s="5"/>
      <c r="M72" s="5"/>
      <c r="N72" s="5"/>
      <c r="O72" s="5"/>
      <c r="P72" s="5"/>
    </row>
    <row r="73" spans="1:16" ht="12.75">
      <c r="A73" s="82">
        <f>A71+1</f>
        <v>48</v>
      </c>
      <c r="C73" s="83" t="s">
        <v>288</v>
      </c>
      <c r="D73" s="44"/>
      <c r="E73" s="5"/>
      <c r="F73" s="45">
        <f>F91</f>
        <v>0.9117213308367214</v>
      </c>
      <c r="G73" s="5"/>
      <c r="H73" s="5"/>
      <c r="I73" s="5"/>
      <c r="J73" s="5"/>
      <c r="K73" s="5"/>
      <c r="L73" s="5"/>
      <c r="M73" s="5"/>
      <c r="N73" s="5"/>
      <c r="O73" s="5"/>
      <c r="P73" s="5"/>
    </row>
    <row r="74" spans="1:6" ht="7.5" customHeight="1">
      <c r="A74" s="82"/>
      <c r="C74" s="83"/>
      <c r="D74" s="5"/>
      <c r="E74" s="5"/>
      <c r="F74" s="5"/>
    </row>
    <row r="75" spans="1:6" ht="13.5" thickBot="1">
      <c r="A75" s="82">
        <f>A73+1</f>
        <v>49</v>
      </c>
      <c r="C75" s="84" t="s">
        <v>193</v>
      </c>
      <c r="D75" s="33">
        <f>D71</f>
        <v>30105</v>
      </c>
      <c r="E75" s="6"/>
      <c r="F75" s="33">
        <f>F71*F73</f>
        <v>24005085.63706701</v>
      </c>
    </row>
    <row r="76" ht="13.5" thickTop="1">
      <c r="A76" s="82"/>
    </row>
    <row r="77" spans="1:4" ht="12.75">
      <c r="A77" s="82"/>
      <c r="C77" s="46" t="s">
        <v>227</v>
      </c>
      <c r="D77" s="46"/>
    </row>
    <row r="78" spans="1:6" ht="12.75">
      <c r="A78" s="82">
        <f>A75+1</f>
        <v>50</v>
      </c>
      <c r="C78" s="47" t="s">
        <v>229</v>
      </c>
      <c r="F78" s="166">
        <v>8140521564</v>
      </c>
    </row>
    <row r="79" spans="1:6" ht="12.75">
      <c r="A79" s="82">
        <f>+A78+1</f>
        <v>51</v>
      </c>
      <c r="C79" s="47" t="s">
        <v>230</v>
      </c>
      <c r="F79" s="166">
        <v>556829428</v>
      </c>
    </row>
    <row r="80" spans="1:6" ht="13.5" thickBot="1">
      <c r="A80" s="82">
        <f>+A79+1</f>
        <v>52</v>
      </c>
      <c r="C80" s="47"/>
      <c r="F80" s="48">
        <f>SUM(F78:F79)</f>
        <v>8697350992</v>
      </c>
    </row>
    <row r="81" ht="6.75" customHeight="1" thickTop="1">
      <c r="A81" s="82"/>
    </row>
    <row r="82" spans="1:6" ht="12.75">
      <c r="A82" s="82">
        <f>A80+1</f>
        <v>53</v>
      </c>
      <c r="C82" s="47" t="s">
        <v>115</v>
      </c>
      <c r="F82" s="45">
        <f>F78/F80</f>
        <v>0.9359771235503566</v>
      </c>
    </row>
    <row r="83" spans="1:6" ht="12.75">
      <c r="A83" s="82">
        <f>+A82+1</f>
        <v>54</v>
      </c>
      <c r="C83" s="47" t="s">
        <v>104</v>
      </c>
      <c r="F83" s="217">
        <f>F79/F80</f>
        <v>0.06402287644964347</v>
      </c>
    </row>
    <row r="84" spans="1:6" ht="13.5" thickBot="1">
      <c r="A84" s="82">
        <f>+A83+1</f>
        <v>55</v>
      </c>
      <c r="C84" s="47" t="s">
        <v>130</v>
      </c>
      <c r="F84" s="49">
        <f>SUM(F82:F83)</f>
        <v>1</v>
      </c>
    </row>
    <row r="85" ht="6.75" customHeight="1" thickTop="1">
      <c r="A85" s="82"/>
    </row>
    <row r="86" spans="1:4" ht="12.75">
      <c r="A86" s="82"/>
      <c r="C86" s="46" t="s">
        <v>228</v>
      </c>
      <c r="D86" s="46"/>
    </row>
    <row r="87" spans="1:6" ht="12.75">
      <c r="A87" s="82">
        <f>A84+1</f>
        <v>56</v>
      </c>
      <c r="C87" s="47" t="s">
        <v>229</v>
      </c>
      <c r="F87" s="166">
        <v>1024061508</v>
      </c>
    </row>
    <row r="88" spans="1:6" ht="12.75">
      <c r="A88" s="82">
        <f>+A87+1</f>
        <v>57</v>
      </c>
      <c r="C88" s="47" t="s">
        <v>230</v>
      </c>
      <c r="F88" s="166">
        <v>99156161</v>
      </c>
    </row>
    <row r="89" spans="1:6" ht="13.5" thickBot="1">
      <c r="A89" s="82">
        <f>+A88+1</f>
        <v>58</v>
      </c>
      <c r="C89" s="47"/>
      <c r="F89" s="48">
        <f>SUM(F87:F88)</f>
        <v>1123217669</v>
      </c>
    </row>
    <row r="90" ht="6.75" customHeight="1" thickTop="1">
      <c r="A90" s="82"/>
    </row>
    <row r="91" spans="1:6" ht="12.75">
      <c r="A91" s="82">
        <f>A89+1</f>
        <v>59</v>
      </c>
      <c r="C91" s="47" t="s">
        <v>115</v>
      </c>
      <c r="F91" s="45">
        <f>F87/F89</f>
        <v>0.9117213308367214</v>
      </c>
    </row>
    <row r="92" spans="1:6" ht="12.75">
      <c r="A92" s="82">
        <f>+A91+1</f>
        <v>60</v>
      </c>
      <c r="C92" s="47" t="s">
        <v>104</v>
      </c>
      <c r="F92" s="217">
        <f>F88/F89</f>
        <v>0.08827866916327863</v>
      </c>
    </row>
    <row r="93" spans="1:6" ht="13.5" thickBot="1">
      <c r="A93" s="82">
        <f>+A92+1</f>
        <v>61</v>
      </c>
      <c r="C93" s="47" t="s">
        <v>130</v>
      </c>
      <c r="F93" s="49">
        <f>SUM(F91:F92)</f>
        <v>1</v>
      </c>
    </row>
    <row r="94" ht="13.5" thickTop="1"/>
  </sheetData>
  <printOptions horizontalCentered="1"/>
  <pageMargins left="0.5" right="0.25" top="0.5" bottom="0.4" header="0" footer="0.25"/>
  <pageSetup fitToHeight="1" fitToWidth="1" horizontalDpi="600" verticalDpi="600" orientation="portrait" scale="65"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sheetPr>
    <tabColor indexed="42"/>
    <pageSetUpPr fitToPage="1"/>
  </sheetPr>
  <dimension ref="A1:L96"/>
  <sheetViews>
    <sheetView showGridLines="0" workbookViewId="0" topLeftCell="A1">
      <selection activeCell="A4" sqref="A4"/>
    </sheetView>
  </sheetViews>
  <sheetFormatPr defaultColWidth="8.88671875" defaultRowHeight="15"/>
  <cols>
    <col min="1" max="1" width="4.77734375" style="116" customWidth="1"/>
    <col min="2" max="2" width="5.77734375" style="116" customWidth="1"/>
    <col min="3" max="3" width="0.88671875" style="111" customWidth="1"/>
    <col min="4" max="4" width="44.77734375" style="111" customWidth="1"/>
    <col min="5" max="5" width="1.33203125" style="144" customWidth="1"/>
    <col min="6" max="6" width="10.77734375" style="111" customWidth="1"/>
    <col min="7" max="7" width="1.77734375" style="144" customWidth="1"/>
    <col min="8" max="8" width="10.77734375" style="111" customWidth="1"/>
    <col min="9" max="9" width="1.77734375" style="111" customWidth="1"/>
    <col min="10" max="10" width="11.77734375" style="112" customWidth="1"/>
    <col min="11" max="11" width="9.88671875" style="111" bestFit="1" customWidth="1"/>
    <col min="12" max="12" width="15.6640625" style="111" bestFit="1" customWidth="1"/>
    <col min="13" max="13" width="9.5546875" style="111" customWidth="1"/>
    <col min="14" max="16384" width="7.99609375" style="111" customWidth="1"/>
  </cols>
  <sheetData>
    <row r="1" spans="1:10" ht="12.75">
      <c r="A1" s="143" t="s">
        <v>15</v>
      </c>
      <c r="I1" s="113"/>
      <c r="J1" s="72" t="s">
        <v>285</v>
      </c>
    </row>
    <row r="2" spans="1:10" ht="12.75">
      <c r="A2" s="113" t="s">
        <v>108</v>
      </c>
      <c r="I2" s="137"/>
      <c r="J2" s="114"/>
    </row>
    <row r="3" spans="1:10" ht="12.75">
      <c r="A3" s="70" t="s">
        <v>286</v>
      </c>
      <c r="I3" s="113"/>
      <c r="J3" s="115"/>
    </row>
    <row r="4" spans="1:9" ht="12.75">
      <c r="A4" s="73"/>
      <c r="I4" s="145"/>
    </row>
    <row r="5" spans="6:12" ht="3.75" customHeight="1">
      <c r="F5" s="146"/>
      <c r="G5" s="147"/>
      <c r="H5" s="146"/>
      <c r="I5" s="146"/>
      <c r="K5" s="146"/>
      <c r="L5" s="146"/>
    </row>
    <row r="6" spans="1:12" ht="12.75">
      <c r="A6" s="118" t="s">
        <v>153</v>
      </c>
      <c r="B6" s="118" t="s">
        <v>310</v>
      </c>
      <c r="C6" s="137"/>
      <c r="D6" s="137"/>
      <c r="E6" s="142"/>
      <c r="F6" s="118"/>
      <c r="G6" s="119"/>
      <c r="H6" s="118"/>
      <c r="I6" s="118"/>
      <c r="J6" s="118" t="s">
        <v>130</v>
      </c>
      <c r="K6" s="146"/>
      <c r="L6" s="146"/>
    </row>
    <row r="7" spans="1:12" ht="12.75">
      <c r="A7" s="122" t="s">
        <v>129</v>
      </c>
      <c r="B7" s="122" t="s">
        <v>129</v>
      </c>
      <c r="C7" s="113" t="s">
        <v>149</v>
      </c>
      <c r="D7" s="120" t="s">
        <v>139</v>
      </c>
      <c r="E7" s="142"/>
      <c r="F7" s="122" t="s">
        <v>36</v>
      </c>
      <c r="G7" s="119"/>
      <c r="H7" s="123" t="s">
        <v>37</v>
      </c>
      <c r="I7" s="118"/>
      <c r="J7" s="123" t="s">
        <v>38</v>
      </c>
      <c r="K7" s="146"/>
      <c r="L7" s="148"/>
    </row>
    <row r="8" spans="11:12" ht="7.5" customHeight="1">
      <c r="K8" s="146"/>
      <c r="L8" s="148"/>
    </row>
    <row r="9" spans="1:12" ht="12.75">
      <c r="A9" s="116">
        <v>1</v>
      </c>
      <c r="D9" s="149" t="s">
        <v>13</v>
      </c>
      <c r="H9" s="20"/>
      <c r="K9" s="146"/>
      <c r="L9" s="148"/>
    </row>
    <row r="10" spans="1:12" ht="12.75">
      <c r="A10" s="116">
        <f>+A9+1</f>
        <v>2</v>
      </c>
      <c r="D10" s="136" t="s">
        <v>150</v>
      </c>
      <c r="H10" s="20"/>
      <c r="K10" s="146"/>
      <c r="L10" s="148"/>
    </row>
    <row r="11" spans="1:12" ht="12.75">
      <c r="A11" s="116">
        <f aca="true" t="shared" si="0" ref="A11:A50">+A10+1</f>
        <v>3</v>
      </c>
      <c r="B11" s="116">
        <v>560</v>
      </c>
      <c r="D11" s="116" t="s">
        <v>146</v>
      </c>
      <c r="F11" s="150">
        <v>8574784</v>
      </c>
      <c r="G11" s="151"/>
      <c r="H11" s="150">
        <v>1733564</v>
      </c>
      <c r="I11" s="22"/>
      <c r="J11" s="150">
        <f>SUM(F11:I11)</f>
        <v>10308348</v>
      </c>
      <c r="K11" s="146"/>
      <c r="L11" s="148"/>
    </row>
    <row r="12" spans="1:12" ht="12.75">
      <c r="A12" s="116">
        <f t="shared" si="0"/>
        <v>4</v>
      </c>
      <c r="B12" s="152" t="s">
        <v>39</v>
      </c>
      <c r="D12" s="116" t="s">
        <v>117</v>
      </c>
      <c r="F12" s="153">
        <v>0</v>
      </c>
      <c r="G12" s="130"/>
      <c r="H12" s="153">
        <v>0</v>
      </c>
      <c r="I12" s="20"/>
      <c r="J12" s="153">
        <f>SUM(F12:I12)</f>
        <v>0</v>
      </c>
      <c r="K12" s="146"/>
      <c r="L12" s="148"/>
    </row>
    <row r="13" spans="1:12" ht="12.75">
      <c r="A13" s="116">
        <f t="shared" si="0"/>
        <v>5</v>
      </c>
      <c r="B13" s="152" t="s">
        <v>40</v>
      </c>
      <c r="D13" s="116" t="s">
        <v>46</v>
      </c>
      <c r="F13" s="153">
        <v>46220</v>
      </c>
      <c r="G13" s="130"/>
      <c r="H13" s="153">
        <v>0</v>
      </c>
      <c r="I13" s="20"/>
      <c r="J13" s="153">
        <f aca="true" t="shared" si="1" ref="J13:J26">SUM(F13:I13)</f>
        <v>46220</v>
      </c>
      <c r="K13" s="146"/>
      <c r="L13" s="148"/>
    </row>
    <row r="14" spans="1:12" ht="12.75">
      <c r="A14" s="116">
        <f t="shared" si="0"/>
        <v>6</v>
      </c>
      <c r="B14" s="152" t="s">
        <v>41</v>
      </c>
      <c r="D14" s="116" t="s">
        <v>47</v>
      </c>
      <c r="F14" s="153">
        <v>4648104</v>
      </c>
      <c r="G14" s="130"/>
      <c r="H14" s="153">
        <v>1802624</v>
      </c>
      <c r="I14" s="20"/>
      <c r="J14" s="153">
        <f t="shared" si="1"/>
        <v>6450728</v>
      </c>
      <c r="K14" s="146"/>
      <c r="L14" s="148"/>
    </row>
    <row r="15" spans="1:12" ht="12.75">
      <c r="A15" s="116">
        <f t="shared" si="0"/>
        <v>7</v>
      </c>
      <c r="B15" s="152" t="s">
        <v>42</v>
      </c>
      <c r="D15" s="116" t="s">
        <v>48</v>
      </c>
      <c r="F15" s="153">
        <v>51638</v>
      </c>
      <c r="G15" s="130"/>
      <c r="H15" s="153">
        <v>0</v>
      </c>
      <c r="I15" s="20"/>
      <c r="J15" s="153">
        <f t="shared" si="1"/>
        <v>51638</v>
      </c>
      <c r="K15" s="146"/>
      <c r="L15" s="148"/>
    </row>
    <row r="16" spans="1:12" ht="12.75">
      <c r="A16" s="116">
        <f t="shared" si="0"/>
        <v>8</v>
      </c>
      <c r="B16" s="152" t="s">
        <v>50</v>
      </c>
      <c r="D16" s="116" t="s">
        <v>49</v>
      </c>
      <c r="F16" s="153">
        <v>7391442</v>
      </c>
      <c r="G16" s="130"/>
      <c r="H16" s="153">
        <v>0</v>
      </c>
      <c r="I16" s="20"/>
      <c r="J16" s="153">
        <f t="shared" si="1"/>
        <v>7391442</v>
      </c>
      <c r="K16" s="146"/>
      <c r="L16" s="148"/>
    </row>
    <row r="17" spans="1:12" ht="12.75">
      <c r="A17" s="116">
        <f t="shared" si="0"/>
        <v>9</v>
      </c>
      <c r="B17" s="152" t="s">
        <v>43</v>
      </c>
      <c r="D17" s="116" t="s">
        <v>51</v>
      </c>
      <c r="F17" s="153">
        <v>509657</v>
      </c>
      <c r="G17" s="130"/>
      <c r="H17" s="153">
        <v>3894</v>
      </c>
      <c r="I17" s="20"/>
      <c r="J17" s="153">
        <f t="shared" si="1"/>
        <v>513551</v>
      </c>
      <c r="K17" s="146"/>
      <c r="L17" s="148"/>
    </row>
    <row r="18" spans="1:12" ht="12.75">
      <c r="A18" s="116">
        <f t="shared" si="0"/>
        <v>10</v>
      </c>
      <c r="B18" s="152" t="s">
        <v>44</v>
      </c>
      <c r="D18" s="116" t="s">
        <v>52</v>
      </c>
      <c r="F18" s="153">
        <v>66018</v>
      </c>
      <c r="G18" s="130"/>
      <c r="H18" s="153">
        <v>0</v>
      </c>
      <c r="I18" s="20"/>
      <c r="J18" s="153">
        <f t="shared" si="1"/>
        <v>66018</v>
      </c>
      <c r="K18" s="146"/>
      <c r="L18" s="148"/>
    </row>
    <row r="19" spans="1:12" ht="12.75">
      <c r="A19" s="116">
        <f t="shared" si="0"/>
        <v>11</v>
      </c>
      <c r="B19" s="116">
        <v>561.7</v>
      </c>
      <c r="D19" s="116" t="s">
        <v>53</v>
      </c>
      <c r="F19" s="153">
        <v>-8756</v>
      </c>
      <c r="G19" s="130"/>
      <c r="H19" s="153">
        <v>0</v>
      </c>
      <c r="I19" s="20"/>
      <c r="J19" s="153">
        <f t="shared" si="1"/>
        <v>-8756</v>
      </c>
      <c r="K19" s="146"/>
      <c r="L19" s="148"/>
    </row>
    <row r="20" spans="1:12" ht="12.75">
      <c r="A20" s="116">
        <f t="shared" si="0"/>
        <v>12</v>
      </c>
      <c r="B20" s="152" t="s">
        <v>45</v>
      </c>
      <c r="D20" s="116" t="s">
        <v>54</v>
      </c>
      <c r="F20" s="153">
        <v>2349103</v>
      </c>
      <c r="G20" s="130"/>
      <c r="H20" s="153">
        <v>0</v>
      </c>
      <c r="I20" s="20"/>
      <c r="J20" s="153">
        <f t="shared" si="1"/>
        <v>2349103</v>
      </c>
      <c r="K20" s="146"/>
      <c r="L20" s="148"/>
    </row>
    <row r="21" spans="1:12" ht="12.75">
      <c r="A21" s="116">
        <f t="shared" si="0"/>
        <v>13</v>
      </c>
      <c r="B21" s="116">
        <v>562</v>
      </c>
      <c r="D21" s="116" t="s">
        <v>118</v>
      </c>
      <c r="F21" s="153">
        <v>1552206</v>
      </c>
      <c r="G21" s="130"/>
      <c r="H21" s="153">
        <v>342267</v>
      </c>
      <c r="I21" s="20"/>
      <c r="J21" s="153">
        <f t="shared" si="1"/>
        <v>1894473</v>
      </c>
      <c r="K21" s="20"/>
      <c r="L21" s="148"/>
    </row>
    <row r="22" spans="1:12" ht="12.75">
      <c r="A22" s="116">
        <f t="shared" si="0"/>
        <v>14</v>
      </c>
      <c r="B22" s="116">
        <v>563</v>
      </c>
      <c r="D22" s="116" t="s">
        <v>119</v>
      </c>
      <c r="F22" s="153">
        <v>3240016</v>
      </c>
      <c r="G22" s="130"/>
      <c r="H22" s="153">
        <v>962617</v>
      </c>
      <c r="I22" s="20"/>
      <c r="J22" s="153">
        <f t="shared" si="1"/>
        <v>4202633</v>
      </c>
      <c r="K22" s="20"/>
      <c r="L22" s="148"/>
    </row>
    <row r="23" spans="1:12" ht="12.75">
      <c r="A23" s="116">
        <f t="shared" si="0"/>
        <v>15</v>
      </c>
      <c r="B23" s="152" t="s">
        <v>55</v>
      </c>
      <c r="D23" s="116" t="s">
        <v>56</v>
      </c>
      <c r="F23" s="153">
        <v>8430</v>
      </c>
      <c r="G23" s="130"/>
      <c r="H23" s="153">
        <v>376</v>
      </c>
      <c r="I23" s="20"/>
      <c r="J23" s="153">
        <f t="shared" si="1"/>
        <v>8806</v>
      </c>
      <c r="K23" s="20"/>
      <c r="L23" s="148"/>
    </row>
    <row r="24" spans="1:12" ht="12.75">
      <c r="A24" s="116">
        <f t="shared" si="0"/>
        <v>16</v>
      </c>
      <c r="B24" s="116">
        <v>565</v>
      </c>
      <c r="D24" s="116" t="s">
        <v>170</v>
      </c>
      <c r="F24" s="153">
        <v>105372950</v>
      </c>
      <c r="G24" s="130"/>
      <c r="H24" s="153">
        <v>0</v>
      </c>
      <c r="I24" s="20"/>
      <c r="J24" s="153">
        <f t="shared" si="1"/>
        <v>105372950</v>
      </c>
      <c r="K24" s="20"/>
      <c r="L24" s="148"/>
    </row>
    <row r="25" spans="1:12" ht="12.75">
      <c r="A25" s="116">
        <f t="shared" si="0"/>
        <v>17</v>
      </c>
      <c r="B25" s="116">
        <v>566</v>
      </c>
      <c r="D25" s="116" t="s">
        <v>106</v>
      </c>
      <c r="F25" s="153">
        <v>63331507</v>
      </c>
      <c r="G25" s="130"/>
      <c r="H25" s="153">
        <v>43164494</v>
      </c>
      <c r="I25" s="20"/>
      <c r="J25" s="153">
        <f t="shared" si="1"/>
        <v>106496001</v>
      </c>
      <c r="K25" s="20"/>
      <c r="L25" s="148"/>
    </row>
    <row r="26" spans="1:12" ht="12.75">
      <c r="A26" s="116">
        <f t="shared" si="0"/>
        <v>18</v>
      </c>
      <c r="B26" s="116">
        <v>567</v>
      </c>
      <c r="D26" s="116" t="s">
        <v>10</v>
      </c>
      <c r="F26" s="153">
        <v>2121504</v>
      </c>
      <c r="G26" s="130"/>
      <c r="H26" s="153">
        <v>503336</v>
      </c>
      <c r="I26" s="20"/>
      <c r="J26" s="153">
        <f t="shared" si="1"/>
        <v>2624840</v>
      </c>
      <c r="K26" s="20"/>
      <c r="L26" s="148"/>
    </row>
    <row r="27" spans="1:12" ht="12.75">
      <c r="A27" s="116">
        <f t="shared" si="0"/>
        <v>19</v>
      </c>
      <c r="D27" s="116" t="s">
        <v>120</v>
      </c>
      <c r="F27" s="154">
        <f>SUM(F11:F26)</f>
        <v>199254823</v>
      </c>
      <c r="G27" s="151"/>
      <c r="H27" s="154">
        <f>SUM(H11:H26)</f>
        <v>48513172</v>
      </c>
      <c r="I27" s="22"/>
      <c r="J27" s="154">
        <f>SUM(J11:J26)</f>
        <v>247767995</v>
      </c>
      <c r="K27" s="20"/>
      <c r="L27" s="148"/>
    </row>
    <row r="28" spans="6:12" ht="3.75" customHeight="1">
      <c r="F28" s="153"/>
      <c r="G28" s="130"/>
      <c r="H28" s="153"/>
      <c r="I28" s="20"/>
      <c r="J28" s="153"/>
      <c r="K28" s="20"/>
      <c r="L28" s="148"/>
    </row>
    <row r="29" spans="1:12" ht="12.75">
      <c r="A29" s="116">
        <f>A27+1</f>
        <v>20</v>
      </c>
      <c r="D29" s="136" t="s">
        <v>121</v>
      </c>
      <c r="F29" s="153"/>
      <c r="G29" s="130"/>
      <c r="H29" s="153"/>
      <c r="I29" s="20"/>
      <c r="J29" s="153"/>
      <c r="K29" s="20"/>
      <c r="L29" s="148"/>
    </row>
    <row r="30" spans="1:12" ht="12.75">
      <c r="A30" s="116">
        <f t="shared" si="0"/>
        <v>21</v>
      </c>
      <c r="B30" s="116">
        <v>568</v>
      </c>
      <c r="D30" s="116" t="s">
        <v>146</v>
      </c>
      <c r="F30" s="150">
        <v>157657</v>
      </c>
      <c r="G30" s="151"/>
      <c r="H30" s="150">
        <v>36747</v>
      </c>
      <c r="I30" s="22"/>
      <c r="J30" s="150">
        <f aca="true" t="shared" si="2" ref="J30:J39">SUM(F30:I30)</f>
        <v>194404</v>
      </c>
      <c r="K30" s="20"/>
      <c r="L30" s="148"/>
    </row>
    <row r="31" spans="1:12" ht="12.75">
      <c r="A31" s="116">
        <f t="shared" si="0"/>
        <v>22</v>
      </c>
      <c r="B31" s="116">
        <v>569</v>
      </c>
      <c r="D31" s="116" t="s">
        <v>6</v>
      </c>
      <c r="F31" s="153">
        <v>5225</v>
      </c>
      <c r="G31" s="130"/>
      <c r="H31" s="153">
        <v>0</v>
      </c>
      <c r="I31" s="20"/>
      <c r="J31" s="153">
        <f t="shared" si="2"/>
        <v>5225</v>
      </c>
      <c r="K31" s="20"/>
      <c r="L31" s="148"/>
    </row>
    <row r="32" spans="1:12" ht="12.75">
      <c r="A32" s="116">
        <f t="shared" si="0"/>
        <v>23</v>
      </c>
      <c r="B32" s="152" t="s">
        <v>57</v>
      </c>
      <c r="D32" s="116" t="s">
        <v>58</v>
      </c>
      <c r="F32" s="153">
        <v>0</v>
      </c>
      <c r="G32" s="130"/>
      <c r="H32" s="153">
        <v>0</v>
      </c>
      <c r="I32" s="20"/>
      <c r="J32" s="153">
        <f t="shared" si="2"/>
        <v>0</v>
      </c>
      <c r="K32" s="20"/>
      <c r="L32" s="148"/>
    </row>
    <row r="33" spans="1:12" ht="12.75">
      <c r="A33" s="116">
        <f t="shared" si="0"/>
        <v>24</v>
      </c>
      <c r="B33" s="152" t="s">
        <v>59</v>
      </c>
      <c r="D33" s="116" t="s">
        <v>105</v>
      </c>
      <c r="F33" s="153">
        <v>0</v>
      </c>
      <c r="G33" s="130"/>
      <c r="H33" s="153">
        <v>0</v>
      </c>
      <c r="I33" s="20"/>
      <c r="J33" s="153">
        <f t="shared" si="2"/>
        <v>0</v>
      </c>
      <c r="K33" s="20"/>
      <c r="L33" s="148"/>
    </row>
    <row r="34" spans="1:12" ht="13.5" customHeight="1">
      <c r="A34" s="116">
        <f t="shared" si="0"/>
        <v>25</v>
      </c>
      <c r="B34" s="152" t="s">
        <v>60</v>
      </c>
      <c r="D34" s="116" t="s">
        <v>110</v>
      </c>
      <c r="F34" s="153">
        <v>0</v>
      </c>
      <c r="G34" s="130"/>
      <c r="H34" s="153">
        <v>0</v>
      </c>
      <c r="I34" s="20"/>
      <c r="J34" s="153">
        <f t="shared" si="2"/>
        <v>0</v>
      </c>
      <c r="K34" s="20"/>
      <c r="L34" s="148"/>
    </row>
    <row r="35" spans="1:12" ht="12.75">
      <c r="A35" s="116">
        <f t="shared" si="0"/>
        <v>26</v>
      </c>
      <c r="B35" s="152" t="s">
        <v>61</v>
      </c>
      <c r="D35" s="116" t="s">
        <v>62</v>
      </c>
      <c r="F35" s="153">
        <v>0</v>
      </c>
      <c r="G35" s="130"/>
      <c r="H35" s="153">
        <v>0</v>
      </c>
      <c r="I35" s="20"/>
      <c r="J35" s="153">
        <f t="shared" si="2"/>
        <v>0</v>
      </c>
      <c r="K35" s="20"/>
      <c r="L35" s="148"/>
    </row>
    <row r="36" spans="1:12" ht="12.75">
      <c r="A36" s="116">
        <f t="shared" si="0"/>
        <v>27</v>
      </c>
      <c r="B36" s="116">
        <v>570</v>
      </c>
      <c r="D36" s="116" t="s">
        <v>141</v>
      </c>
      <c r="F36" s="153">
        <v>6874891</v>
      </c>
      <c r="G36" s="130"/>
      <c r="H36" s="153">
        <v>1493737</v>
      </c>
      <c r="I36" s="20"/>
      <c r="J36" s="153">
        <f t="shared" si="2"/>
        <v>8368628</v>
      </c>
      <c r="K36" s="20"/>
      <c r="L36" s="148"/>
    </row>
    <row r="37" spans="1:12" ht="12.75">
      <c r="A37" s="116">
        <f t="shared" si="0"/>
        <v>28</v>
      </c>
      <c r="B37" s="116">
        <v>571</v>
      </c>
      <c r="D37" s="116" t="s">
        <v>9</v>
      </c>
      <c r="F37" s="153">
        <v>7427784</v>
      </c>
      <c r="G37" s="130"/>
      <c r="H37" s="153">
        <v>2751418</v>
      </c>
      <c r="I37" s="20"/>
      <c r="J37" s="153">
        <f t="shared" si="2"/>
        <v>10179202</v>
      </c>
      <c r="K37" s="20"/>
      <c r="L37" s="148"/>
    </row>
    <row r="38" spans="1:12" ht="12.75">
      <c r="A38" s="116">
        <f t="shared" si="0"/>
        <v>29</v>
      </c>
      <c r="B38" s="116">
        <v>572</v>
      </c>
      <c r="D38" s="116" t="s">
        <v>11</v>
      </c>
      <c r="F38" s="153">
        <v>240416</v>
      </c>
      <c r="G38" s="130"/>
      <c r="H38" s="153">
        <v>3923</v>
      </c>
      <c r="I38" s="20"/>
      <c r="J38" s="153">
        <f t="shared" si="2"/>
        <v>244339</v>
      </c>
      <c r="K38" s="20"/>
      <c r="L38" s="148"/>
    </row>
    <row r="39" spans="1:12" ht="12.75">
      <c r="A39" s="116">
        <f t="shared" si="0"/>
        <v>30</v>
      </c>
      <c r="B39" s="116">
        <v>573</v>
      </c>
      <c r="D39" s="116" t="s">
        <v>107</v>
      </c>
      <c r="F39" s="155">
        <v>-107914</v>
      </c>
      <c r="G39" s="130"/>
      <c r="H39" s="155">
        <v>79840</v>
      </c>
      <c r="I39" s="130"/>
      <c r="J39" s="156">
        <f t="shared" si="2"/>
        <v>-28074</v>
      </c>
      <c r="K39" s="20"/>
      <c r="L39" s="148"/>
    </row>
    <row r="40" spans="1:12" ht="12.75">
      <c r="A40" s="116">
        <f t="shared" si="0"/>
        <v>31</v>
      </c>
      <c r="D40" s="116" t="s">
        <v>122</v>
      </c>
      <c r="F40" s="154">
        <f>SUM(F30:F39)</f>
        <v>14598059</v>
      </c>
      <c r="G40" s="130"/>
      <c r="H40" s="154">
        <f>SUM(H30:H39)</f>
        <v>4365665</v>
      </c>
      <c r="I40" s="130"/>
      <c r="J40" s="154">
        <f>SUM(J30:J39)</f>
        <v>18963724</v>
      </c>
      <c r="K40" s="20"/>
      <c r="L40" s="148"/>
    </row>
    <row r="41" spans="6:12" ht="3.75" customHeight="1">
      <c r="F41" s="153"/>
      <c r="G41" s="130"/>
      <c r="H41" s="153"/>
      <c r="I41" s="20"/>
      <c r="J41" s="153"/>
      <c r="K41" s="20"/>
      <c r="L41" s="148"/>
    </row>
    <row r="42" spans="1:12" ht="13.5" thickBot="1">
      <c r="A42" s="116">
        <f>A40+1</f>
        <v>32</v>
      </c>
      <c r="D42" s="116" t="s">
        <v>269</v>
      </c>
      <c r="F42" s="157">
        <f>F27+F40</f>
        <v>213852882</v>
      </c>
      <c r="G42" s="151"/>
      <c r="H42" s="157">
        <f>H27+H40</f>
        <v>52878837</v>
      </c>
      <c r="I42" s="22"/>
      <c r="J42" s="157">
        <f>J27+J40</f>
        <v>266731719</v>
      </c>
      <c r="K42" s="20"/>
      <c r="L42" s="148"/>
    </row>
    <row r="43" spans="4:12" ht="3.75" customHeight="1" thickTop="1">
      <c r="D43" s="116"/>
      <c r="F43" s="26"/>
      <c r="G43" s="151"/>
      <c r="H43" s="26"/>
      <c r="I43" s="22"/>
      <c r="J43" s="26"/>
      <c r="K43" s="20"/>
      <c r="L43" s="148"/>
    </row>
    <row r="44" spans="1:12" ht="12.75">
      <c r="A44" s="116">
        <f>A42+1</f>
        <v>33</v>
      </c>
      <c r="D44" s="116" t="s">
        <v>308</v>
      </c>
      <c r="F44" s="150"/>
      <c r="G44" s="151"/>
      <c r="H44" s="150"/>
      <c r="I44" s="22"/>
      <c r="J44" s="150"/>
      <c r="K44" s="20"/>
      <c r="L44" s="148"/>
    </row>
    <row r="45" spans="1:12" ht="12.75">
      <c r="A45" s="116">
        <f t="shared" si="0"/>
        <v>34</v>
      </c>
      <c r="D45" s="116" t="s">
        <v>309</v>
      </c>
      <c r="F45" s="150">
        <v>59918260</v>
      </c>
      <c r="G45" s="151"/>
      <c r="H45" s="150">
        <v>42632106</v>
      </c>
      <c r="I45" s="22"/>
      <c r="J45" s="150">
        <f>F45+H45</f>
        <v>102550366</v>
      </c>
      <c r="K45" s="20"/>
      <c r="L45" s="148"/>
    </row>
    <row r="46" spans="1:12" ht="13.5" thickBot="1">
      <c r="A46" s="116">
        <f t="shared" si="0"/>
        <v>35</v>
      </c>
      <c r="D46" s="116" t="s">
        <v>190</v>
      </c>
      <c r="F46" s="158">
        <f>F42-F45</f>
        <v>153934622</v>
      </c>
      <c r="G46" s="151"/>
      <c r="H46" s="158">
        <f>H42-H45</f>
        <v>10246731</v>
      </c>
      <c r="I46" s="22"/>
      <c r="J46" s="158">
        <f>J42-J45</f>
        <v>164181353</v>
      </c>
      <c r="K46" s="20"/>
      <c r="L46" s="148"/>
    </row>
    <row r="47" spans="1:12" ht="13.5" thickTop="1">
      <c r="A47" s="116">
        <f t="shared" si="0"/>
        <v>36</v>
      </c>
      <c r="D47" s="116" t="s">
        <v>219</v>
      </c>
      <c r="F47" s="150"/>
      <c r="G47" s="151"/>
      <c r="H47" s="150"/>
      <c r="I47" s="22"/>
      <c r="J47" s="150"/>
      <c r="K47" s="20"/>
      <c r="L47" s="148"/>
    </row>
    <row r="48" spans="1:12" ht="12.75">
      <c r="A48" s="116">
        <f t="shared" si="0"/>
        <v>37</v>
      </c>
      <c r="D48" s="116" t="s">
        <v>306</v>
      </c>
      <c r="F48" s="150">
        <f>F16</f>
        <v>7391442</v>
      </c>
      <c r="G48" s="151"/>
      <c r="H48" s="150">
        <f>+H16</f>
        <v>0</v>
      </c>
      <c r="I48" s="22"/>
      <c r="J48" s="150">
        <f>F48+H48</f>
        <v>7391442</v>
      </c>
      <c r="K48" s="20"/>
      <c r="L48" s="148"/>
    </row>
    <row r="49" spans="1:12" ht="12.75">
      <c r="A49" s="116">
        <f t="shared" si="0"/>
        <v>38</v>
      </c>
      <c r="D49" s="116" t="s">
        <v>307</v>
      </c>
      <c r="F49" s="155">
        <f>F20</f>
        <v>2349103</v>
      </c>
      <c r="G49" s="130"/>
      <c r="H49" s="155">
        <f>H20</f>
        <v>0</v>
      </c>
      <c r="I49" s="130"/>
      <c r="J49" s="159">
        <f>F49+H49</f>
        <v>2349103</v>
      </c>
      <c r="K49" s="20"/>
      <c r="L49" s="148"/>
    </row>
    <row r="50" spans="1:12" ht="12.75">
      <c r="A50" s="116">
        <f t="shared" si="0"/>
        <v>39</v>
      </c>
      <c r="D50" s="116"/>
      <c r="F50" s="153">
        <f>SUM(F48:F49)</f>
        <v>9740545</v>
      </c>
      <c r="G50" s="130"/>
      <c r="H50" s="153">
        <f>SUM(H48:H49)</f>
        <v>0</v>
      </c>
      <c r="I50" s="20"/>
      <c r="J50" s="153">
        <f>SUM(J48:J49)</f>
        <v>9740545</v>
      </c>
      <c r="K50" s="20"/>
      <c r="L50" s="148"/>
    </row>
    <row r="51" spans="4:12" ht="4.5" customHeight="1">
      <c r="D51" s="116"/>
      <c r="F51" s="153"/>
      <c r="G51" s="130"/>
      <c r="H51" s="153"/>
      <c r="I51" s="20"/>
      <c r="J51" s="150"/>
      <c r="K51" s="20"/>
      <c r="L51" s="148"/>
    </row>
    <row r="52" spans="1:12" ht="12.75">
      <c r="A52" s="116">
        <f>A50+1</f>
        <v>40</v>
      </c>
      <c r="D52" s="116" t="s">
        <v>63</v>
      </c>
      <c r="F52" s="155">
        <f>F24</f>
        <v>105372950</v>
      </c>
      <c r="G52" s="130"/>
      <c r="H52" s="155">
        <f>+H24</f>
        <v>0</v>
      </c>
      <c r="I52" s="20"/>
      <c r="J52" s="159">
        <f>F52+H52</f>
        <v>105372950</v>
      </c>
      <c r="K52" s="20"/>
      <c r="L52" s="148"/>
    </row>
    <row r="53" spans="4:12" ht="4.5" customHeight="1">
      <c r="D53" s="116"/>
      <c r="F53" s="26"/>
      <c r="G53" s="151"/>
      <c r="H53" s="26"/>
      <c r="I53" s="22"/>
      <c r="J53" s="26"/>
      <c r="K53" s="20"/>
      <c r="L53" s="148"/>
    </row>
    <row r="54" spans="1:12" ht="13.5" thickBot="1">
      <c r="A54" s="116">
        <f>A52+1</f>
        <v>41</v>
      </c>
      <c r="D54" s="116" t="s">
        <v>64</v>
      </c>
      <c r="F54" s="158">
        <f>F46-F50-F52</f>
        <v>38821127</v>
      </c>
      <c r="G54" s="151"/>
      <c r="H54" s="158">
        <f>H46-H50-H52</f>
        <v>10246731</v>
      </c>
      <c r="I54" s="22"/>
      <c r="J54" s="158">
        <f>J46-J50-J52</f>
        <v>49067858</v>
      </c>
      <c r="K54" s="20"/>
      <c r="L54" s="148"/>
    </row>
    <row r="55" spans="4:12" ht="9" customHeight="1" thickTop="1">
      <c r="D55" s="116"/>
      <c r="F55" s="26"/>
      <c r="G55" s="151"/>
      <c r="H55" s="26"/>
      <c r="I55" s="22"/>
      <c r="J55" s="26"/>
      <c r="K55" s="20"/>
      <c r="L55" s="148"/>
    </row>
    <row r="56" spans="1:12" ht="12.75">
      <c r="A56" s="118" t="s">
        <v>153</v>
      </c>
      <c r="B56" s="118" t="s">
        <v>310</v>
      </c>
      <c r="C56" s="137"/>
      <c r="D56" s="137"/>
      <c r="E56" s="142"/>
      <c r="F56" s="118"/>
      <c r="G56" s="119"/>
      <c r="H56" s="118"/>
      <c r="I56" s="118"/>
      <c r="J56" s="118" t="s">
        <v>130</v>
      </c>
      <c r="K56" s="146"/>
      <c r="L56" s="148"/>
    </row>
    <row r="57" spans="1:12" ht="12.75">
      <c r="A57" s="122" t="s">
        <v>129</v>
      </c>
      <c r="B57" s="122" t="s">
        <v>129</v>
      </c>
      <c r="C57" s="113" t="s">
        <v>149</v>
      </c>
      <c r="D57" s="120" t="s">
        <v>139</v>
      </c>
      <c r="E57" s="142"/>
      <c r="F57" s="122" t="s">
        <v>36</v>
      </c>
      <c r="G57" s="119"/>
      <c r="H57" s="123" t="s">
        <v>37</v>
      </c>
      <c r="I57" s="118"/>
      <c r="J57" s="123" t="s">
        <v>38</v>
      </c>
      <c r="K57" s="146"/>
      <c r="L57" s="148"/>
    </row>
    <row r="58" spans="6:12" ht="6" customHeight="1">
      <c r="F58" s="160"/>
      <c r="H58" s="20"/>
      <c r="K58" s="146"/>
      <c r="L58" s="148"/>
    </row>
    <row r="59" spans="1:12" ht="12.75">
      <c r="A59" s="116">
        <v>1</v>
      </c>
      <c r="D59" s="149" t="s">
        <v>140</v>
      </c>
      <c r="F59" s="160"/>
      <c r="H59" s="20"/>
      <c r="K59" s="146"/>
      <c r="L59" s="148"/>
    </row>
    <row r="60" spans="1:12" ht="12.75">
      <c r="A60" s="116">
        <f aca="true" t="shared" si="3" ref="A60:A87">+A59+1</f>
        <v>2</v>
      </c>
      <c r="D60" s="136" t="s">
        <v>150</v>
      </c>
      <c r="F60" s="160"/>
      <c r="H60" s="20"/>
      <c r="K60" s="146"/>
      <c r="L60" s="148"/>
    </row>
    <row r="61" spans="1:12" ht="12.75">
      <c r="A61" s="116">
        <f t="shared" si="3"/>
        <v>3</v>
      </c>
      <c r="B61" s="116">
        <v>920</v>
      </c>
      <c r="D61" s="116" t="s">
        <v>124</v>
      </c>
      <c r="F61" s="150">
        <v>58049812</v>
      </c>
      <c r="G61" s="151"/>
      <c r="H61" s="150">
        <v>9877695</v>
      </c>
      <c r="I61" s="22"/>
      <c r="J61" s="150">
        <f>SUM(F61:I61)</f>
        <v>67927507</v>
      </c>
      <c r="K61" s="153"/>
      <c r="L61" s="148"/>
    </row>
    <row r="62" spans="1:12" ht="12.75">
      <c r="A62" s="116">
        <f t="shared" si="3"/>
        <v>4</v>
      </c>
      <c r="B62" s="116">
        <v>921</v>
      </c>
      <c r="D62" s="116" t="s">
        <v>125</v>
      </c>
      <c r="F62" s="153">
        <v>38840555</v>
      </c>
      <c r="G62" s="130"/>
      <c r="H62" s="153">
        <v>6592091</v>
      </c>
      <c r="I62" s="20"/>
      <c r="J62" s="153">
        <f>SUM(F62:I62)</f>
        <v>45432646</v>
      </c>
      <c r="K62" s="20"/>
      <c r="L62" s="148"/>
    </row>
    <row r="63" spans="1:12" ht="12.75">
      <c r="A63" s="116">
        <f t="shared" si="3"/>
        <v>5</v>
      </c>
      <c r="B63" s="116">
        <v>922</v>
      </c>
      <c r="D63" s="116" t="s">
        <v>126</v>
      </c>
      <c r="F63" s="153">
        <v>-21485815</v>
      </c>
      <c r="G63" s="130"/>
      <c r="H63" s="153">
        <v>-2834720</v>
      </c>
      <c r="I63" s="20"/>
      <c r="J63" s="153">
        <f aca="true" t="shared" si="4" ref="J63:J74">SUM(F63:I63)</f>
        <v>-24320535</v>
      </c>
      <c r="K63" s="20"/>
      <c r="L63" s="148"/>
    </row>
    <row r="64" spans="1:12" ht="12.75">
      <c r="A64" s="116">
        <f t="shared" si="3"/>
        <v>6</v>
      </c>
      <c r="B64" s="116">
        <v>923</v>
      </c>
      <c r="D64" s="116" t="s">
        <v>127</v>
      </c>
      <c r="F64" s="153">
        <v>15629980</v>
      </c>
      <c r="G64" s="130"/>
      <c r="H64" s="153">
        <v>1692909</v>
      </c>
      <c r="I64" s="20"/>
      <c r="J64" s="153">
        <f t="shared" si="4"/>
        <v>17322889</v>
      </c>
      <c r="K64" s="20"/>
      <c r="L64" s="20"/>
    </row>
    <row r="65" spans="1:12" ht="12.75">
      <c r="A65" s="116">
        <f t="shared" si="3"/>
        <v>7</v>
      </c>
      <c r="B65" s="116">
        <v>924</v>
      </c>
      <c r="D65" s="116" t="s">
        <v>109</v>
      </c>
      <c r="F65" s="153">
        <v>10698813</v>
      </c>
      <c r="G65" s="130"/>
      <c r="H65" s="153">
        <v>1204962</v>
      </c>
      <c r="I65" s="20"/>
      <c r="J65" s="153">
        <f t="shared" si="4"/>
        <v>11903775</v>
      </c>
      <c r="K65" s="20"/>
      <c r="L65" s="20"/>
    </row>
    <row r="66" spans="1:12" ht="12.75">
      <c r="A66" s="116">
        <f t="shared" si="3"/>
        <v>8</v>
      </c>
      <c r="B66" s="116">
        <v>925</v>
      </c>
      <c r="D66" s="116" t="s">
        <v>165</v>
      </c>
      <c r="F66" s="153">
        <v>15772037</v>
      </c>
      <c r="G66" s="130"/>
      <c r="H66" s="153">
        <v>1419658</v>
      </c>
      <c r="I66" s="20"/>
      <c r="J66" s="153">
        <f t="shared" si="4"/>
        <v>17191695</v>
      </c>
      <c r="K66" s="20"/>
      <c r="L66" s="20"/>
    </row>
    <row r="67" spans="1:12" ht="12.75">
      <c r="A67" s="116">
        <f t="shared" si="3"/>
        <v>9</v>
      </c>
      <c r="B67" s="116">
        <v>926</v>
      </c>
      <c r="D67" s="116" t="s">
        <v>166</v>
      </c>
      <c r="F67" s="153">
        <v>88081150</v>
      </c>
      <c r="G67" s="130"/>
      <c r="H67" s="153">
        <v>14336105</v>
      </c>
      <c r="I67" s="20"/>
      <c r="J67" s="153">
        <f t="shared" si="4"/>
        <v>102417255</v>
      </c>
      <c r="K67" s="20"/>
      <c r="L67" s="20"/>
    </row>
    <row r="68" spans="1:12" ht="12.75">
      <c r="A68" s="116">
        <f t="shared" si="3"/>
        <v>10</v>
      </c>
      <c r="B68" s="116">
        <v>928</v>
      </c>
      <c r="D68" s="116" t="s">
        <v>143</v>
      </c>
      <c r="F68" s="153">
        <v>40423</v>
      </c>
      <c r="G68" s="130"/>
      <c r="H68" s="153">
        <v>0</v>
      </c>
      <c r="I68" s="20"/>
      <c r="J68" s="153">
        <f t="shared" si="4"/>
        <v>40423</v>
      </c>
      <c r="K68" s="20"/>
      <c r="L68" s="20"/>
    </row>
    <row r="69" spans="1:12" ht="12.75">
      <c r="A69" s="116">
        <f t="shared" si="3"/>
        <v>11</v>
      </c>
      <c r="B69" s="116">
        <v>928</v>
      </c>
      <c r="D69" s="116" t="s">
        <v>65</v>
      </c>
      <c r="F69" s="153">
        <f>7775181-F68-F70</f>
        <v>7684688</v>
      </c>
      <c r="G69" s="130"/>
      <c r="H69" s="153">
        <v>1067920</v>
      </c>
      <c r="I69" s="20"/>
      <c r="J69" s="153">
        <f t="shared" si="4"/>
        <v>8752608</v>
      </c>
      <c r="K69" s="20"/>
      <c r="L69" s="20"/>
    </row>
    <row r="70" spans="1:12" ht="12.75">
      <c r="A70" s="116">
        <f t="shared" si="3"/>
        <v>12</v>
      </c>
      <c r="B70" s="116">
        <v>928</v>
      </c>
      <c r="D70" s="116" t="s">
        <v>66</v>
      </c>
      <c r="F70" s="153">
        <v>50070</v>
      </c>
      <c r="G70" s="130"/>
      <c r="H70" s="153">
        <v>0</v>
      </c>
      <c r="I70" s="20"/>
      <c r="J70" s="153">
        <f t="shared" si="4"/>
        <v>50070</v>
      </c>
      <c r="K70" s="20"/>
      <c r="L70" s="20"/>
    </row>
    <row r="71" spans="1:12" ht="12.75">
      <c r="A71" s="116">
        <f t="shared" si="3"/>
        <v>13</v>
      </c>
      <c r="B71" s="116">
        <v>929</v>
      </c>
      <c r="D71" s="116" t="s">
        <v>167</v>
      </c>
      <c r="F71" s="153">
        <v>-3151574</v>
      </c>
      <c r="G71" s="130"/>
      <c r="H71" s="153">
        <v>-544073</v>
      </c>
      <c r="I71" s="20"/>
      <c r="J71" s="153">
        <f t="shared" si="4"/>
        <v>-3695647</v>
      </c>
      <c r="K71" s="20"/>
      <c r="L71" s="20"/>
    </row>
    <row r="72" spans="1:12" ht="12.75">
      <c r="A72" s="116">
        <f t="shared" si="3"/>
        <v>14</v>
      </c>
      <c r="B72" s="116">
        <v>930.1</v>
      </c>
      <c r="D72" s="111" t="s">
        <v>67</v>
      </c>
      <c r="F72" s="153">
        <v>2654687</v>
      </c>
      <c r="G72" s="130"/>
      <c r="H72" s="153">
        <v>433473</v>
      </c>
      <c r="I72" s="20"/>
      <c r="J72" s="153">
        <f t="shared" si="4"/>
        <v>3088160</v>
      </c>
      <c r="K72" s="20"/>
      <c r="L72" s="20"/>
    </row>
    <row r="73" spans="1:12" ht="12.75">
      <c r="A73" s="116">
        <f t="shared" si="3"/>
        <v>15</v>
      </c>
      <c r="B73" s="116">
        <v>930.2</v>
      </c>
      <c r="D73" s="116" t="s">
        <v>68</v>
      </c>
      <c r="F73" s="153">
        <v>2781949</v>
      </c>
      <c r="G73" s="130"/>
      <c r="H73" s="153">
        <v>418749</v>
      </c>
      <c r="I73" s="20"/>
      <c r="J73" s="153">
        <f t="shared" si="4"/>
        <v>3200698</v>
      </c>
      <c r="K73" s="20"/>
      <c r="L73" s="20"/>
    </row>
    <row r="74" spans="1:12" ht="12.75">
      <c r="A74" s="116">
        <f t="shared" si="3"/>
        <v>16</v>
      </c>
      <c r="B74" s="116">
        <v>931</v>
      </c>
      <c r="D74" s="116" t="s">
        <v>10</v>
      </c>
      <c r="F74" s="153">
        <v>20335365</v>
      </c>
      <c r="G74" s="130"/>
      <c r="H74" s="153">
        <v>3599943</v>
      </c>
      <c r="I74" s="20"/>
      <c r="J74" s="153">
        <f t="shared" si="4"/>
        <v>23935308</v>
      </c>
      <c r="K74" s="20"/>
      <c r="L74" s="20"/>
    </row>
    <row r="75" spans="1:12" ht="12.75">
      <c r="A75" s="116">
        <f t="shared" si="3"/>
        <v>17</v>
      </c>
      <c r="D75" s="116" t="s">
        <v>120</v>
      </c>
      <c r="F75" s="154">
        <f>SUM(F61:F74)</f>
        <v>235982140</v>
      </c>
      <c r="G75" s="130"/>
      <c r="H75" s="154">
        <f>SUM(H61:H74)</f>
        <v>37264712</v>
      </c>
      <c r="I75" s="20"/>
      <c r="J75" s="154">
        <f>SUM(J61:J74)</f>
        <v>273246852</v>
      </c>
      <c r="K75" s="20"/>
      <c r="L75" s="20"/>
    </row>
    <row r="76" spans="6:12" ht="4.5" customHeight="1">
      <c r="F76" s="153"/>
      <c r="G76" s="130"/>
      <c r="H76" s="153"/>
      <c r="I76" s="20"/>
      <c r="J76" s="153"/>
      <c r="K76" s="20"/>
      <c r="L76" s="20"/>
    </row>
    <row r="77" spans="1:12" ht="12.75">
      <c r="A77" s="116">
        <f>A75+1</f>
        <v>18</v>
      </c>
      <c r="D77" s="136" t="s">
        <v>121</v>
      </c>
      <c r="F77" s="153"/>
      <c r="G77" s="130"/>
      <c r="H77" s="153"/>
      <c r="I77" s="20"/>
      <c r="J77" s="153"/>
      <c r="K77" s="20"/>
      <c r="L77" s="20"/>
    </row>
    <row r="78" spans="1:12" ht="12.75">
      <c r="A78" s="116">
        <f t="shared" si="3"/>
        <v>19</v>
      </c>
      <c r="B78" s="116">
        <v>935</v>
      </c>
      <c r="D78" s="116" t="s">
        <v>168</v>
      </c>
      <c r="F78" s="159">
        <v>321470</v>
      </c>
      <c r="G78" s="151"/>
      <c r="H78" s="159">
        <v>55253</v>
      </c>
      <c r="I78" s="22"/>
      <c r="J78" s="155">
        <f>SUM(F78:I78)</f>
        <v>376723</v>
      </c>
      <c r="K78" s="20"/>
      <c r="L78" s="20"/>
    </row>
    <row r="79" spans="6:12" ht="12.75">
      <c r="F79" s="153"/>
      <c r="G79" s="130"/>
      <c r="H79" s="153"/>
      <c r="I79" s="20"/>
      <c r="J79" s="153"/>
      <c r="K79" s="20"/>
      <c r="L79" s="20"/>
    </row>
    <row r="80" spans="1:12" ht="13.5" thickBot="1">
      <c r="A80" s="116">
        <f>A78+1</f>
        <v>20</v>
      </c>
      <c r="D80" s="116" t="s">
        <v>169</v>
      </c>
      <c r="F80" s="157">
        <f>SUM(F75:F78)</f>
        <v>236303610</v>
      </c>
      <c r="G80" s="151"/>
      <c r="H80" s="157">
        <f>SUM(H75:H78)</f>
        <v>37319965</v>
      </c>
      <c r="I80" s="22"/>
      <c r="J80" s="157">
        <f>SUM(J75:J78)</f>
        <v>273623575</v>
      </c>
      <c r="K80" s="20"/>
      <c r="L80" s="20"/>
    </row>
    <row r="81" spans="4:12" ht="4.5" customHeight="1" thickTop="1">
      <c r="D81" s="116"/>
      <c r="F81" s="153"/>
      <c r="G81" s="130"/>
      <c r="H81" s="153"/>
      <c r="I81" s="20"/>
      <c r="J81" s="153"/>
      <c r="K81" s="20"/>
      <c r="L81" s="20"/>
    </row>
    <row r="82" spans="1:12" ht="12.75">
      <c r="A82" s="116">
        <f>A80+1</f>
        <v>21</v>
      </c>
      <c r="C82" s="161"/>
      <c r="D82" s="116" t="s">
        <v>302</v>
      </c>
      <c r="F82" s="153">
        <f>+F68</f>
        <v>40423</v>
      </c>
      <c r="G82" s="130"/>
      <c r="H82" s="153">
        <f>+H68</f>
        <v>0</v>
      </c>
      <c r="I82" s="20"/>
      <c r="J82" s="153">
        <f>+J68</f>
        <v>40423</v>
      </c>
      <c r="K82" s="20"/>
      <c r="L82" s="20"/>
    </row>
    <row r="83" spans="3:12" ht="4.5" customHeight="1">
      <c r="C83" s="161"/>
      <c r="D83" s="116"/>
      <c r="F83" s="153"/>
      <c r="G83" s="130"/>
      <c r="H83" s="153"/>
      <c r="I83" s="20"/>
      <c r="J83" s="153"/>
      <c r="K83" s="20"/>
      <c r="L83" s="20"/>
    </row>
    <row r="84" spans="1:12" ht="12.75">
      <c r="A84" s="116">
        <f>A82+1</f>
        <v>22</v>
      </c>
      <c r="D84" s="116" t="s">
        <v>303</v>
      </c>
      <c r="F84" s="153">
        <f>104452+369318</f>
        <v>473770</v>
      </c>
      <c r="G84" s="130"/>
      <c r="H84" s="153">
        <v>68407</v>
      </c>
      <c r="I84" s="20"/>
      <c r="J84" s="153">
        <f>F84+H84</f>
        <v>542177</v>
      </c>
      <c r="K84" s="20"/>
      <c r="L84" s="20"/>
    </row>
    <row r="85" spans="1:12" ht="12.75">
      <c r="A85" s="116">
        <f t="shared" si="3"/>
        <v>23</v>
      </c>
      <c r="C85" s="5"/>
      <c r="D85" s="116" t="s">
        <v>304</v>
      </c>
      <c r="E85" s="5"/>
      <c r="F85" s="50">
        <f>F69+F70</f>
        <v>7734758</v>
      </c>
      <c r="G85" s="5"/>
      <c r="H85" s="50">
        <f>+H69</f>
        <v>1067920</v>
      </c>
      <c r="I85" s="5"/>
      <c r="J85" s="50">
        <f>+J69+J70</f>
        <v>8802678</v>
      </c>
      <c r="K85" s="20"/>
      <c r="L85" s="20"/>
    </row>
    <row r="86" spans="1:10" ht="12.75">
      <c r="A86" s="116">
        <f t="shared" si="3"/>
        <v>24</v>
      </c>
      <c r="C86" s="5"/>
      <c r="D86" s="116" t="s">
        <v>305</v>
      </c>
      <c r="E86" s="5"/>
      <c r="F86" s="51">
        <f>+F72</f>
        <v>2654687</v>
      </c>
      <c r="G86" s="5"/>
      <c r="H86" s="51">
        <f>+H72</f>
        <v>433473</v>
      </c>
      <c r="I86" s="5"/>
      <c r="J86" s="51">
        <f>+J72</f>
        <v>3088160</v>
      </c>
    </row>
    <row r="87" spans="1:10" ht="12.75">
      <c r="A87" s="116">
        <f t="shared" si="3"/>
        <v>25</v>
      </c>
      <c r="C87" s="5"/>
      <c r="D87" s="116"/>
      <c r="E87" s="5"/>
      <c r="F87" s="52">
        <f>SUM(F84:F86)</f>
        <v>10863215</v>
      </c>
      <c r="G87" s="5"/>
      <c r="H87" s="52">
        <f>SUM(H84:H86)</f>
        <v>1569800</v>
      </c>
      <c r="I87" s="5"/>
      <c r="J87" s="52">
        <f>SUM(J84:J86)</f>
        <v>12433015</v>
      </c>
    </row>
    <row r="88" spans="3:10" ht="4.5" customHeight="1">
      <c r="C88" s="5"/>
      <c r="D88" s="116"/>
      <c r="E88" s="5"/>
      <c r="F88" s="52"/>
      <c r="G88" s="5"/>
      <c r="H88" s="52"/>
      <c r="I88" s="5"/>
      <c r="J88" s="52"/>
    </row>
    <row r="89" spans="1:10" ht="12.75">
      <c r="A89" s="116">
        <f>A87+1</f>
        <v>26</v>
      </c>
      <c r="C89" s="5"/>
      <c r="D89" s="116" t="s">
        <v>238</v>
      </c>
      <c r="E89" s="5"/>
      <c r="F89" s="52">
        <f>F70</f>
        <v>50070</v>
      </c>
      <c r="G89" s="5"/>
      <c r="H89" s="52">
        <f>H70</f>
        <v>0</v>
      </c>
      <c r="I89" s="5"/>
      <c r="J89" s="52">
        <f>J70</f>
        <v>50070</v>
      </c>
    </row>
    <row r="90" spans="4:10" ht="4.5" customHeight="1">
      <c r="D90" s="137"/>
      <c r="J90" s="111"/>
    </row>
    <row r="91" spans="1:10" ht="13.5" thickBot="1">
      <c r="A91" s="116">
        <f>A89+1</f>
        <v>27</v>
      </c>
      <c r="D91" s="111" t="s">
        <v>69</v>
      </c>
      <c r="F91" s="131">
        <f>F80-F82-F87+F89</f>
        <v>225450042</v>
      </c>
      <c r="H91" s="131">
        <f>H80-H82-H87+H89</f>
        <v>35750165</v>
      </c>
      <c r="J91" s="131">
        <f>J80-J82-J87+J89</f>
        <v>261200207</v>
      </c>
    </row>
    <row r="92" ht="4.5" customHeight="1" thickTop="1">
      <c r="J92" s="111"/>
    </row>
    <row r="93" spans="1:12" ht="13.5" thickBot="1">
      <c r="A93" s="116">
        <f>A91+1</f>
        <v>28</v>
      </c>
      <c r="D93" s="111" t="s">
        <v>70</v>
      </c>
      <c r="F93" s="131">
        <f>+F91+F54</f>
        <v>264271169</v>
      </c>
      <c r="H93" s="131">
        <f>+H91+H54</f>
        <v>45996896</v>
      </c>
      <c r="J93" s="131">
        <f>+J91+J54</f>
        <v>310268065</v>
      </c>
      <c r="L93" s="22"/>
    </row>
    <row r="94" ht="13.5" thickTop="1"/>
    <row r="96" ht="12.75">
      <c r="F96" s="12"/>
    </row>
  </sheetData>
  <printOptions horizontalCentered="1"/>
  <pageMargins left="0.5" right="0.25" top="0.5" bottom="0.4" header="0" footer="0.25"/>
  <pageSetup fitToHeight="1" fitToWidth="1" horizontalDpi="600" verticalDpi="600" orientation="portrait" scale="68"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sheetPr>
    <tabColor indexed="42"/>
    <pageSetUpPr fitToPage="1"/>
  </sheetPr>
  <dimension ref="A1:J27"/>
  <sheetViews>
    <sheetView showGridLines="0" workbookViewId="0" topLeftCell="A1">
      <selection activeCell="A4" sqref="A4"/>
    </sheetView>
  </sheetViews>
  <sheetFormatPr defaultColWidth="8.88671875" defaultRowHeight="15"/>
  <cols>
    <col min="1" max="1" width="3.77734375" style="116" customWidth="1"/>
    <col min="2" max="2" width="1.33203125" style="111" customWidth="1"/>
    <col min="3" max="3" width="2.77734375" style="111" customWidth="1"/>
    <col min="4" max="4" width="30.77734375" style="111" customWidth="1"/>
    <col min="5" max="5" width="0.88671875" style="111" customWidth="1"/>
    <col min="6" max="6" width="10.5546875" style="111" customWidth="1"/>
    <col min="7" max="7" width="1.77734375" style="111" customWidth="1"/>
    <col min="8" max="8" width="10.5546875" style="112" customWidth="1"/>
    <col min="9" max="9" width="1.77734375" style="111" customWidth="1"/>
    <col min="10" max="10" width="10.77734375" style="111" customWidth="1"/>
    <col min="11" max="16384" width="7.99609375" style="111" customWidth="1"/>
  </cols>
  <sheetData>
    <row r="1" spans="1:10" ht="12.75">
      <c r="A1" s="53" t="s">
        <v>15</v>
      </c>
      <c r="J1" s="72" t="s">
        <v>285</v>
      </c>
    </row>
    <row r="2" spans="1:10" ht="12.75">
      <c r="A2" s="53" t="s">
        <v>171</v>
      </c>
      <c r="J2" s="114"/>
    </row>
    <row r="3" spans="1:10" ht="12.75">
      <c r="A3" s="70" t="s">
        <v>286</v>
      </c>
      <c r="J3" s="115"/>
    </row>
    <row r="4" ht="12.75">
      <c r="B4" s="2"/>
    </row>
    <row r="5" ht="12.75">
      <c r="E5" s="117"/>
    </row>
    <row r="6" spans="4:10" ht="12.75">
      <c r="D6" s="117"/>
      <c r="E6" s="117"/>
      <c r="J6" s="118"/>
    </row>
    <row r="7" spans="1:10" ht="12.75">
      <c r="A7" s="113" t="s">
        <v>153</v>
      </c>
      <c r="F7" s="118"/>
      <c r="G7" s="119"/>
      <c r="H7" s="118"/>
      <c r="I7" s="118"/>
      <c r="J7" s="118" t="s">
        <v>130</v>
      </c>
    </row>
    <row r="8" spans="1:10" ht="12.75">
      <c r="A8" s="120" t="s">
        <v>129</v>
      </c>
      <c r="C8" s="121"/>
      <c r="D8" s="120" t="s">
        <v>139</v>
      </c>
      <c r="E8" s="119"/>
      <c r="F8" s="122" t="s">
        <v>36</v>
      </c>
      <c r="G8" s="119"/>
      <c r="H8" s="123" t="s">
        <v>37</v>
      </c>
      <c r="I8" s="118"/>
      <c r="J8" s="123" t="s">
        <v>38</v>
      </c>
    </row>
    <row r="9" spans="6:10" ht="12.75">
      <c r="F9" s="124"/>
      <c r="H9" s="124"/>
      <c r="J9" s="124"/>
    </row>
    <row r="10" spans="1:10" ht="12.75">
      <c r="A10" s="116">
        <v>1</v>
      </c>
      <c r="C10" s="111" t="s">
        <v>131</v>
      </c>
      <c r="F10" s="26">
        <v>45194490</v>
      </c>
      <c r="G10" s="26"/>
      <c r="H10" s="26">
        <v>16022797</v>
      </c>
      <c r="I10" s="26"/>
      <c r="J10" s="26">
        <f>F10+H10</f>
        <v>61217287</v>
      </c>
    </row>
    <row r="11" ht="12.75">
      <c r="A11" s="116">
        <f aca="true" t="shared" si="0" ref="A11:A20">+A10+1</f>
        <v>2</v>
      </c>
    </row>
    <row r="12" spans="1:10" ht="12.75">
      <c r="A12" s="116">
        <f t="shared" si="0"/>
        <v>3</v>
      </c>
      <c r="C12" s="111" t="s">
        <v>240</v>
      </c>
      <c r="F12" s="215">
        <v>-110029</v>
      </c>
      <c r="H12" s="26">
        <v>0</v>
      </c>
      <c r="J12" s="215">
        <f>SUM(F12:H12)</f>
        <v>-110029</v>
      </c>
    </row>
    <row r="13" ht="12.75">
      <c r="A13" s="116">
        <f t="shared" si="0"/>
        <v>4</v>
      </c>
    </row>
    <row r="14" spans="1:10" ht="12.75">
      <c r="A14" s="116">
        <f t="shared" si="0"/>
        <v>5</v>
      </c>
      <c r="C14" s="111" t="s">
        <v>214</v>
      </c>
      <c r="F14" s="26">
        <v>0</v>
      </c>
      <c r="G14" s="26"/>
      <c r="H14" s="26">
        <v>0</v>
      </c>
      <c r="I14" s="26"/>
      <c r="J14" s="26">
        <f>SUM(F14:H14)</f>
        <v>0</v>
      </c>
    </row>
    <row r="15" ht="12.75">
      <c r="A15" s="116">
        <f t="shared" si="0"/>
        <v>6</v>
      </c>
    </row>
    <row r="16" spans="1:10" ht="12.75">
      <c r="A16" s="116">
        <f t="shared" si="0"/>
        <v>7</v>
      </c>
      <c r="C16" s="111" t="s">
        <v>311</v>
      </c>
      <c r="F16" s="26">
        <f>10901761+8944665</f>
        <v>19846426</v>
      </c>
      <c r="G16" s="26"/>
      <c r="H16" s="26">
        <f>2073625+613578</f>
        <v>2687203</v>
      </c>
      <c r="I16" s="26"/>
      <c r="J16" s="26">
        <f>SUM(F16:H16)</f>
        <v>22533629</v>
      </c>
    </row>
    <row r="17" ht="12.75">
      <c r="A17" s="116">
        <f t="shared" si="0"/>
        <v>8</v>
      </c>
    </row>
    <row r="18" spans="1:10" ht="12.75">
      <c r="A18" s="116">
        <f t="shared" si="0"/>
        <v>9</v>
      </c>
      <c r="C18" s="111" t="s">
        <v>215</v>
      </c>
      <c r="F18" s="26">
        <f>11531583+16088391</f>
        <v>27619974</v>
      </c>
      <c r="G18" s="26"/>
      <c r="H18" s="26">
        <f>2807745+2269007</f>
        <v>5076752</v>
      </c>
      <c r="I18" s="26"/>
      <c r="J18" s="26">
        <f>SUM(F18:H18)</f>
        <v>32696726</v>
      </c>
    </row>
    <row r="19" ht="12.75">
      <c r="A19" s="116">
        <f t="shared" si="0"/>
        <v>10</v>
      </c>
    </row>
    <row r="20" spans="1:10" ht="13.5" thickBot="1">
      <c r="A20" s="116">
        <f t="shared" si="0"/>
        <v>11</v>
      </c>
      <c r="B20" s="142" t="s">
        <v>142</v>
      </c>
      <c r="C20" s="142"/>
      <c r="D20" s="142"/>
      <c r="F20" s="218">
        <f>SUM(F10:F18)</f>
        <v>92550861</v>
      </c>
      <c r="G20" s="20"/>
      <c r="H20" s="218">
        <f>SUM(H10:H18)</f>
        <v>23786752</v>
      </c>
      <c r="I20" s="20"/>
      <c r="J20" s="218">
        <f>SUM(J10:J18)</f>
        <v>116337613</v>
      </c>
    </row>
    <row r="21" ht="13.5" thickTop="1"/>
    <row r="22" ht="12.75">
      <c r="E22" s="116"/>
    </row>
    <row r="23" ht="12.75">
      <c r="A23" s="111"/>
    </row>
    <row r="24" ht="12.75">
      <c r="A24" s="111"/>
    </row>
    <row r="25" ht="12.75">
      <c r="C25" s="111" t="s">
        <v>243</v>
      </c>
    </row>
    <row r="27" ht="15.75">
      <c r="D27" s="219"/>
    </row>
    <row r="34" ht="13.5" customHeight="1"/>
  </sheetData>
  <printOptions horizontalCentered="1"/>
  <pageMargins left="0.5" right="0.25" top="0.75" bottom="0.4" header="0" footer="0.25"/>
  <pageSetup fitToHeight="1" fitToWidth="1" horizontalDpi="600" verticalDpi="600" orientation="portrait"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sheetPr>
    <tabColor indexed="42"/>
    <pageSetUpPr fitToPage="1"/>
  </sheetPr>
  <dimension ref="A1:J38"/>
  <sheetViews>
    <sheetView showGridLines="0" workbookViewId="0" topLeftCell="A1">
      <selection activeCell="A4" sqref="A4"/>
    </sheetView>
  </sheetViews>
  <sheetFormatPr defaultColWidth="8.88671875" defaultRowHeight="15"/>
  <cols>
    <col min="1" max="1" width="3.99609375" style="116" customWidth="1"/>
    <col min="2" max="2" width="1.77734375" style="111" customWidth="1"/>
    <col min="3" max="3" width="3.21484375" style="111" customWidth="1"/>
    <col min="4" max="4" width="25.77734375" style="111" customWidth="1"/>
    <col min="5" max="5" width="0.88671875" style="111" customWidth="1"/>
    <col min="6" max="6" width="11.77734375" style="111" customWidth="1"/>
    <col min="7" max="7" width="1.33203125" style="111" customWidth="1"/>
    <col min="8" max="8" width="10.4453125" style="112" customWidth="1"/>
    <col min="9" max="9" width="1.33203125" style="111" customWidth="1"/>
    <col min="10" max="10" width="10.4453125" style="111" bestFit="1" customWidth="1"/>
    <col min="11" max="16384" width="7.99609375" style="111" customWidth="1"/>
  </cols>
  <sheetData>
    <row r="1" spans="1:10" ht="12.75">
      <c r="A1" s="53" t="s">
        <v>15</v>
      </c>
      <c r="J1" s="72" t="s">
        <v>285</v>
      </c>
    </row>
    <row r="2" spans="1:10" ht="12.75">
      <c r="A2" s="113" t="s">
        <v>76</v>
      </c>
      <c r="J2" s="114"/>
    </row>
    <row r="3" spans="1:10" ht="12.75">
      <c r="A3" s="70" t="s">
        <v>286</v>
      </c>
      <c r="J3" s="115"/>
    </row>
    <row r="4" ht="12.75">
      <c r="B4" s="2"/>
    </row>
    <row r="5" ht="12.75">
      <c r="E5" s="117"/>
    </row>
    <row r="6" spans="4:10" ht="12.75">
      <c r="D6" s="117"/>
      <c r="E6" s="117"/>
      <c r="J6" s="118"/>
    </row>
    <row r="7" spans="1:10" ht="12.75">
      <c r="A7" s="113" t="s">
        <v>153</v>
      </c>
      <c r="F7" s="118"/>
      <c r="G7" s="119"/>
      <c r="H7" s="118"/>
      <c r="I7" s="118"/>
      <c r="J7" s="118" t="s">
        <v>130</v>
      </c>
    </row>
    <row r="8" spans="1:10" ht="12.75">
      <c r="A8" s="120" t="s">
        <v>129</v>
      </c>
      <c r="C8" s="121"/>
      <c r="D8" s="120" t="s">
        <v>139</v>
      </c>
      <c r="E8" s="119"/>
      <c r="F8" s="122" t="s">
        <v>36</v>
      </c>
      <c r="G8" s="119"/>
      <c r="H8" s="123" t="s">
        <v>37</v>
      </c>
      <c r="I8" s="118"/>
      <c r="J8" s="123" t="s">
        <v>38</v>
      </c>
    </row>
    <row r="9" spans="6:10" ht="12.75">
      <c r="F9" s="124"/>
      <c r="H9" s="124"/>
      <c r="J9" s="124"/>
    </row>
    <row r="10" spans="1:10" ht="12.75">
      <c r="A10" s="116">
        <v>1</v>
      </c>
      <c r="B10" s="125" t="s">
        <v>174</v>
      </c>
      <c r="C10" s="126"/>
      <c r="D10" s="126"/>
      <c r="F10" s="127"/>
      <c r="H10" s="127"/>
      <c r="J10" s="127"/>
    </row>
    <row r="11" spans="1:10" ht="12.75">
      <c r="A11" s="116">
        <f aca="true" t="shared" si="0" ref="A11:A26">+A10+1</f>
        <v>2</v>
      </c>
      <c r="C11" s="136" t="s">
        <v>147</v>
      </c>
      <c r="F11" s="54"/>
      <c r="G11" s="20"/>
      <c r="H11" s="54"/>
      <c r="I11" s="20"/>
      <c r="J11" s="54"/>
    </row>
    <row r="12" spans="1:10" ht="12.75">
      <c r="A12" s="116">
        <f t="shared" si="0"/>
        <v>3</v>
      </c>
      <c r="D12" s="111" t="s">
        <v>71</v>
      </c>
      <c r="F12" s="7">
        <v>31476250</v>
      </c>
      <c r="G12" s="20"/>
      <c r="H12" s="7">
        <v>3155846</v>
      </c>
      <c r="I12" s="20"/>
      <c r="J12" s="7">
        <f>SUM(F12:H12)</f>
        <v>34632096</v>
      </c>
    </row>
    <row r="13" spans="1:10" ht="12.75">
      <c r="A13" s="116">
        <f t="shared" si="0"/>
        <v>4</v>
      </c>
      <c r="C13" s="128"/>
      <c r="D13" s="111" t="s">
        <v>72</v>
      </c>
      <c r="F13" s="21">
        <v>50637</v>
      </c>
      <c r="G13" s="20"/>
      <c r="H13" s="21"/>
      <c r="I13" s="20"/>
      <c r="J13" s="21">
        <f>SUM(F13:H13)</f>
        <v>50637</v>
      </c>
    </row>
    <row r="14" spans="1:10" ht="12.75">
      <c r="A14" s="116">
        <f t="shared" si="0"/>
        <v>5</v>
      </c>
      <c r="C14" s="116"/>
      <c r="F14" s="54"/>
      <c r="G14" s="20"/>
      <c r="H14" s="54"/>
      <c r="I14" s="20"/>
      <c r="J14" s="54"/>
    </row>
    <row r="15" spans="1:10" ht="12.75">
      <c r="A15" s="116">
        <f t="shared" si="0"/>
        <v>6</v>
      </c>
      <c r="D15" s="116"/>
      <c r="E15" s="116"/>
      <c r="F15" s="21"/>
      <c r="G15" s="20"/>
      <c r="H15" s="21"/>
      <c r="I15" s="20"/>
      <c r="J15" s="21"/>
    </row>
    <row r="16" spans="1:10" ht="12.75">
      <c r="A16" s="116">
        <f t="shared" si="0"/>
        <v>7</v>
      </c>
      <c r="C16" s="139" t="s">
        <v>14</v>
      </c>
      <c r="F16" s="21"/>
      <c r="G16" s="20"/>
      <c r="H16" s="21"/>
      <c r="I16" s="20"/>
      <c r="J16" s="21"/>
    </row>
    <row r="17" spans="1:10" ht="12.75">
      <c r="A17" s="116">
        <f t="shared" si="0"/>
        <v>8</v>
      </c>
      <c r="C17" s="116"/>
      <c r="D17" s="111" t="s">
        <v>73</v>
      </c>
      <c r="F17" s="21">
        <v>151350690</v>
      </c>
      <c r="G17" s="20"/>
      <c r="H17" s="21">
        <v>649085</v>
      </c>
      <c r="I17" s="20"/>
      <c r="J17" s="21">
        <f>SUM(F17:H17)</f>
        <v>151999775</v>
      </c>
    </row>
    <row r="18" spans="1:10" ht="12.75">
      <c r="A18" s="116">
        <f t="shared" si="0"/>
        <v>9</v>
      </c>
      <c r="D18" s="111" t="s">
        <v>74</v>
      </c>
      <c r="F18" s="21"/>
      <c r="G18" s="20"/>
      <c r="H18" s="21">
        <v>18964212</v>
      </c>
      <c r="I18" s="20"/>
      <c r="J18" s="21">
        <f>SUM(F18:H18)</f>
        <v>18964212</v>
      </c>
    </row>
    <row r="19" spans="1:10" ht="12.75">
      <c r="A19" s="116">
        <f t="shared" si="0"/>
        <v>10</v>
      </c>
      <c r="C19" s="128"/>
      <c r="D19" s="111" t="s">
        <v>151</v>
      </c>
      <c r="F19" s="21">
        <v>82640</v>
      </c>
      <c r="G19" s="20"/>
      <c r="H19" s="21">
        <v>33591</v>
      </c>
      <c r="I19" s="20"/>
      <c r="J19" s="21">
        <f>SUM(F19:H19)</f>
        <v>116231</v>
      </c>
    </row>
    <row r="20" spans="1:10" ht="12.75">
      <c r="A20" s="116">
        <f t="shared" si="0"/>
        <v>11</v>
      </c>
      <c r="D20" s="111" t="s">
        <v>75</v>
      </c>
      <c r="F20" s="21"/>
      <c r="G20" s="20"/>
      <c r="H20" s="21"/>
      <c r="I20" s="20"/>
      <c r="J20" s="21">
        <f>SUM(F20:H20)</f>
        <v>0</v>
      </c>
    </row>
    <row r="21" spans="1:10" ht="12.75">
      <c r="A21" s="116">
        <f t="shared" si="0"/>
        <v>12</v>
      </c>
      <c r="F21" s="55"/>
      <c r="G21" s="20"/>
      <c r="H21" s="55"/>
      <c r="I21" s="20"/>
      <c r="J21" s="55"/>
    </row>
    <row r="22" spans="1:10" ht="12.75">
      <c r="A22" s="116">
        <f t="shared" si="0"/>
        <v>13</v>
      </c>
      <c r="F22" s="21"/>
      <c r="G22" s="20"/>
      <c r="H22" s="21"/>
      <c r="I22" s="20"/>
      <c r="J22" s="21"/>
    </row>
    <row r="23" spans="1:10" ht="13.5" thickBot="1">
      <c r="A23" s="116">
        <f t="shared" si="0"/>
        <v>14</v>
      </c>
      <c r="D23" s="116" t="s">
        <v>116</v>
      </c>
      <c r="E23" s="116"/>
      <c r="F23" s="140">
        <f>SUM(F11:F21)</f>
        <v>182960217</v>
      </c>
      <c r="G23" s="20"/>
      <c r="H23" s="140">
        <f>SUM(H11:H21)</f>
        <v>22802734</v>
      </c>
      <c r="I23" s="20"/>
      <c r="J23" s="140">
        <f>SUM(F23:H23)</f>
        <v>205762951</v>
      </c>
    </row>
    <row r="24" spans="1:10" ht="13.5" thickTop="1">
      <c r="A24" s="116">
        <f t="shared" si="0"/>
        <v>15</v>
      </c>
      <c r="F24" s="112"/>
      <c r="J24" s="141"/>
    </row>
    <row r="25" ht="12.75">
      <c r="A25" s="116">
        <f t="shared" si="0"/>
        <v>16</v>
      </c>
    </row>
    <row r="26" spans="1:10" ht="13.5" thickBot="1">
      <c r="A26" s="116">
        <f t="shared" si="0"/>
        <v>17</v>
      </c>
      <c r="B26" s="142" t="s">
        <v>77</v>
      </c>
      <c r="C26" s="142"/>
      <c r="D26" s="142"/>
      <c r="F26" s="56">
        <v>-2363380</v>
      </c>
      <c r="H26" s="56">
        <v>-591223</v>
      </c>
      <c r="I26" s="20"/>
      <c r="J26" s="56">
        <f>SUM(F26:H26)</f>
        <v>-2954603</v>
      </c>
    </row>
    <row r="27" ht="13.5" thickTop="1"/>
    <row r="29" spans="5:8" ht="12.75">
      <c r="E29" s="116"/>
      <c r="H29" s="7"/>
    </row>
    <row r="30" spans="1:6" ht="12.75">
      <c r="A30" s="111"/>
      <c r="F30" s="22"/>
    </row>
    <row r="31" ht="12.75">
      <c r="A31" s="111"/>
    </row>
    <row r="34" ht="13.5" customHeight="1"/>
    <row r="36" ht="12.75">
      <c r="H36" s="7"/>
    </row>
    <row r="37" ht="12.75">
      <c r="F37" s="22"/>
    </row>
    <row r="38" spans="6:8" ht="12.75">
      <c r="F38" s="22"/>
      <c r="H38" s="7"/>
    </row>
  </sheetData>
  <printOptions horizontalCentered="1"/>
  <pageMargins left="0.75" right="0.25" top="0.75" bottom="0.4" header="0" footer="0.25"/>
  <pageSetup fitToHeight="1" fitToWidth="1" horizontalDpi="600" verticalDpi="600" orientation="portrait"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sheetPr>
    <tabColor indexed="42"/>
    <pageSetUpPr fitToPage="1"/>
  </sheetPr>
  <dimension ref="A1:J39"/>
  <sheetViews>
    <sheetView showGridLines="0" workbookViewId="0" topLeftCell="A1">
      <selection activeCell="A4" sqref="A4"/>
    </sheetView>
  </sheetViews>
  <sheetFormatPr defaultColWidth="8.88671875" defaultRowHeight="15"/>
  <cols>
    <col min="1" max="1" width="3.99609375" style="116" customWidth="1"/>
    <col min="2" max="2" width="2.3359375" style="111" customWidth="1"/>
    <col min="3" max="3" width="3.21484375" style="111" customWidth="1"/>
    <col min="4" max="4" width="50.6640625" style="111" bestFit="1" customWidth="1"/>
    <col min="5" max="5" width="0.88671875" style="111" customWidth="1"/>
    <col min="6" max="6" width="12.77734375" style="111" customWidth="1"/>
    <col min="7" max="7" width="2.10546875" style="111" customWidth="1"/>
    <col min="8" max="8" width="11.6640625" style="112" customWidth="1"/>
    <col min="9" max="9" width="1.66796875" style="111" customWidth="1"/>
    <col min="10" max="10" width="12.5546875" style="111" customWidth="1"/>
    <col min="11" max="16384" width="7.99609375" style="111" customWidth="1"/>
  </cols>
  <sheetData>
    <row r="1" spans="1:10" ht="12.75">
      <c r="A1" s="53" t="s">
        <v>15</v>
      </c>
      <c r="J1" s="72" t="s">
        <v>285</v>
      </c>
    </row>
    <row r="2" spans="1:10" ht="12.75">
      <c r="A2" s="113" t="s">
        <v>78</v>
      </c>
      <c r="J2" s="114"/>
    </row>
    <row r="3" spans="1:10" ht="12.75">
      <c r="A3" s="70" t="s">
        <v>286</v>
      </c>
      <c r="J3" s="115"/>
    </row>
    <row r="4" ht="12.75">
      <c r="B4" s="2"/>
    </row>
    <row r="5" ht="12.75">
      <c r="E5" s="117"/>
    </row>
    <row r="6" spans="4:10" ht="12.75">
      <c r="D6" s="117"/>
      <c r="E6" s="117"/>
      <c r="J6" s="118"/>
    </row>
    <row r="7" spans="1:10" ht="12.75">
      <c r="A7" s="113" t="s">
        <v>153</v>
      </c>
      <c r="F7" s="118"/>
      <c r="G7" s="119"/>
      <c r="H7" s="118"/>
      <c r="I7" s="118"/>
      <c r="J7" s="118" t="s">
        <v>130</v>
      </c>
    </row>
    <row r="8" spans="1:10" ht="12.75">
      <c r="A8" s="120" t="s">
        <v>129</v>
      </c>
      <c r="C8" s="121"/>
      <c r="D8" s="120" t="s">
        <v>139</v>
      </c>
      <c r="E8" s="119"/>
      <c r="F8" s="122" t="s">
        <v>36</v>
      </c>
      <c r="G8" s="119"/>
      <c r="H8" s="123" t="s">
        <v>37</v>
      </c>
      <c r="I8" s="118"/>
      <c r="J8" s="123" t="s">
        <v>38</v>
      </c>
    </row>
    <row r="9" spans="6:10" ht="12.75">
      <c r="F9" s="124"/>
      <c r="H9" s="124"/>
      <c r="J9" s="124"/>
    </row>
    <row r="10" spans="1:10" ht="12.75">
      <c r="A10" s="116">
        <v>1</v>
      </c>
      <c r="B10" s="125" t="s">
        <v>81</v>
      </c>
      <c r="C10" s="126"/>
      <c r="D10" s="126"/>
      <c r="F10" s="127"/>
      <c r="H10" s="127"/>
      <c r="J10" s="127"/>
    </row>
    <row r="11" spans="1:10" ht="12.75">
      <c r="A11" s="116">
        <f aca="true" t="shared" si="0" ref="A11:A39">+A10+1</f>
        <v>2</v>
      </c>
      <c r="C11" s="136"/>
      <c r="D11" s="111" t="s">
        <v>80</v>
      </c>
      <c r="F11" s="7">
        <v>0</v>
      </c>
      <c r="G11" s="20"/>
      <c r="H11" s="7">
        <v>0</v>
      </c>
      <c r="I11" s="20"/>
      <c r="J11" s="7">
        <f>SUM(F11:H11)</f>
        <v>0</v>
      </c>
    </row>
    <row r="12" spans="1:10" ht="12.75">
      <c r="A12" s="116">
        <f t="shared" si="0"/>
        <v>3</v>
      </c>
      <c r="D12" s="111" t="s">
        <v>79</v>
      </c>
      <c r="F12" s="21">
        <v>71919011</v>
      </c>
      <c r="G12" s="20"/>
      <c r="H12" s="21">
        <v>9193603</v>
      </c>
      <c r="I12" s="20"/>
      <c r="J12" s="21">
        <f>SUM(F12:H12)</f>
        <v>81112614</v>
      </c>
    </row>
    <row r="13" spans="1:3" ht="12.75">
      <c r="A13" s="116">
        <f t="shared" si="0"/>
        <v>4</v>
      </c>
      <c r="C13" s="128"/>
    </row>
    <row r="14" spans="1:10" ht="12.75">
      <c r="A14" s="116">
        <f t="shared" si="0"/>
        <v>5</v>
      </c>
      <c r="C14" s="116"/>
      <c r="F14" s="54"/>
      <c r="G14" s="20"/>
      <c r="H14" s="54"/>
      <c r="I14" s="20"/>
      <c r="J14" s="54"/>
    </row>
    <row r="15" spans="1:10" ht="12.75">
      <c r="A15" s="116">
        <f t="shared" si="0"/>
        <v>6</v>
      </c>
      <c r="B15" s="125" t="s">
        <v>87</v>
      </c>
      <c r="C15" s="125"/>
      <c r="D15" s="138"/>
      <c r="E15" s="116"/>
      <c r="F15" s="21"/>
      <c r="G15" s="20"/>
      <c r="H15" s="21"/>
      <c r="I15" s="20"/>
      <c r="J15" s="21"/>
    </row>
    <row r="16" spans="1:10" ht="12.75">
      <c r="A16" s="116">
        <f t="shared" si="0"/>
        <v>7</v>
      </c>
      <c r="C16" s="139"/>
      <c r="D16" s="111" t="s">
        <v>82</v>
      </c>
      <c r="F16" s="21"/>
      <c r="G16" s="20"/>
      <c r="H16" s="21"/>
      <c r="I16" s="20"/>
      <c r="J16" s="21"/>
    </row>
    <row r="17" spans="3:10" ht="12.75">
      <c r="C17" s="139"/>
      <c r="D17" s="111" t="s">
        <v>216</v>
      </c>
      <c r="F17" s="7">
        <f>'O&amp;M'!F12</f>
        <v>0</v>
      </c>
      <c r="G17" s="20"/>
      <c r="H17" s="7">
        <f>'O&amp;M'!H12</f>
        <v>0</v>
      </c>
      <c r="I17" s="20"/>
      <c r="J17" s="7">
        <f>SUM(F17:H17)</f>
        <v>0</v>
      </c>
    </row>
    <row r="18" spans="1:10" ht="12.75">
      <c r="A18" s="116">
        <f>+A16+1</f>
        <v>8</v>
      </c>
      <c r="C18" s="116"/>
      <c r="D18" s="111" t="s">
        <v>83</v>
      </c>
      <c r="F18" s="21">
        <f>'O&amp;M'!F13</f>
        <v>46220</v>
      </c>
      <c r="G18" s="22"/>
      <c r="H18" s="21">
        <f>'O&amp;M'!H13</f>
        <v>0</v>
      </c>
      <c r="I18" s="22"/>
      <c r="J18" s="21">
        <f>SUM(F18:H18)</f>
        <v>46220</v>
      </c>
    </row>
    <row r="19" spans="1:10" ht="12.75">
      <c r="A19" s="116">
        <f t="shared" si="0"/>
        <v>9</v>
      </c>
      <c r="D19" s="111" t="s">
        <v>84</v>
      </c>
      <c r="F19" s="21">
        <f>'O&amp;M'!F14</f>
        <v>4648104</v>
      </c>
      <c r="G19" s="20"/>
      <c r="H19" s="21">
        <f>'O&amp;M'!H14</f>
        <v>1802624</v>
      </c>
      <c r="I19" s="20"/>
      <c r="J19" s="21">
        <f>SUM(F19:H19)</f>
        <v>6450728</v>
      </c>
    </row>
    <row r="20" spans="1:10" ht="12.75">
      <c r="A20" s="116">
        <f t="shared" si="0"/>
        <v>10</v>
      </c>
      <c r="C20" s="128"/>
      <c r="D20" s="111" t="s">
        <v>85</v>
      </c>
      <c r="F20" s="23">
        <f>'O&amp;M'!F15</f>
        <v>51638</v>
      </c>
      <c r="G20" s="20"/>
      <c r="H20" s="23">
        <f>'O&amp;M'!H15</f>
        <v>0</v>
      </c>
      <c r="I20" s="20"/>
      <c r="J20" s="23">
        <f>SUM(F20:H20)</f>
        <v>51638</v>
      </c>
    </row>
    <row r="21" spans="1:10" ht="12.75">
      <c r="A21" s="116">
        <f t="shared" si="0"/>
        <v>11</v>
      </c>
      <c r="F21" s="5"/>
      <c r="G21" s="5"/>
      <c r="H21" s="5"/>
      <c r="I21" s="5"/>
      <c r="J21" s="5"/>
    </row>
    <row r="22" spans="1:10" ht="13.5" thickBot="1">
      <c r="A22" s="116">
        <f t="shared" si="0"/>
        <v>12</v>
      </c>
      <c r="D22" s="111" t="s">
        <v>86</v>
      </c>
      <c r="F22" s="57">
        <f>SUM(F17:F20)</f>
        <v>4745962</v>
      </c>
      <c r="G22" s="5"/>
      <c r="H22" s="57">
        <f>SUM(H17:H20)</f>
        <v>1802624</v>
      </c>
      <c r="I22" s="5"/>
      <c r="J22" s="57">
        <f>SUM(J17:J20)</f>
        <v>6548586</v>
      </c>
    </row>
    <row r="23" spans="1:10" ht="13.5" thickTop="1">
      <c r="A23" s="116">
        <f t="shared" si="0"/>
        <v>13</v>
      </c>
      <c r="F23" s="21"/>
      <c r="G23" s="20"/>
      <c r="H23" s="21"/>
      <c r="I23" s="20"/>
      <c r="J23" s="21"/>
    </row>
    <row r="24" spans="1:10" ht="12.75">
      <c r="A24" s="116">
        <f t="shared" si="0"/>
        <v>14</v>
      </c>
      <c r="B24" s="5"/>
      <c r="C24" s="5"/>
      <c r="D24" s="5"/>
      <c r="E24" s="5"/>
      <c r="F24" s="5"/>
      <c r="G24" s="5"/>
      <c r="H24" s="5"/>
      <c r="I24" s="5"/>
      <c r="J24" s="5"/>
    </row>
    <row r="25" spans="1:10" ht="12.75">
      <c r="A25" s="116">
        <f t="shared" si="0"/>
        <v>15</v>
      </c>
      <c r="B25" s="58" t="s">
        <v>88</v>
      </c>
      <c r="C25" s="58"/>
      <c r="D25" s="58"/>
      <c r="E25" s="5"/>
      <c r="F25" s="5"/>
      <c r="G25" s="5"/>
      <c r="H25" s="5"/>
      <c r="I25" s="5"/>
      <c r="J25" s="5"/>
    </row>
    <row r="26" spans="1:10" ht="12.75">
      <c r="A26" s="116">
        <f t="shared" si="0"/>
        <v>16</v>
      </c>
      <c r="B26" s="5"/>
      <c r="C26" s="5"/>
      <c r="D26" s="5" t="s">
        <v>111</v>
      </c>
      <c r="E26" s="5"/>
      <c r="F26" s="7">
        <v>271697949</v>
      </c>
      <c r="G26" s="22"/>
      <c r="H26" s="7">
        <v>11552572</v>
      </c>
      <c r="I26" s="22"/>
      <c r="J26" s="7">
        <f>SUM(F26:H26)</f>
        <v>283250521</v>
      </c>
    </row>
    <row r="27" spans="1:10" ht="12.75">
      <c r="A27" s="116">
        <f t="shared" si="0"/>
        <v>17</v>
      </c>
      <c r="B27" s="5"/>
      <c r="C27" s="5"/>
      <c r="D27" s="5" t="s">
        <v>131</v>
      </c>
      <c r="E27" s="5"/>
      <c r="F27" s="21">
        <v>16613710</v>
      </c>
      <c r="G27" s="20"/>
      <c r="H27" s="21">
        <v>4560979</v>
      </c>
      <c r="I27" s="20"/>
      <c r="J27" s="21">
        <f>SUM(F27:H27)</f>
        <v>21174689</v>
      </c>
    </row>
    <row r="28" spans="1:10" ht="12.75">
      <c r="A28" s="116">
        <f t="shared" si="0"/>
        <v>18</v>
      </c>
      <c r="D28" s="111" t="s">
        <v>132</v>
      </c>
      <c r="F28" s="21">
        <v>52618529</v>
      </c>
      <c r="G28" s="20"/>
      <c r="H28" s="21">
        <v>11929434</v>
      </c>
      <c r="I28" s="20"/>
      <c r="J28" s="21">
        <f>SUM(F28:H28)</f>
        <v>64547963</v>
      </c>
    </row>
    <row r="29" spans="1:10" ht="12.75">
      <c r="A29" s="116">
        <f t="shared" si="0"/>
        <v>19</v>
      </c>
      <c r="D29" s="111" t="s">
        <v>151</v>
      </c>
      <c r="F29" s="23">
        <f>15163655+1570146+32688</f>
        <v>16766489</v>
      </c>
      <c r="G29" s="20"/>
      <c r="H29" s="23">
        <f>2721607+929779+55376</f>
        <v>3706762</v>
      </c>
      <c r="I29" s="20"/>
      <c r="J29" s="23">
        <f>SUM(F29:H29)</f>
        <v>20473251</v>
      </c>
    </row>
    <row r="30" spans="1:5" ht="12.75">
      <c r="A30" s="116">
        <f t="shared" si="0"/>
        <v>20</v>
      </c>
      <c r="E30" s="116"/>
    </row>
    <row r="31" spans="1:10" ht="13.5" thickBot="1">
      <c r="A31" s="116">
        <f t="shared" si="0"/>
        <v>21</v>
      </c>
      <c r="D31" s="111" t="s">
        <v>89</v>
      </c>
      <c r="F31" s="131">
        <f>SUM(F26:F29)</f>
        <v>357696677</v>
      </c>
      <c r="H31" s="131">
        <f>SUM(H26:H29)</f>
        <v>31749747</v>
      </c>
      <c r="J31" s="131">
        <f>SUM(J26:J29)</f>
        <v>389446424</v>
      </c>
    </row>
    <row r="32" ht="13.5" thickTop="1">
      <c r="A32" s="116">
        <f t="shared" si="0"/>
        <v>22</v>
      </c>
    </row>
    <row r="33" ht="12.75">
      <c r="A33" s="116">
        <f t="shared" si="0"/>
        <v>23</v>
      </c>
    </row>
    <row r="34" spans="1:4" ht="13.5" customHeight="1">
      <c r="A34" s="116">
        <f t="shared" si="0"/>
        <v>24</v>
      </c>
      <c r="B34" s="125" t="s">
        <v>90</v>
      </c>
      <c r="C34" s="126"/>
      <c r="D34" s="126"/>
    </row>
    <row r="35" spans="1:10" ht="12.75">
      <c r="A35" s="116">
        <f t="shared" si="0"/>
        <v>25</v>
      </c>
      <c r="D35" s="111" t="s">
        <v>115</v>
      </c>
      <c r="F35" s="7">
        <v>11042098253</v>
      </c>
      <c r="G35" s="22"/>
      <c r="H35" s="7">
        <v>1590418037</v>
      </c>
      <c r="I35" s="22"/>
      <c r="J35" s="7">
        <f>SUM(F35:H35)</f>
        <v>12632516290</v>
      </c>
    </row>
    <row r="36" spans="1:10" ht="12.75">
      <c r="A36" s="116">
        <f t="shared" si="0"/>
        <v>26</v>
      </c>
      <c r="D36" s="111" t="s">
        <v>104</v>
      </c>
      <c r="F36" s="21">
        <v>967819549</v>
      </c>
      <c r="G36" s="20"/>
      <c r="H36" s="21">
        <v>196343825</v>
      </c>
      <c r="I36" s="20"/>
      <c r="J36" s="21">
        <f>SUM(F36:H36)</f>
        <v>1164163374</v>
      </c>
    </row>
    <row r="37" spans="1:10" ht="12.75">
      <c r="A37" s="116">
        <f t="shared" si="0"/>
        <v>27</v>
      </c>
      <c r="D37" s="111" t="s">
        <v>91</v>
      </c>
      <c r="F37" s="23">
        <v>0</v>
      </c>
      <c r="G37" s="20"/>
      <c r="H37" s="23">
        <v>0</v>
      </c>
      <c r="I37" s="20"/>
      <c r="J37" s="23">
        <f>SUM(F37:H37)</f>
        <v>0</v>
      </c>
    </row>
    <row r="38" spans="1:10" ht="12.75">
      <c r="A38" s="116">
        <f t="shared" si="0"/>
        <v>28</v>
      </c>
      <c r="F38" s="5"/>
      <c r="G38" s="5"/>
      <c r="H38" s="5"/>
      <c r="I38" s="5"/>
      <c r="J38" s="5"/>
    </row>
    <row r="39" spans="1:10" ht="13.5" thickBot="1">
      <c r="A39" s="116">
        <f t="shared" si="0"/>
        <v>29</v>
      </c>
      <c r="D39" s="111" t="s">
        <v>92</v>
      </c>
      <c r="F39" s="57">
        <f>SUM(F35:F37)</f>
        <v>12009917802</v>
      </c>
      <c r="G39" s="5"/>
      <c r="H39" s="57">
        <f>SUM(H35:H37)</f>
        <v>1786761862</v>
      </c>
      <c r="I39" s="5"/>
      <c r="J39" s="57">
        <f>SUM(J35:J37)</f>
        <v>13796679664</v>
      </c>
    </row>
    <row r="40" ht="13.5" thickTop="1"/>
  </sheetData>
  <printOptions horizontalCentered="1"/>
  <pageMargins left="0.75" right="0.25" top="0.75" bottom="0.4" header="0" footer="0.25"/>
  <pageSetup fitToHeight="1" fitToWidth="1" horizontalDpi="600" verticalDpi="600" orientation="portrait" scale="78"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sheetPr>
    <tabColor indexed="42"/>
    <pageSetUpPr fitToPage="1"/>
  </sheetPr>
  <dimension ref="A1:L39"/>
  <sheetViews>
    <sheetView showGridLines="0" workbookViewId="0" topLeftCell="A1">
      <selection activeCell="A4" sqref="A4"/>
    </sheetView>
  </sheetViews>
  <sheetFormatPr defaultColWidth="8.88671875" defaultRowHeight="15"/>
  <cols>
    <col min="1" max="1" width="3.99609375" style="116" customWidth="1"/>
    <col min="2" max="2" width="2.3359375" style="111" customWidth="1"/>
    <col min="3" max="3" width="3.21484375" style="111" customWidth="1"/>
    <col min="4" max="4" width="46.5546875" style="111" customWidth="1"/>
    <col min="5" max="5" width="0.88671875" style="111" customWidth="1"/>
    <col min="6" max="6" width="11.77734375" style="111" customWidth="1"/>
    <col min="7" max="7" width="0.88671875" style="111" customWidth="1"/>
    <col min="8" max="8" width="11.3359375" style="112" customWidth="1"/>
    <col min="9" max="9" width="0.88671875" style="111" customWidth="1"/>
    <col min="10" max="10" width="11.6640625" style="111" customWidth="1"/>
    <col min="11" max="11" width="1.99609375" style="111" customWidth="1"/>
    <col min="12" max="12" width="10.3359375" style="111" customWidth="1"/>
    <col min="13" max="16384" width="7.99609375" style="111" customWidth="1"/>
  </cols>
  <sheetData>
    <row r="1" spans="1:12" ht="12.75">
      <c r="A1" s="53" t="s">
        <v>15</v>
      </c>
      <c r="L1" s="72" t="s">
        <v>285</v>
      </c>
    </row>
    <row r="2" spans="1:12" ht="12.75">
      <c r="A2" s="113" t="s">
        <v>101</v>
      </c>
      <c r="L2" s="114"/>
    </row>
    <row r="3" spans="1:12" ht="12.75">
      <c r="A3" s="70" t="s">
        <v>286</v>
      </c>
      <c r="L3" s="115"/>
    </row>
    <row r="5" ht="12.75">
      <c r="E5" s="117"/>
    </row>
    <row r="6" spans="4:10" ht="12.75">
      <c r="D6" s="117"/>
      <c r="E6" s="117"/>
      <c r="J6" s="118"/>
    </row>
    <row r="7" spans="1:10" ht="12.75">
      <c r="A7" s="113" t="s">
        <v>153</v>
      </c>
      <c r="F7" s="118"/>
      <c r="G7" s="119"/>
      <c r="H7" s="118"/>
      <c r="I7" s="118"/>
      <c r="J7" s="118" t="s">
        <v>130</v>
      </c>
    </row>
    <row r="8" spans="1:10" ht="12.75">
      <c r="A8" s="120" t="s">
        <v>129</v>
      </c>
      <c r="C8" s="121"/>
      <c r="D8" s="120" t="s">
        <v>139</v>
      </c>
      <c r="E8" s="119"/>
      <c r="F8" s="122" t="s">
        <v>36</v>
      </c>
      <c r="G8" s="119"/>
      <c r="H8" s="123" t="s">
        <v>37</v>
      </c>
      <c r="I8" s="118"/>
      <c r="J8" s="123" t="s">
        <v>38</v>
      </c>
    </row>
    <row r="9" spans="6:10" ht="12.75">
      <c r="F9" s="124"/>
      <c r="H9" s="124"/>
      <c r="J9" s="124"/>
    </row>
    <row r="10" spans="1:10" ht="12.75">
      <c r="A10" s="116">
        <v>1</v>
      </c>
      <c r="B10" s="58" t="s">
        <v>93</v>
      </c>
      <c r="C10" s="58"/>
      <c r="D10" s="58"/>
      <c r="F10" s="127"/>
      <c r="H10" s="127"/>
      <c r="J10" s="127"/>
    </row>
    <row r="11" spans="1:10" ht="12.75">
      <c r="A11" s="116">
        <f aca="true" t="shared" si="0" ref="A11:A34">+A10+1</f>
        <v>2</v>
      </c>
      <c r="B11" s="5"/>
      <c r="C11" s="5"/>
      <c r="D11" s="5" t="s">
        <v>94</v>
      </c>
      <c r="F11" s="7">
        <f>3500000000+2415</f>
        <v>3500002415</v>
      </c>
      <c r="H11" s="7">
        <f>450000000+19191235</f>
        <v>469191235</v>
      </c>
      <c r="I11" s="20"/>
      <c r="J11" s="7">
        <f>SUM(F11:H11)</f>
        <v>3969193650</v>
      </c>
    </row>
    <row r="12" spans="1:10" ht="12.75">
      <c r="A12" s="116">
        <f t="shared" si="0"/>
        <v>3</v>
      </c>
      <c r="B12" s="5"/>
      <c r="C12" s="5"/>
      <c r="D12" s="5" t="s">
        <v>95</v>
      </c>
      <c r="F12" s="21">
        <f>192279310+3063390+1681193+322295</f>
        <v>197346188</v>
      </c>
      <c r="H12" s="21">
        <f>22744059+294487+843437+20087</f>
        <v>23902070</v>
      </c>
      <c r="I12" s="20"/>
      <c r="J12" s="21">
        <f>SUM(F12:H12)</f>
        <v>221248258</v>
      </c>
    </row>
    <row r="13" spans="1:10" ht="12.75">
      <c r="A13" s="116">
        <f t="shared" si="0"/>
        <v>4</v>
      </c>
      <c r="B13" s="5"/>
      <c r="C13" s="5"/>
      <c r="D13" s="5" t="s">
        <v>96</v>
      </c>
      <c r="J13" s="132">
        <f>+J12/J11</f>
        <v>0.05574136147275152</v>
      </c>
    </row>
    <row r="14" spans="1:10" ht="12.75">
      <c r="A14" s="116">
        <f t="shared" si="0"/>
        <v>5</v>
      </c>
      <c r="B14" s="5"/>
      <c r="C14" s="5"/>
      <c r="D14" s="5"/>
      <c r="F14" s="54"/>
      <c r="G14" s="20"/>
      <c r="H14" s="54"/>
      <c r="I14" s="20"/>
      <c r="J14" s="54"/>
    </row>
    <row r="15" spans="1:10" ht="12.75">
      <c r="A15" s="116">
        <f t="shared" si="0"/>
        <v>6</v>
      </c>
      <c r="B15" s="5"/>
      <c r="C15" s="5"/>
      <c r="D15" s="5"/>
      <c r="E15" s="116"/>
      <c r="F15" s="21"/>
      <c r="G15" s="20"/>
      <c r="H15" s="21"/>
      <c r="I15" s="20"/>
      <c r="J15" s="21"/>
    </row>
    <row r="16" spans="1:10" ht="12.75">
      <c r="A16" s="116">
        <f t="shared" si="0"/>
        <v>7</v>
      </c>
      <c r="B16" s="58" t="s">
        <v>8</v>
      </c>
      <c r="C16" s="58"/>
      <c r="D16" s="58"/>
      <c r="F16" s="21"/>
      <c r="G16" s="20"/>
      <c r="H16" s="21"/>
      <c r="I16" s="20"/>
      <c r="J16" s="21"/>
    </row>
    <row r="17" spans="1:10" ht="12.75">
      <c r="A17" s="116">
        <f t="shared" si="0"/>
        <v>8</v>
      </c>
      <c r="B17" s="5"/>
      <c r="C17" s="5"/>
      <c r="D17" s="5" t="s">
        <v>97</v>
      </c>
      <c r="F17" s="7">
        <v>4036368944</v>
      </c>
      <c r="G17" s="22"/>
      <c r="H17" s="7">
        <v>517106513</v>
      </c>
      <c r="I17" s="22"/>
      <c r="J17" s="7">
        <f>SUM(F17:H17)</f>
        <v>4553475457</v>
      </c>
    </row>
    <row r="18" spans="1:10" ht="12.75">
      <c r="A18" s="116">
        <f t="shared" si="0"/>
        <v>9</v>
      </c>
      <c r="B18" s="5"/>
      <c r="C18" s="5"/>
      <c r="D18" s="5" t="s">
        <v>98</v>
      </c>
      <c r="F18" s="21">
        <v>0</v>
      </c>
      <c r="G18" s="20"/>
      <c r="H18" s="21"/>
      <c r="I18" s="20"/>
      <c r="J18" s="21">
        <f>SUM(F18:H18)</f>
        <v>0</v>
      </c>
    </row>
    <row r="19" spans="1:10" ht="12.75">
      <c r="A19" s="116">
        <f t="shared" si="0"/>
        <v>10</v>
      </c>
      <c r="B19" s="5"/>
      <c r="C19" s="5"/>
      <c r="D19" s="5" t="s">
        <v>99</v>
      </c>
      <c r="F19" s="23">
        <v>2723946</v>
      </c>
      <c r="G19" s="20"/>
      <c r="H19" s="23">
        <v>-2380789</v>
      </c>
      <c r="I19" s="20"/>
      <c r="J19" s="23">
        <f>SUM(F19:H19)</f>
        <v>343157</v>
      </c>
    </row>
    <row r="20" spans="1:10" ht="12.75">
      <c r="A20" s="116">
        <f t="shared" si="0"/>
        <v>11</v>
      </c>
      <c r="B20" s="5"/>
      <c r="C20" s="5"/>
      <c r="D20" s="5"/>
      <c r="F20" s="5"/>
      <c r="G20" s="5"/>
      <c r="H20" s="5"/>
      <c r="I20" s="5"/>
      <c r="J20" s="5"/>
    </row>
    <row r="21" spans="1:10" ht="13.5" thickBot="1">
      <c r="A21" s="116">
        <f t="shared" si="0"/>
        <v>12</v>
      </c>
      <c r="B21" s="5"/>
      <c r="C21" s="5"/>
      <c r="D21" s="5" t="s">
        <v>100</v>
      </c>
      <c r="F21" s="57">
        <f>SUM(F17:F19)</f>
        <v>4039092890</v>
      </c>
      <c r="G21" s="5"/>
      <c r="H21" s="57">
        <f>SUM(H17:H19)</f>
        <v>514725724</v>
      </c>
      <c r="I21" s="5"/>
      <c r="J21" s="57">
        <f>SUM(J17:J19)</f>
        <v>4553818614</v>
      </c>
    </row>
    <row r="22" spans="1:10" ht="13.5" thickTop="1">
      <c r="A22" s="116">
        <f t="shared" si="0"/>
        <v>13</v>
      </c>
      <c r="B22" s="5"/>
      <c r="C22" s="5"/>
      <c r="D22" s="5"/>
      <c r="F22" s="21"/>
      <c r="G22" s="20"/>
      <c r="H22" s="21"/>
      <c r="I22" s="20"/>
      <c r="J22" s="21"/>
    </row>
    <row r="23" spans="1:10" ht="12.75">
      <c r="A23" s="116">
        <f t="shared" si="0"/>
        <v>14</v>
      </c>
      <c r="B23" s="5"/>
      <c r="C23" s="5"/>
      <c r="D23" s="5"/>
      <c r="E23" s="5"/>
      <c r="F23" s="5"/>
      <c r="G23" s="5"/>
      <c r="H23" s="5"/>
      <c r="I23" s="5"/>
      <c r="J23" s="5"/>
    </row>
    <row r="24" spans="1:10" ht="12.75">
      <c r="A24" s="116">
        <f t="shared" si="0"/>
        <v>15</v>
      </c>
      <c r="F24" s="5"/>
      <c r="G24" s="5"/>
      <c r="H24" s="5"/>
      <c r="I24" s="5"/>
      <c r="J24" s="5"/>
    </row>
    <row r="25" spans="1:10" ht="12.75">
      <c r="A25" s="116">
        <f t="shared" si="0"/>
        <v>16</v>
      </c>
      <c r="F25" s="5"/>
      <c r="G25" s="5"/>
      <c r="H25" s="5"/>
      <c r="I25" s="5"/>
      <c r="J25" s="5"/>
    </row>
    <row r="26" spans="1:12" ht="12.75">
      <c r="A26" s="116">
        <f t="shared" si="0"/>
        <v>17</v>
      </c>
      <c r="B26" s="58" t="s">
        <v>101</v>
      </c>
      <c r="C26" s="58"/>
      <c r="D26" s="58"/>
      <c r="E26" s="5"/>
      <c r="F26" s="36" t="s">
        <v>173</v>
      </c>
      <c r="G26" s="43"/>
      <c r="H26" s="36" t="s">
        <v>123</v>
      </c>
      <c r="I26" s="43"/>
      <c r="J26" s="36" t="s">
        <v>145</v>
      </c>
      <c r="K26" s="118"/>
      <c r="L26" s="123" t="s">
        <v>144</v>
      </c>
    </row>
    <row r="27" spans="1:10" ht="12.75">
      <c r="A27" s="116">
        <f t="shared" si="0"/>
        <v>18</v>
      </c>
      <c r="B27" s="5"/>
      <c r="C27" s="5"/>
      <c r="D27" s="5"/>
      <c r="E27" s="5"/>
      <c r="F27" s="5"/>
      <c r="G27" s="5"/>
      <c r="H27" s="5"/>
      <c r="I27" s="5"/>
      <c r="J27" s="5"/>
    </row>
    <row r="28" spans="1:12" ht="12.75">
      <c r="A28" s="116">
        <f t="shared" si="0"/>
        <v>19</v>
      </c>
      <c r="B28" s="5"/>
      <c r="C28" s="5"/>
      <c r="D28" s="5" t="s">
        <v>93</v>
      </c>
      <c r="E28" s="5"/>
      <c r="F28" s="34">
        <f>+J11</f>
        <v>3969193650</v>
      </c>
      <c r="G28" s="5"/>
      <c r="H28" s="59">
        <f>+F28/$F$34</f>
        <v>0.4657031489635787</v>
      </c>
      <c r="I28" s="5"/>
      <c r="J28" s="60">
        <f>+J13</f>
        <v>0.05574136147275152</v>
      </c>
      <c r="L28" s="133">
        <f>+H28*J28</f>
        <v>0.025958927565377488</v>
      </c>
    </row>
    <row r="29" spans="1:12" ht="12.75">
      <c r="A29" s="116">
        <f t="shared" si="0"/>
        <v>20</v>
      </c>
      <c r="B29" s="5"/>
      <c r="C29" s="5"/>
      <c r="D29" s="5"/>
      <c r="E29" s="116"/>
      <c r="F29" s="5"/>
      <c r="G29" s="5"/>
      <c r="H29" s="5"/>
      <c r="I29" s="5"/>
      <c r="J29" s="61"/>
      <c r="L29" s="133"/>
    </row>
    <row r="30" spans="1:12" ht="12.75">
      <c r="A30" s="116">
        <f t="shared" si="0"/>
        <v>21</v>
      </c>
      <c r="B30" s="5"/>
      <c r="C30" s="5"/>
      <c r="D30" s="5" t="s">
        <v>7</v>
      </c>
      <c r="F30" s="50">
        <f>-J18</f>
        <v>0</v>
      </c>
      <c r="G30" s="5"/>
      <c r="H30" s="59">
        <f>+F30/$F$34</f>
        <v>0</v>
      </c>
      <c r="I30" s="5"/>
      <c r="J30" s="60">
        <v>0</v>
      </c>
      <c r="L30" s="133">
        <f>+H30*J30</f>
        <v>0</v>
      </c>
    </row>
    <row r="31" spans="1:12" ht="12.75">
      <c r="A31" s="116">
        <f t="shared" si="0"/>
        <v>22</v>
      </c>
      <c r="B31" s="5"/>
      <c r="C31" s="5"/>
      <c r="D31" s="5"/>
      <c r="F31" s="5"/>
      <c r="G31" s="5"/>
      <c r="H31" s="5"/>
      <c r="I31" s="5"/>
      <c r="J31" s="61"/>
      <c r="L31" s="133"/>
    </row>
    <row r="32" spans="1:12" ht="12.75">
      <c r="A32" s="116">
        <f t="shared" si="0"/>
        <v>23</v>
      </c>
      <c r="B32" s="5"/>
      <c r="C32" s="5"/>
      <c r="D32" s="5" t="s">
        <v>102</v>
      </c>
      <c r="F32" s="51">
        <f>+J21</f>
        <v>4553818614</v>
      </c>
      <c r="G32" s="5"/>
      <c r="H32" s="62">
        <f>+F32/$F$34</f>
        <v>0.5342968510364213</v>
      </c>
      <c r="I32" s="5"/>
      <c r="J32" s="60">
        <v>0.1238</v>
      </c>
      <c r="L32" s="134">
        <f>+H32*J32</f>
        <v>0.06614595015830896</v>
      </c>
    </row>
    <row r="33" spans="1:12" ht="12.75">
      <c r="A33" s="116">
        <f t="shared" si="0"/>
        <v>24</v>
      </c>
      <c r="B33" s="5"/>
      <c r="C33" s="5"/>
      <c r="D33" s="5"/>
      <c r="F33" s="5"/>
      <c r="G33" s="5"/>
      <c r="H33" s="5"/>
      <c r="I33" s="5"/>
      <c r="J33" s="5"/>
      <c r="L33" s="133"/>
    </row>
    <row r="34" spans="1:12" ht="13.5" customHeight="1" thickBot="1">
      <c r="A34" s="116">
        <f t="shared" si="0"/>
        <v>25</v>
      </c>
      <c r="B34" s="5"/>
      <c r="C34" s="5"/>
      <c r="D34" s="5" t="s">
        <v>103</v>
      </c>
      <c r="F34" s="57">
        <f>SUM(F28:F32)</f>
        <v>8523012264</v>
      </c>
      <c r="G34" s="5"/>
      <c r="H34" s="59">
        <f>+F34/$F$34</f>
        <v>1</v>
      </c>
      <c r="I34" s="5"/>
      <c r="J34" s="5"/>
      <c r="L34" s="135">
        <f>SUM(L28:L32)</f>
        <v>0.09210487772368645</v>
      </c>
    </row>
    <row r="35" spans="2:10" ht="13.5" thickTop="1">
      <c r="B35" s="5"/>
      <c r="C35" s="5"/>
      <c r="D35" s="5"/>
      <c r="F35" s="5"/>
      <c r="G35" s="5"/>
      <c r="H35" s="5"/>
      <c r="I35" s="5"/>
      <c r="J35" s="5"/>
    </row>
    <row r="36" spans="2:10" ht="12.75">
      <c r="B36" s="5"/>
      <c r="C36" s="5"/>
      <c r="D36" s="5"/>
      <c r="F36" s="5"/>
      <c r="G36" s="5"/>
      <c r="H36" s="5"/>
      <c r="I36" s="5"/>
      <c r="J36" s="5"/>
    </row>
    <row r="37" spans="2:10" ht="12.75">
      <c r="B37" s="5"/>
      <c r="C37" s="5"/>
      <c r="D37" s="5"/>
      <c r="F37" s="5"/>
      <c r="G37" s="5"/>
      <c r="H37" s="5"/>
      <c r="I37" s="5"/>
      <c r="J37" s="5"/>
    </row>
    <row r="38" spans="2:10" ht="12.75">
      <c r="B38" s="5"/>
      <c r="C38" s="5"/>
      <c r="D38" s="5"/>
      <c r="F38" s="5"/>
      <c r="G38" s="5"/>
      <c r="H38" s="5"/>
      <c r="I38" s="5"/>
      <c r="J38" s="5"/>
    </row>
    <row r="39" spans="6:10" ht="12.75">
      <c r="F39" s="5"/>
      <c r="G39" s="5"/>
      <c r="H39" s="5"/>
      <c r="I39" s="5"/>
      <c r="J39" s="5"/>
    </row>
  </sheetData>
  <printOptions horizontalCentered="1"/>
  <pageMargins left="0.75" right="0.25" top="0.75" bottom="0.4" header="0" footer="0.25"/>
  <pageSetup fitToHeight="1" fitToWidth="1" horizontalDpi="600" verticalDpi="600" orientation="portrait" scale="75"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tabColor indexed="42"/>
    <pageSetUpPr fitToPage="1"/>
  </sheetPr>
  <dimension ref="A1:M42"/>
  <sheetViews>
    <sheetView showGridLines="0" workbookViewId="0" topLeftCell="A1">
      <selection activeCell="A4" sqref="A4"/>
    </sheetView>
  </sheetViews>
  <sheetFormatPr defaultColWidth="8.88671875" defaultRowHeight="15"/>
  <cols>
    <col min="1" max="1" width="3.99609375" style="116" customWidth="1"/>
    <col min="2" max="2" width="2.3359375" style="111" customWidth="1"/>
    <col min="3" max="3" width="3.21484375" style="111" customWidth="1"/>
    <col min="4" max="4" width="36.4453125" style="111" bestFit="1" customWidth="1"/>
    <col min="5" max="5" width="0.88671875" style="111" customWidth="1"/>
    <col min="6" max="6" width="11.77734375" style="111" customWidth="1"/>
    <col min="7" max="7" width="0.88671875" style="111" customWidth="1"/>
    <col min="8" max="8" width="10.4453125" style="112" customWidth="1"/>
    <col min="9" max="9" width="0.88671875" style="111" customWidth="1"/>
    <col min="10" max="10" width="10.4453125" style="111" bestFit="1" customWidth="1"/>
    <col min="11" max="16384" width="7.99609375" style="111" customWidth="1"/>
  </cols>
  <sheetData>
    <row r="1" spans="1:10" ht="12.75">
      <c r="A1" s="53" t="s">
        <v>15</v>
      </c>
      <c r="J1" s="72" t="s">
        <v>285</v>
      </c>
    </row>
    <row r="2" spans="1:10" ht="12.75">
      <c r="A2" s="113" t="s">
        <v>197</v>
      </c>
      <c r="J2" s="114"/>
    </row>
    <row r="3" spans="1:10" ht="12.75">
      <c r="A3" s="70" t="s">
        <v>286</v>
      </c>
      <c r="J3" s="115"/>
    </row>
    <row r="5" ht="12.75">
      <c r="E5" s="117"/>
    </row>
    <row r="6" spans="4:10" ht="12.75">
      <c r="D6" s="117"/>
      <c r="E6" s="117"/>
      <c r="J6" s="118"/>
    </row>
    <row r="7" spans="1:10" ht="12.75">
      <c r="A7" s="113" t="s">
        <v>153</v>
      </c>
      <c r="F7" s="118"/>
      <c r="G7" s="119"/>
      <c r="H7" s="118"/>
      <c r="I7" s="118"/>
      <c r="J7" s="118" t="s">
        <v>130</v>
      </c>
    </row>
    <row r="8" spans="1:10" ht="12.75">
      <c r="A8" s="120" t="s">
        <v>129</v>
      </c>
      <c r="C8" s="121"/>
      <c r="D8" s="120" t="s">
        <v>139</v>
      </c>
      <c r="E8" s="119"/>
      <c r="F8" s="122" t="s">
        <v>36</v>
      </c>
      <c r="G8" s="119"/>
      <c r="H8" s="123" t="s">
        <v>37</v>
      </c>
      <c r="I8" s="118"/>
      <c r="J8" s="123" t="s">
        <v>38</v>
      </c>
    </row>
    <row r="9" spans="6:10" ht="12.75">
      <c r="F9" s="124"/>
      <c r="H9" s="124"/>
      <c r="J9" s="124"/>
    </row>
    <row r="10" spans="1:10" ht="12.75">
      <c r="A10" s="186">
        <v>1</v>
      </c>
      <c r="B10" s="187" t="s">
        <v>220</v>
      </c>
      <c r="C10" s="188"/>
      <c r="D10" s="188"/>
      <c r="E10" s="189"/>
      <c r="F10" s="190"/>
      <c r="G10" s="191"/>
      <c r="H10" s="190"/>
      <c r="I10" s="192"/>
      <c r="J10" s="190"/>
    </row>
    <row r="11" spans="1:10" ht="12.75">
      <c r="A11" s="186">
        <f aca="true" t="shared" si="0" ref="A11:A25">+A10+1</f>
        <v>2</v>
      </c>
      <c r="B11" s="189"/>
      <c r="C11" s="189" t="s">
        <v>198</v>
      </c>
      <c r="D11" s="189" t="s">
        <v>199</v>
      </c>
      <c r="E11" s="189"/>
      <c r="F11" s="220">
        <v>937650</v>
      </c>
      <c r="G11" s="20"/>
      <c r="H11" s="7">
        <v>0</v>
      </c>
      <c r="I11" s="193"/>
      <c r="J11" s="220">
        <f>SUM(F11:H11)</f>
        <v>937650</v>
      </c>
    </row>
    <row r="12" spans="1:10" ht="12.75">
      <c r="A12" s="186">
        <f t="shared" si="0"/>
        <v>3</v>
      </c>
      <c r="B12" s="189"/>
      <c r="C12" s="194" t="s">
        <v>200</v>
      </c>
      <c r="D12" s="189" t="s">
        <v>201</v>
      </c>
      <c r="E12" s="189"/>
      <c r="F12" s="221">
        <v>937650</v>
      </c>
      <c r="G12" s="20"/>
      <c r="H12" s="23">
        <v>0</v>
      </c>
      <c r="I12" s="193"/>
      <c r="J12" s="221">
        <f>SUM(F12:H12)</f>
        <v>937650</v>
      </c>
    </row>
    <row r="13" spans="1:10" ht="12.75">
      <c r="A13" s="186">
        <f t="shared" si="0"/>
        <v>4</v>
      </c>
      <c r="B13" s="189"/>
      <c r="C13" s="194"/>
      <c r="D13" s="189"/>
      <c r="E13" s="189"/>
      <c r="F13" s="222"/>
      <c r="G13" s="20"/>
      <c r="H13" s="21"/>
      <c r="I13" s="193"/>
      <c r="J13" s="222"/>
    </row>
    <row r="14" spans="1:10" ht="12.75">
      <c r="A14" s="186">
        <f t="shared" si="0"/>
        <v>5</v>
      </c>
      <c r="B14" s="189"/>
      <c r="C14" s="186"/>
      <c r="D14" s="189" t="s">
        <v>202</v>
      </c>
      <c r="E14" s="189"/>
      <c r="F14" s="223">
        <f>F11-F12</f>
        <v>0</v>
      </c>
      <c r="G14" s="20"/>
      <c r="H14" s="223">
        <f>H11-H12</f>
        <v>0</v>
      </c>
      <c r="I14" s="193"/>
      <c r="J14" s="223">
        <f>J11-J12</f>
        <v>0</v>
      </c>
    </row>
    <row r="15" spans="1:10" ht="12.75">
      <c r="A15" s="186">
        <f t="shared" si="0"/>
        <v>6</v>
      </c>
      <c r="B15" s="189"/>
      <c r="C15" s="186"/>
      <c r="D15" s="189"/>
      <c r="E15" s="189"/>
      <c r="F15" s="223"/>
      <c r="G15" s="20"/>
      <c r="H15" s="224"/>
      <c r="I15" s="193"/>
      <c r="J15" s="223"/>
    </row>
    <row r="16" spans="1:10" ht="12.75">
      <c r="A16" s="186">
        <f t="shared" si="0"/>
        <v>7</v>
      </c>
      <c r="B16" s="189"/>
      <c r="C16" s="189"/>
      <c r="D16" s="186"/>
      <c r="E16" s="186"/>
      <c r="F16" s="222"/>
      <c r="G16" s="20"/>
      <c r="H16" s="21"/>
      <c r="I16" s="193"/>
      <c r="J16" s="222"/>
    </row>
    <row r="17" spans="1:10" ht="12.75">
      <c r="A17" s="186">
        <f t="shared" si="0"/>
        <v>8</v>
      </c>
      <c r="B17" s="187" t="s">
        <v>203</v>
      </c>
      <c r="C17" s="195"/>
      <c r="D17" s="187"/>
      <c r="E17" s="189"/>
      <c r="F17" s="222"/>
      <c r="G17" s="20"/>
      <c r="H17" s="21"/>
      <c r="I17" s="193"/>
      <c r="J17" s="222"/>
    </row>
    <row r="18" spans="1:13" ht="12.75">
      <c r="A18" s="186">
        <f t="shared" si="0"/>
        <v>9</v>
      </c>
      <c r="B18" s="189"/>
      <c r="C18" s="186"/>
      <c r="D18" s="189" t="s">
        <v>217</v>
      </c>
      <c r="E18" s="189"/>
      <c r="F18" s="220">
        <v>0</v>
      </c>
      <c r="G18" s="22"/>
      <c r="H18" s="7">
        <v>0</v>
      </c>
      <c r="I18" s="196"/>
      <c r="J18" s="220">
        <f>SUM(F18:H18)</f>
        <v>0</v>
      </c>
      <c r="M18" s="129"/>
    </row>
    <row r="19" spans="1:10" ht="12.75">
      <c r="A19" s="186">
        <f t="shared" si="0"/>
        <v>10</v>
      </c>
      <c r="B19" s="29"/>
      <c r="C19" s="29"/>
      <c r="D19" s="29"/>
      <c r="E19" s="29"/>
      <c r="F19" s="29"/>
      <c r="G19" s="197"/>
      <c r="H19" s="197"/>
      <c r="I19" s="198"/>
      <c r="J19" s="29"/>
    </row>
    <row r="20" spans="1:10" ht="12.75">
      <c r="A20" s="186">
        <f t="shared" si="0"/>
        <v>11</v>
      </c>
      <c r="B20" s="29"/>
      <c r="C20" s="29"/>
      <c r="D20" s="29"/>
      <c r="E20" s="29"/>
      <c r="F20" s="29"/>
      <c r="G20" s="197"/>
      <c r="H20" s="197"/>
      <c r="I20" s="198"/>
      <c r="J20" s="29"/>
    </row>
    <row r="21" spans="1:10" ht="12.75">
      <c r="A21" s="186">
        <f t="shared" si="0"/>
        <v>12</v>
      </c>
      <c r="B21" s="187" t="s">
        <v>204</v>
      </c>
      <c r="C21" s="195"/>
      <c r="D21" s="187"/>
      <c r="E21" s="29"/>
      <c r="F21" s="29"/>
      <c r="G21" s="197"/>
      <c r="H21" s="197"/>
      <c r="I21" s="198"/>
      <c r="J21" s="29"/>
    </row>
    <row r="22" spans="1:10" ht="12.75">
      <c r="A22" s="186">
        <f t="shared" si="0"/>
        <v>13</v>
      </c>
      <c r="B22" s="189"/>
      <c r="C22" s="186" t="s">
        <v>198</v>
      </c>
      <c r="D22" s="189" t="s">
        <v>205</v>
      </c>
      <c r="E22" s="29"/>
      <c r="F22" s="220">
        <v>124291070.23407058</v>
      </c>
      <c r="G22" s="20"/>
      <c r="H22" s="7">
        <v>0</v>
      </c>
      <c r="I22" s="193"/>
      <c r="J22" s="220">
        <f>SUM(F22:H22)</f>
        <v>124291070.23407058</v>
      </c>
    </row>
    <row r="23" spans="1:10" ht="12.75">
      <c r="A23" s="186">
        <f t="shared" si="0"/>
        <v>14</v>
      </c>
      <c r="B23" s="29"/>
      <c r="C23" s="29" t="s">
        <v>200</v>
      </c>
      <c r="D23" s="29" t="s">
        <v>205</v>
      </c>
      <c r="E23" s="29"/>
      <c r="F23" s="225">
        <v>66986542.35999999</v>
      </c>
      <c r="G23" s="130"/>
      <c r="H23" s="226">
        <v>0</v>
      </c>
      <c r="I23" s="193"/>
      <c r="J23" s="225">
        <f>SUM(F23:H23)</f>
        <v>66986542.35999999</v>
      </c>
    </row>
    <row r="24" spans="1:10" ht="12.75">
      <c r="A24" s="186">
        <f t="shared" si="0"/>
        <v>15</v>
      </c>
      <c r="B24" s="29"/>
      <c r="C24" s="189"/>
      <c r="D24" s="29" t="s">
        <v>296</v>
      </c>
      <c r="E24" s="29"/>
      <c r="F24" s="227"/>
      <c r="G24" s="20"/>
      <c r="H24" s="111"/>
      <c r="I24" s="193"/>
      <c r="J24" s="227"/>
    </row>
    <row r="25" spans="1:10" ht="12.75">
      <c r="A25" s="186">
        <f t="shared" si="0"/>
        <v>16</v>
      </c>
      <c r="B25" s="29"/>
      <c r="C25" s="29" t="s">
        <v>222</v>
      </c>
      <c r="D25" s="29" t="s">
        <v>223</v>
      </c>
      <c r="E25" s="29"/>
      <c r="F25" s="225">
        <v>20935696.97407058</v>
      </c>
      <c r="G25" s="130"/>
      <c r="H25" s="226">
        <v>0</v>
      </c>
      <c r="I25" s="193"/>
      <c r="J25" s="225">
        <f>SUM(F25:H25)</f>
        <v>20935696.97407058</v>
      </c>
    </row>
    <row r="26" spans="1:10" ht="12.75">
      <c r="A26" s="186">
        <f>+A25+1</f>
        <v>17</v>
      </c>
      <c r="B26" s="29"/>
      <c r="C26" s="29" t="s">
        <v>222</v>
      </c>
      <c r="D26" s="29" t="s">
        <v>301</v>
      </c>
      <c r="E26" s="29"/>
      <c r="F26" s="225">
        <v>8920845</v>
      </c>
      <c r="G26" s="130"/>
      <c r="H26" s="226">
        <v>0</v>
      </c>
      <c r="I26" s="193"/>
      <c r="J26" s="225">
        <f>SUM(F26:H26)</f>
        <v>8920845</v>
      </c>
    </row>
    <row r="27" spans="1:10" ht="12.75">
      <c r="A27" s="186">
        <f>+A25+1</f>
        <v>17</v>
      </c>
      <c r="B27" s="29"/>
      <c r="C27" s="29"/>
      <c r="D27" s="29" t="s">
        <v>206</v>
      </c>
      <c r="E27" s="29"/>
      <c r="F27" s="228">
        <f>F22-F23-F25-F26</f>
        <v>27447985.900000013</v>
      </c>
      <c r="G27" s="193"/>
      <c r="H27" s="228">
        <f>H22-H23-H25-H26</f>
        <v>0</v>
      </c>
      <c r="I27" s="193"/>
      <c r="J27" s="228">
        <f>J22-J23-J25-J26</f>
        <v>27447985.900000013</v>
      </c>
    </row>
    <row r="28" spans="1:10" ht="12.75">
      <c r="A28" s="186"/>
      <c r="B28" s="29"/>
      <c r="C28" s="29"/>
      <c r="D28" s="189"/>
      <c r="E28" s="29"/>
      <c r="F28" s="29"/>
      <c r="G28" s="29"/>
      <c r="H28" s="198"/>
      <c r="I28" s="198"/>
      <c r="J28" s="198"/>
    </row>
    <row r="29" spans="1:10" ht="12.75">
      <c r="A29" s="186">
        <v>18</v>
      </c>
      <c r="B29" s="187" t="s">
        <v>297</v>
      </c>
      <c r="C29" s="187"/>
      <c r="D29" s="187"/>
      <c r="E29" s="189"/>
      <c r="F29" s="189"/>
      <c r="G29" s="29"/>
      <c r="H29" s="198"/>
      <c r="I29" s="198"/>
      <c r="J29" s="198"/>
    </row>
    <row r="30" spans="1:10" ht="13.5" thickBot="1">
      <c r="A30" s="186">
        <v>19</v>
      </c>
      <c r="B30" s="189"/>
      <c r="C30" s="189"/>
      <c r="D30" s="189" t="s">
        <v>312</v>
      </c>
      <c r="E30" s="189"/>
      <c r="F30" s="213">
        <v>20935696.97407058</v>
      </c>
      <c r="G30" s="191"/>
      <c r="H30" s="199"/>
      <c r="I30" s="191"/>
      <c r="J30" s="191"/>
    </row>
    <row r="31" spans="1:10" ht="13.5" thickTop="1">
      <c r="A31" s="186"/>
      <c r="B31" s="189"/>
      <c r="C31" s="189"/>
      <c r="D31" s="189"/>
      <c r="E31" s="186"/>
      <c r="F31" s="189"/>
      <c r="G31" s="191"/>
      <c r="H31" s="199"/>
      <c r="I31" s="191"/>
      <c r="J31" s="191"/>
    </row>
    <row r="32" spans="1:10" ht="12.75">
      <c r="A32" s="186">
        <v>20</v>
      </c>
      <c r="B32" s="187" t="s">
        <v>298</v>
      </c>
      <c r="C32" s="187"/>
      <c r="D32" s="187"/>
      <c r="E32" s="189"/>
      <c r="F32" s="189"/>
      <c r="G32" s="191"/>
      <c r="H32" s="199"/>
      <c r="I32" s="191"/>
      <c r="J32" s="191"/>
    </row>
    <row r="33" spans="1:10" ht="13.5" thickBot="1">
      <c r="A33" s="186">
        <v>21</v>
      </c>
      <c r="B33" s="189"/>
      <c r="C33" s="189"/>
      <c r="D33" s="189" t="s">
        <v>313</v>
      </c>
      <c r="E33" s="189"/>
      <c r="F33" s="213">
        <v>8920845</v>
      </c>
      <c r="G33" s="191"/>
      <c r="H33" s="199"/>
      <c r="I33" s="191"/>
      <c r="J33" s="191"/>
    </row>
    <row r="34" spans="1:10" ht="13.5" customHeight="1" thickTop="1">
      <c r="A34" s="186"/>
      <c r="B34" s="189"/>
      <c r="C34" s="189"/>
      <c r="D34" s="189"/>
      <c r="E34" s="189"/>
      <c r="F34" s="189"/>
      <c r="G34" s="191"/>
      <c r="H34" s="199"/>
      <c r="I34" s="191"/>
      <c r="J34" s="191"/>
    </row>
    <row r="35" spans="1:10" ht="12.75">
      <c r="A35" s="186"/>
      <c r="B35" s="189"/>
      <c r="C35" s="189"/>
      <c r="D35" s="189"/>
      <c r="E35" s="189"/>
      <c r="F35" s="189"/>
      <c r="G35" s="191"/>
      <c r="H35" s="199"/>
      <c r="I35" s="191"/>
      <c r="J35" s="191"/>
    </row>
    <row r="36" spans="1:10" ht="12.75">
      <c r="A36" s="186"/>
      <c r="B36" s="189"/>
      <c r="C36" s="189"/>
      <c r="D36" s="189"/>
      <c r="E36" s="189"/>
      <c r="F36" s="189"/>
      <c r="G36" s="191"/>
      <c r="H36" s="199"/>
      <c r="I36" s="191"/>
      <c r="J36" s="191"/>
    </row>
    <row r="37" spans="1:10" ht="12.75">
      <c r="A37" s="186"/>
      <c r="B37" s="189"/>
      <c r="C37" s="189"/>
      <c r="D37" s="189"/>
      <c r="E37" s="189"/>
      <c r="F37" s="189"/>
      <c r="G37" s="191"/>
      <c r="H37" s="199"/>
      <c r="I37" s="191"/>
      <c r="J37" s="191"/>
    </row>
    <row r="38" spans="1:10" ht="15">
      <c r="A38" s="186"/>
      <c r="B38" s="200" t="s">
        <v>221</v>
      </c>
      <c r="C38" s="201" t="s">
        <v>299</v>
      </c>
      <c r="D38" s="189"/>
      <c r="E38" s="189"/>
      <c r="F38" s="189"/>
      <c r="G38" s="191"/>
      <c r="H38" s="199"/>
      <c r="I38" s="191"/>
      <c r="J38" s="191"/>
    </row>
    <row r="39" spans="1:10" ht="15">
      <c r="A39" s="186"/>
      <c r="B39" s="202"/>
      <c r="C39" s="201" t="s">
        <v>300</v>
      </c>
      <c r="D39" s="189"/>
      <c r="E39" s="189"/>
      <c r="F39" s="189"/>
      <c r="G39" s="189"/>
      <c r="H39" s="203"/>
      <c r="I39" s="189"/>
      <c r="J39" s="189"/>
    </row>
    <row r="40" spans="1:10" ht="12.75">
      <c r="A40" s="186"/>
      <c r="B40" s="189"/>
      <c r="C40" s="189"/>
      <c r="D40" s="189"/>
      <c r="E40" s="189"/>
      <c r="F40" s="189"/>
      <c r="G40" s="189"/>
      <c r="H40" s="203"/>
      <c r="I40" s="189"/>
      <c r="J40" s="189"/>
    </row>
    <row r="41" spans="1:10" ht="12.75">
      <c r="A41" s="186"/>
      <c r="B41" s="189"/>
      <c r="C41" s="189"/>
      <c r="D41" s="189"/>
      <c r="E41" s="189"/>
      <c r="F41" s="189"/>
      <c r="G41" s="189"/>
      <c r="H41" s="203"/>
      <c r="I41" s="189"/>
      <c r="J41" s="189"/>
    </row>
    <row r="42" spans="2:3" ht="12.75">
      <c r="B42" s="4"/>
      <c r="C42" s="3"/>
    </row>
  </sheetData>
  <printOptions horizontalCentered="1"/>
  <pageMargins left="0.75" right="0.25" top="0.75" bottom="0.4" header="0" footer="0.25"/>
  <pageSetup fitToHeight="1" fitToWidth="1" horizontalDpi="600" verticalDpi="600" orientation="portrait" scale="89"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sheetPr>
    <tabColor indexed="42"/>
    <pageSetUpPr fitToPage="1"/>
  </sheetPr>
  <dimension ref="A1:L42"/>
  <sheetViews>
    <sheetView showGridLines="0" workbookViewId="0" topLeftCell="A1">
      <selection activeCell="A4" sqref="A4"/>
    </sheetView>
  </sheetViews>
  <sheetFormatPr defaultColWidth="14.4453125" defaultRowHeight="15"/>
  <cols>
    <col min="1" max="1" width="4.77734375" style="89" customWidth="1"/>
    <col min="2" max="2" width="2.77734375" style="64" customWidth="1"/>
    <col min="3" max="3" width="33.5546875" style="64" customWidth="1"/>
    <col min="4" max="4" width="9.88671875" style="64" bestFit="1" customWidth="1"/>
    <col min="5" max="5" width="0.88671875" style="64" customWidth="1"/>
    <col min="6" max="6" width="10.77734375" style="64" customWidth="1"/>
    <col min="7" max="7" width="0.88671875" style="64" customWidth="1"/>
    <col min="8" max="8" width="10.77734375" style="64" customWidth="1"/>
    <col min="9" max="9" width="0.88671875" style="64" customWidth="1"/>
    <col min="10" max="10" width="13.77734375" style="64" customWidth="1"/>
    <col min="11" max="11" width="0.671875" style="64" customWidth="1"/>
    <col min="12" max="12" width="14.4453125" style="64" bestFit="1" customWidth="1"/>
    <col min="13" max="16384" width="14.4453125" style="64" customWidth="1"/>
  </cols>
  <sheetData>
    <row r="1" spans="1:12" ht="12.75">
      <c r="A1" s="85" t="s">
        <v>15</v>
      </c>
      <c r="B1" s="86"/>
      <c r="C1" s="86"/>
      <c r="D1" s="86"/>
      <c r="E1" s="86"/>
      <c r="F1" s="86"/>
      <c r="G1" s="86"/>
      <c r="H1" s="86"/>
      <c r="I1" s="86"/>
      <c r="J1" s="86"/>
      <c r="K1" s="86"/>
      <c r="L1" s="72" t="s">
        <v>285</v>
      </c>
    </row>
    <row r="2" spans="1:12" ht="12.75">
      <c r="A2" s="85" t="s">
        <v>207</v>
      </c>
      <c r="B2" s="86"/>
      <c r="C2" s="86"/>
      <c r="D2" s="86"/>
      <c r="E2" s="86"/>
      <c r="F2" s="86"/>
      <c r="G2" s="86"/>
      <c r="H2" s="86"/>
      <c r="I2" s="86"/>
      <c r="J2" s="86"/>
      <c r="K2" s="86"/>
      <c r="L2" s="87"/>
    </row>
    <row r="3" spans="1:11" ht="12.75">
      <c r="A3" s="85" t="s">
        <v>286</v>
      </c>
      <c r="B3" s="86"/>
      <c r="C3" s="86"/>
      <c r="D3" s="86" t="s">
        <v>112</v>
      </c>
      <c r="E3" s="86"/>
      <c r="F3" s="86"/>
      <c r="G3" s="86"/>
      <c r="H3" s="86"/>
      <c r="I3" s="86"/>
      <c r="J3" s="86"/>
      <c r="K3" s="86"/>
    </row>
    <row r="5" ht="12.75">
      <c r="B5" s="90"/>
    </row>
    <row r="6" ht="12.75">
      <c r="B6" s="90"/>
    </row>
    <row r="7" spans="1:11" ht="12.75">
      <c r="A7" s="50"/>
      <c r="B7" s="50"/>
      <c r="C7" s="50"/>
      <c r="J7" s="63" t="s">
        <v>208</v>
      </c>
      <c r="K7" s="91"/>
    </row>
    <row r="8" spans="4:12" ht="12.75">
      <c r="D8" s="50"/>
      <c r="E8" s="50"/>
      <c r="F8" s="63"/>
      <c r="G8" s="50"/>
      <c r="H8" s="63"/>
      <c r="I8" s="50"/>
      <c r="J8" s="91" t="s">
        <v>210</v>
      </c>
      <c r="K8" s="91"/>
      <c r="L8" s="92"/>
    </row>
    <row r="9" spans="1:12" ht="12.75">
      <c r="A9" s="89" t="s">
        <v>153</v>
      </c>
      <c r="D9" s="91" t="s">
        <v>209</v>
      </c>
      <c r="E9" s="93"/>
      <c r="F9" s="91" t="s">
        <v>231</v>
      </c>
      <c r="G9" s="93"/>
      <c r="H9" s="91" t="s">
        <v>130</v>
      </c>
      <c r="I9" s="93"/>
      <c r="J9" s="91" t="s">
        <v>211</v>
      </c>
      <c r="L9" s="92"/>
    </row>
    <row r="10" spans="1:12" ht="12.75">
      <c r="A10" s="94" t="s">
        <v>129</v>
      </c>
      <c r="D10" s="95" t="s">
        <v>232</v>
      </c>
      <c r="E10" s="93"/>
      <c r="F10" s="95" t="s">
        <v>233</v>
      </c>
      <c r="G10" s="93"/>
      <c r="H10" s="95" t="s">
        <v>234</v>
      </c>
      <c r="I10" s="93"/>
      <c r="J10" s="96" t="s">
        <v>235</v>
      </c>
      <c r="K10" s="92"/>
      <c r="L10" s="97" t="s">
        <v>212</v>
      </c>
    </row>
    <row r="11" spans="1:12" ht="12.75">
      <c r="A11" s="98" t="s">
        <v>133</v>
      </c>
      <c r="B11" s="99" t="s">
        <v>16</v>
      </c>
      <c r="C11" s="100"/>
      <c r="D11" s="101"/>
      <c r="F11" s="101"/>
      <c r="H11" s="101"/>
      <c r="J11" s="101"/>
      <c r="L11" s="101"/>
    </row>
    <row r="12" spans="1:12" ht="12.75">
      <c r="A12" s="102">
        <f aca="true" t="shared" si="0" ref="A12:A25">+A11+1</f>
        <v>2</v>
      </c>
      <c r="C12" s="103" t="s">
        <v>287</v>
      </c>
      <c r="D12" s="35">
        <v>6207000</v>
      </c>
      <c r="E12" s="35"/>
      <c r="F12" s="35">
        <v>78000</v>
      </c>
      <c r="G12" s="35"/>
      <c r="H12" s="35">
        <f>D12+F12</f>
        <v>6285000</v>
      </c>
      <c r="I12" s="35"/>
      <c r="J12" s="35">
        <v>447000</v>
      </c>
      <c r="K12" s="35"/>
      <c r="L12" s="19">
        <f>H12+J12</f>
        <v>6732000</v>
      </c>
    </row>
    <row r="13" spans="1:12" ht="12.75">
      <c r="A13" s="102">
        <f t="shared" si="0"/>
        <v>3</v>
      </c>
      <c r="C13" s="104" t="s">
        <v>154</v>
      </c>
      <c r="D13" s="35">
        <v>5831000</v>
      </c>
      <c r="E13" s="35"/>
      <c r="F13" s="35">
        <v>68000</v>
      </c>
      <c r="G13" s="35"/>
      <c r="H13" s="35">
        <f aca="true" t="shared" si="1" ref="H13:H23">D13+F13</f>
        <v>5899000</v>
      </c>
      <c r="I13" s="35"/>
      <c r="J13" s="35">
        <v>418000</v>
      </c>
      <c r="K13" s="35"/>
      <c r="L13" s="19">
        <f aca="true" t="shared" si="2" ref="L13:L23">H13+J13</f>
        <v>6317000</v>
      </c>
    </row>
    <row r="14" spans="1:12" ht="12.75">
      <c r="A14" s="102">
        <f t="shared" si="0"/>
        <v>4</v>
      </c>
      <c r="C14" s="104" t="s">
        <v>155</v>
      </c>
      <c r="D14" s="35">
        <v>5812000</v>
      </c>
      <c r="E14" s="35"/>
      <c r="F14" s="35">
        <v>55000</v>
      </c>
      <c r="G14" s="35"/>
      <c r="H14" s="35">
        <f t="shared" si="1"/>
        <v>5867000</v>
      </c>
      <c r="I14" s="35"/>
      <c r="J14" s="35">
        <v>368000</v>
      </c>
      <c r="K14" s="35"/>
      <c r="L14" s="19">
        <f t="shared" si="2"/>
        <v>6235000</v>
      </c>
    </row>
    <row r="15" spans="1:12" ht="12.75">
      <c r="A15" s="102">
        <f t="shared" si="0"/>
        <v>5</v>
      </c>
      <c r="C15" s="104" t="s">
        <v>156</v>
      </c>
      <c r="D15" s="35">
        <v>5440000</v>
      </c>
      <c r="E15" s="35"/>
      <c r="F15" s="35">
        <v>56000</v>
      </c>
      <c r="G15" s="35"/>
      <c r="H15" s="35">
        <f t="shared" si="1"/>
        <v>5496000</v>
      </c>
      <c r="I15" s="35"/>
      <c r="J15" s="35">
        <v>358000</v>
      </c>
      <c r="K15" s="35"/>
      <c r="L15" s="19">
        <f t="shared" si="2"/>
        <v>5854000</v>
      </c>
    </row>
    <row r="16" spans="1:12" ht="12.75">
      <c r="A16" s="102">
        <f t="shared" si="0"/>
        <v>6</v>
      </c>
      <c r="C16" s="104" t="s">
        <v>128</v>
      </c>
      <c r="D16" s="35">
        <v>6809000</v>
      </c>
      <c r="E16" s="35"/>
      <c r="F16" s="35">
        <v>56000</v>
      </c>
      <c r="G16" s="35"/>
      <c r="H16" s="35">
        <f t="shared" si="1"/>
        <v>6865000</v>
      </c>
      <c r="I16" s="35"/>
      <c r="J16" s="35">
        <v>404000</v>
      </c>
      <c r="K16" s="35"/>
      <c r="L16" s="19">
        <f t="shared" si="2"/>
        <v>7269000</v>
      </c>
    </row>
    <row r="17" spans="1:12" ht="12.75">
      <c r="A17" s="102">
        <f t="shared" si="0"/>
        <v>7</v>
      </c>
      <c r="C17" s="104" t="s">
        <v>157</v>
      </c>
      <c r="D17" s="35">
        <v>8286000</v>
      </c>
      <c r="E17" s="35"/>
      <c r="F17" s="35">
        <v>70000</v>
      </c>
      <c r="G17" s="35"/>
      <c r="H17" s="35">
        <f t="shared" si="1"/>
        <v>8356000</v>
      </c>
      <c r="I17" s="35"/>
      <c r="J17" s="35">
        <v>508000</v>
      </c>
      <c r="K17" s="35"/>
      <c r="L17" s="19">
        <f t="shared" si="2"/>
        <v>8864000</v>
      </c>
    </row>
    <row r="18" spans="1:12" ht="12.75">
      <c r="A18" s="102">
        <f t="shared" si="0"/>
        <v>8</v>
      </c>
      <c r="C18" s="104" t="s">
        <v>158</v>
      </c>
      <c r="D18" s="35">
        <v>9061000</v>
      </c>
      <c r="E18" s="35"/>
      <c r="F18" s="35">
        <v>79000</v>
      </c>
      <c r="G18" s="35"/>
      <c r="H18" s="35">
        <f t="shared" si="1"/>
        <v>9140000</v>
      </c>
      <c r="I18" s="35"/>
      <c r="J18" s="35">
        <v>604000</v>
      </c>
      <c r="K18" s="35"/>
      <c r="L18" s="19">
        <f t="shared" si="2"/>
        <v>9744000</v>
      </c>
    </row>
    <row r="19" spans="1:12" ht="12.75">
      <c r="A19" s="102">
        <f t="shared" si="0"/>
        <v>9</v>
      </c>
      <c r="C19" s="104" t="s">
        <v>159</v>
      </c>
      <c r="D19" s="35">
        <v>8436000</v>
      </c>
      <c r="E19" s="35"/>
      <c r="F19" s="35">
        <v>70000</v>
      </c>
      <c r="G19" s="35"/>
      <c r="H19" s="35">
        <f t="shared" si="1"/>
        <v>8506000</v>
      </c>
      <c r="I19" s="35"/>
      <c r="J19" s="64">
        <v>534000</v>
      </c>
      <c r="K19" s="35"/>
      <c r="L19" s="19">
        <f t="shared" si="2"/>
        <v>9040000</v>
      </c>
    </row>
    <row r="20" spans="1:12" ht="12.75">
      <c r="A20" s="102">
        <f t="shared" si="0"/>
        <v>10</v>
      </c>
      <c r="C20" s="104" t="s">
        <v>160</v>
      </c>
      <c r="D20" s="35">
        <v>7926000</v>
      </c>
      <c r="E20" s="35"/>
      <c r="F20" s="35">
        <v>66000</v>
      </c>
      <c r="G20" s="35"/>
      <c r="H20" s="35">
        <f t="shared" si="1"/>
        <v>7992000</v>
      </c>
      <c r="I20" s="35"/>
      <c r="J20" s="35">
        <v>541000</v>
      </c>
      <c r="K20" s="35"/>
      <c r="L20" s="19">
        <f t="shared" si="2"/>
        <v>8533000</v>
      </c>
    </row>
    <row r="21" spans="1:12" ht="12.75">
      <c r="A21" s="102">
        <f t="shared" si="0"/>
        <v>11</v>
      </c>
      <c r="C21" s="104" t="s">
        <v>161</v>
      </c>
      <c r="D21" s="35">
        <v>5678000</v>
      </c>
      <c r="E21" s="35"/>
      <c r="F21" s="35">
        <v>53000</v>
      </c>
      <c r="G21" s="35"/>
      <c r="H21" s="35">
        <f t="shared" si="1"/>
        <v>5731000</v>
      </c>
      <c r="I21" s="35"/>
      <c r="J21" s="35">
        <v>374000</v>
      </c>
      <c r="K21" s="35"/>
      <c r="L21" s="19">
        <f t="shared" si="2"/>
        <v>6105000</v>
      </c>
    </row>
    <row r="22" spans="1:12" ht="12.75">
      <c r="A22" s="102">
        <f t="shared" si="0"/>
        <v>12</v>
      </c>
      <c r="C22" s="104" t="s">
        <v>162</v>
      </c>
      <c r="D22" s="35">
        <v>5995000</v>
      </c>
      <c r="E22" s="35"/>
      <c r="F22" s="35">
        <v>68000</v>
      </c>
      <c r="G22" s="35"/>
      <c r="H22" s="35">
        <f t="shared" si="1"/>
        <v>6063000</v>
      </c>
      <c r="I22" s="35"/>
      <c r="J22" s="35">
        <v>436000</v>
      </c>
      <c r="K22" s="35"/>
      <c r="L22" s="19">
        <f t="shared" si="2"/>
        <v>6499000</v>
      </c>
    </row>
    <row r="23" spans="1:12" ht="12.75">
      <c r="A23" s="102">
        <f t="shared" si="0"/>
        <v>13</v>
      </c>
      <c r="C23" s="103" t="s">
        <v>187</v>
      </c>
      <c r="D23" s="35">
        <v>6189000</v>
      </c>
      <c r="E23" s="35"/>
      <c r="F23" s="35">
        <v>74000</v>
      </c>
      <c r="G23" s="35"/>
      <c r="H23" s="35">
        <f t="shared" si="1"/>
        <v>6263000</v>
      </c>
      <c r="I23" s="35"/>
      <c r="J23" s="35">
        <v>451000</v>
      </c>
      <c r="K23" s="35"/>
      <c r="L23" s="19">
        <f t="shared" si="2"/>
        <v>6714000</v>
      </c>
    </row>
    <row r="24" spans="1:12" ht="12.75">
      <c r="A24" s="102">
        <f t="shared" si="0"/>
        <v>14</v>
      </c>
      <c r="C24" s="104"/>
      <c r="D24" s="31"/>
      <c r="E24" s="19"/>
      <c r="F24" s="31"/>
      <c r="G24" s="19"/>
      <c r="H24" s="31"/>
      <c r="J24" s="31"/>
      <c r="K24" s="105"/>
      <c r="L24" s="31"/>
    </row>
    <row r="25" spans="1:12" ht="13.5" thickBot="1">
      <c r="A25" s="102">
        <f t="shared" si="0"/>
        <v>15</v>
      </c>
      <c r="C25" s="106" t="s">
        <v>213</v>
      </c>
      <c r="D25" s="107">
        <f>SUM(D12:D23)/12</f>
        <v>6805833.333333333</v>
      </c>
      <c r="E25" s="19"/>
      <c r="F25" s="107">
        <f>SUM(F12:F23)/12</f>
        <v>66083.33333333333</v>
      </c>
      <c r="G25" s="19"/>
      <c r="H25" s="107">
        <f>D25+F25</f>
        <v>6871916.666666666</v>
      </c>
      <c r="J25" s="107">
        <f>SUM(J12:J23)/12</f>
        <v>453583.3333333333</v>
      </c>
      <c r="K25" s="108"/>
      <c r="L25" s="107">
        <f>SUM(L12:L23)/12</f>
        <v>7325500</v>
      </c>
    </row>
    <row r="26" ht="13.5" thickTop="1"/>
    <row r="29" ht="12.75">
      <c r="D29" s="109"/>
    </row>
    <row r="30" spans="4:6" ht="12.75">
      <c r="D30" s="109"/>
      <c r="F30" s="110"/>
    </row>
    <row r="31" spans="4:6" ht="12.75">
      <c r="D31" s="109"/>
      <c r="F31" s="110"/>
    </row>
    <row r="32" spans="4:6" ht="12.75">
      <c r="D32" s="109"/>
      <c r="F32" s="110"/>
    </row>
    <row r="33" spans="4:6" ht="12.75">
      <c r="D33" s="109"/>
      <c r="F33" s="110"/>
    </row>
    <row r="34" spans="4:6" ht="13.5" customHeight="1">
      <c r="D34" s="109"/>
      <c r="F34" s="110"/>
    </row>
    <row r="35" spans="4:6" ht="12.75">
      <c r="D35" s="109"/>
      <c r="F35" s="110"/>
    </row>
    <row r="36" spans="4:6" ht="12.75">
      <c r="D36" s="109"/>
      <c r="F36" s="110"/>
    </row>
    <row r="37" spans="4:6" ht="12.75">
      <c r="D37" s="109"/>
      <c r="F37" s="110"/>
    </row>
    <row r="38" spans="4:6" ht="12.75">
      <c r="D38" s="109"/>
      <c r="F38" s="110"/>
    </row>
    <row r="39" spans="4:6" ht="12.75">
      <c r="D39" s="109"/>
      <c r="F39" s="110"/>
    </row>
    <row r="40" spans="4:6" ht="12.75">
      <c r="D40" s="109"/>
      <c r="F40" s="110"/>
    </row>
    <row r="41" spans="4:6" ht="12.75">
      <c r="D41" s="109"/>
      <c r="F41" s="110"/>
    </row>
    <row r="42" spans="4:6" ht="12.75">
      <c r="D42" s="109"/>
      <c r="F42" s="110"/>
    </row>
  </sheetData>
  <printOptions horizontalCentered="1"/>
  <pageMargins left="0.75" right="0.25" top="0.75" bottom="0.4" header="0" footer="0.25"/>
  <pageSetup fitToHeight="1" fitToWidth="1" horizontalDpi="600" verticalDpi="600" orientation="portrait" scale="76"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sheetPr>
    <tabColor indexed="42"/>
    <pageSetUpPr fitToPage="1"/>
  </sheetPr>
  <dimension ref="A1:M37"/>
  <sheetViews>
    <sheetView showGridLines="0" workbookViewId="0" topLeftCell="A1">
      <selection activeCell="A4" sqref="A4"/>
    </sheetView>
  </sheetViews>
  <sheetFormatPr defaultColWidth="8.88671875" defaultRowHeight="15"/>
  <cols>
    <col min="1" max="1" width="4.6640625" style="8" customWidth="1"/>
    <col min="2" max="2" width="42.5546875" style="88" customWidth="1"/>
    <col min="3" max="3" width="2.99609375" style="8" customWidth="1"/>
    <col min="4" max="4" width="12.88671875" style="8" bestFit="1" customWidth="1"/>
    <col min="5" max="5" width="1.88671875" style="8" customWidth="1"/>
    <col min="6" max="6" width="11.77734375" style="8" bestFit="1" customWidth="1"/>
    <col min="7" max="7" width="1.88671875" style="8" customWidth="1"/>
    <col min="8" max="8" width="12.3359375" style="8" bestFit="1" customWidth="1"/>
    <col min="9" max="9" width="3.4453125" style="8" customWidth="1"/>
    <col min="10" max="16384" width="8.88671875" style="8" customWidth="1"/>
  </cols>
  <sheetData>
    <row r="1" spans="1:11" s="64" customFormat="1" ht="12.75">
      <c r="A1" s="85" t="s">
        <v>15</v>
      </c>
      <c r="C1" s="86"/>
      <c r="D1" s="86"/>
      <c r="E1" s="86"/>
      <c r="F1" s="86"/>
      <c r="G1" s="86"/>
      <c r="H1" s="86"/>
      <c r="I1" s="72" t="s">
        <v>285</v>
      </c>
      <c r="J1" s="86"/>
      <c r="K1" s="86"/>
    </row>
    <row r="2" spans="1:13" s="64" customFormat="1" ht="12.75">
      <c r="A2" s="185" t="s">
        <v>282</v>
      </c>
      <c r="C2" s="86"/>
      <c r="D2" s="86"/>
      <c r="E2" s="86"/>
      <c r="F2" s="86"/>
      <c r="G2" s="86"/>
      <c r="H2" s="86"/>
      <c r="I2" s="86"/>
      <c r="J2" s="86"/>
      <c r="K2" s="86"/>
      <c r="L2" s="86"/>
      <c r="M2" s="87"/>
    </row>
    <row r="3" spans="1:12" s="64" customFormat="1" ht="12.75">
      <c r="A3" s="85" t="s">
        <v>286</v>
      </c>
      <c r="C3" s="86"/>
      <c r="D3" s="86"/>
      <c r="E3" s="86" t="s">
        <v>112</v>
      </c>
      <c r="F3" s="86"/>
      <c r="G3" s="86"/>
      <c r="H3" s="86"/>
      <c r="I3" s="86"/>
      <c r="J3" s="86"/>
      <c r="K3" s="86"/>
      <c r="L3" s="86"/>
    </row>
    <row r="4" s="64" customFormat="1" ht="12.75"/>
    <row r="5" ht="12.75">
      <c r="B5" s="64"/>
    </row>
    <row r="6" ht="15"/>
    <row r="7" spans="2:6" ht="12.75">
      <c r="B7" s="8"/>
      <c r="D7" s="8" t="s">
        <v>289</v>
      </c>
      <c r="F7" s="8" t="s">
        <v>290</v>
      </c>
    </row>
    <row r="10" spans="1:8" ht="13.5" thickBot="1">
      <c r="A10" s="9" t="s">
        <v>245</v>
      </c>
      <c r="B10" s="8"/>
      <c r="C10" s="10"/>
      <c r="D10" s="69">
        <v>234645918</v>
      </c>
      <c r="E10" s="11"/>
      <c r="F10" s="69">
        <v>214019826</v>
      </c>
      <c r="G10" s="11"/>
      <c r="H10" s="69">
        <f>D10-F10</f>
        <v>20626092</v>
      </c>
    </row>
    <row r="11" spans="2:8" ht="13.5" thickTop="1">
      <c r="B11" s="8"/>
      <c r="H11" s="16"/>
    </row>
    <row r="12" spans="1:8" ht="12.75">
      <c r="A12" s="9" t="s">
        <v>246</v>
      </c>
      <c r="B12" s="8"/>
      <c r="C12" s="11"/>
      <c r="D12" s="24">
        <v>6904833</v>
      </c>
      <c r="E12" s="11"/>
      <c r="F12" s="24">
        <v>6940417</v>
      </c>
      <c r="G12" s="11"/>
      <c r="H12" s="229">
        <f>D12-F12</f>
        <v>-35584</v>
      </c>
    </row>
    <row r="13" spans="1:8" ht="12.75">
      <c r="A13" s="13" t="s">
        <v>247</v>
      </c>
      <c r="B13" s="8"/>
      <c r="C13" s="11"/>
      <c r="D13" s="24">
        <v>458417</v>
      </c>
      <c r="E13" s="11"/>
      <c r="F13" s="24">
        <v>440329</v>
      </c>
      <c r="G13" s="11"/>
      <c r="H13" s="229">
        <f>D13-F13</f>
        <v>18088</v>
      </c>
    </row>
    <row r="14" spans="1:8" ht="12.75">
      <c r="A14" s="13" t="s">
        <v>248</v>
      </c>
      <c r="B14" s="8"/>
      <c r="C14" s="11"/>
      <c r="D14" s="13">
        <v>0</v>
      </c>
      <c r="E14" s="11"/>
      <c r="F14" s="13">
        <v>0</v>
      </c>
      <c r="G14" s="11"/>
      <c r="H14" s="230">
        <f>D14-F14</f>
        <v>0</v>
      </c>
    </row>
    <row r="15" spans="1:8" ht="12.75">
      <c r="A15" s="9" t="s">
        <v>249</v>
      </c>
      <c r="B15" s="8"/>
      <c r="C15" s="11"/>
      <c r="D15" s="14">
        <f>SUM(D12:D14)</f>
        <v>7363250</v>
      </c>
      <c r="E15" s="11"/>
      <c r="F15" s="14">
        <f>SUM(F12:F14)</f>
        <v>7380746</v>
      </c>
      <c r="G15" s="11"/>
      <c r="H15" s="231">
        <f>D15-F15</f>
        <v>-17496</v>
      </c>
    </row>
    <row r="16" ht="15">
      <c r="H16" s="204"/>
    </row>
    <row r="17" spans="1:8" ht="12.75">
      <c r="A17" s="9" t="s">
        <v>250</v>
      </c>
      <c r="B17" s="8"/>
      <c r="C17" s="11"/>
      <c r="D17" s="205">
        <f>ROUND(D10/D15,8)</f>
        <v>31.86716708</v>
      </c>
      <c r="E17" s="206"/>
      <c r="F17" s="205">
        <f>ROUND(F10/F15,8)</f>
        <v>28.99704529</v>
      </c>
      <c r="G17" s="206"/>
      <c r="H17" s="207">
        <f>D17-F17</f>
        <v>2.8701217900000024</v>
      </c>
    </row>
    <row r="18" spans="1:8" ht="12.75">
      <c r="A18" s="9"/>
      <c r="B18" s="8"/>
      <c r="C18" s="11"/>
      <c r="E18" s="11"/>
      <c r="G18" s="11"/>
      <c r="H18" s="204"/>
    </row>
    <row r="19" ht="15">
      <c r="H19" s="204"/>
    </row>
    <row r="20" spans="1:8" ht="12.75">
      <c r="A20" s="9" t="s">
        <v>251</v>
      </c>
      <c r="B20" s="8"/>
      <c r="H20" s="208">
        <f>D15</f>
        <v>7363250</v>
      </c>
    </row>
    <row r="21" spans="1:8" ht="12.75">
      <c r="A21" s="9" t="s">
        <v>252</v>
      </c>
      <c r="B21" s="8"/>
      <c r="H21" s="209">
        <f>F15</f>
        <v>7380746</v>
      </c>
    </row>
    <row r="22" spans="1:8" ht="12.75">
      <c r="A22" s="9" t="s">
        <v>253</v>
      </c>
      <c r="B22" s="8"/>
      <c r="H22" s="210">
        <f>H20-H21</f>
        <v>-17496</v>
      </c>
    </row>
    <row r="23" ht="15">
      <c r="H23" s="16"/>
    </row>
    <row r="24" spans="1:8" ht="12.75">
      <c r="A24" s="8" t="s">
        <v>254</v>
      </c>
      <c r="B24" s="8"/>
      <c r="H24" s="16">
        <f>F17</f>
        <v>28.99704529</v>
      </c>
    </row>
    <row r="25" ht="15">
      <c r="H25" s="16"/>
    </row>
    <row r="26" spans="1:8" ht="13.5" thickBot="1">
      <c r="A26" s="9" t="s">
        <v>255</v>
      </c>
      <c r="B26" s="8"/>
      <c r="H26" s="211">
        <f>H22*H24</f>
        <v>-507332.30439383996</v>
      </c>
    </row>
    <row r="27" spans="2:8" ht="13.5" thickTop="1">
      <c r="B27" s="8"/>
      <c r="H27" s="16"/>
    </row>
    <row r="28" spans="1:8" ht="12.75">
      <c r="A28" s="8" t="s">
        <v>256</v>
      </c>
      <c r="B28" s="8"/>
      <c r="H28" s="16">
        <f>H10-H26</f>
        <v>21133424.30439384</v>
      </c>
    </row>
    <row r="29" ht="15">
      <c r="H29" s="16"/>
    </row>
    <row r="30" spans="2:8" ht="12.75">
      <c r="B30" s="8"/>
      <c r="F30" s="17" t="s">
        <v>257</v>
      </c>
      <c r="H30" s="16">
        <f>H17*D15</f>
        <v>21133424.27021752</v>
      </c>
    </row>
    <row r="31" spans="2:8" ht="12.75">
      <c r="B31" s="8"/>
      <c r="F31" s="17"/>
      <c r="H31" s="16"/>
    </row>
    <row r="32" spans="2:8" ht="12.75">
      <c r="B32" s="8"/>
      <c r="F32" s="17" t="s">
        <v>258</v>
      </c>
      <c r="H32" s="16">
        <f>H28-H30</f>
        <v>0.03417631983757019</v>
      </c>
    </row>
    <row r="33" spans="2:8" ht="12.75">
      <c r="B33" s="8"/>
      <c r="H33" s="204"/>
    </row>
    <row r="34" ht="13.5" customHeight="1"/>
    <row r="35" ht="12.75">
      <c r="B35" s="8"/>
    </row>
    <row r="37" spans="1:2" ht="12.75">
      <c r="A37" s="8" t="s">
        <v>259</v>
      </c>
      <c r="B37" s="8"/>
    </row>
  </sheetData>
  <printOptions/>
  <pageMargins left="0.75" right="0.75" top="1" bottom="1" header="0.5" footer="0.5"/>
  <pageSetup fitToHeight="1" fitToWidth="1" horizontalDpi="600" verticalDpi="600" orientation="portrait" scale="79" r:id="rId3"/>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indexed="42"/>
  </sheetPr>
  <dimension ref="A1:K374"/>
  <sheetViews>
    <sheetView showGridLines="0" zoomScale="75" zoomScaleNormal="75" workbookViewId="0" topLeftCell="A1">
      <selection activeCell="D37" sqref="D37"/>
    </sheetView>
  </sheetViews>
  <sheetFormatPr defaultColWidth="8.88671875" defaultRowHeight="15"/>
  <cols>
    <col min="1" max="1" width="4.6640625" style="239" customWidth="1"/>
    <col min="2" max="2" width="42.6640625" style="239" customWidth="1"/>
    <col min="3" max="3" width="34.99609375" style="239" customWidth="1"/>
    <col min="4" max="4" width="13.5546875" style="239" customWidth="1"/>
    <col min="5" max="5" width="4.10546875" style="239" customWidth="1"/>
    <col min="6" max="6" width="3.6640625" style="239" customWidth="1"/>
    <col min="7" max="7" width="11.3359375" style="239" customWidth="1"/>
    <col min="8" max="8" width="3.4453125" style="239" customWidth="1"/>
    <col min="9" max="9" width="12.99609375" style="239" customWidth="1"/>
    <col min="10" max="10" width="1.77734375" style="239" customWidth="1"/>
    <col min="11" max="11" width="6.99609375" style="246" customWidth="1"/>
    <col min="12" max="16384" width="8.88671875" style="239" customWidth="1"/>
  </cols>
  <sheetData>
    <row r="1" spans="2:11" ht="15.75">
      <c r="B1" s="240"/>
      <c r="C1" s="240"/>
      <c r="D1" s="241"/>
      <c r="E1" s="240"/>
      <c r="F1" s="240"/>
      <c r="G1" s="240"/>
      <c r="H1" s="242"/>
      <c r="I1" s="243"/>
      <c r="J1" s="243"/>
      <c r="K1" s="244" t="s">
        <v>318</v>
      </c>
    </row>
    <row r="2" spans="2:11" ht="15.75">
      <c r="B2" s="240"/>
      <c r="C2" s="240"/>
      <c r="D2" s="241"/>
      <c r="E2" s="240"/>
      <c r="F2" s="240"/>
      <c r="G2" s="240"/>
      <c r="H2" s="242"/>
      <c r="I2" s="242"/>
      <c r="J2" s="242"/>
      <c r="K2" s="245"/>
    </row>
    <row r="3" spans="2:11" ht="15.75">
      <c r="B3" s="240" t="s">
        <v>319</v>
      </c>
      <c r="C3" s="240"/>
      <c r="D3" s="241" t="s">
        <v>320</v>
      </c>
      <c r="E3" s="240"/>
      <c r="F3" s="240"/>
      <c r="G3" s="240"/>
      <c r="H3" s="242"/>
      <c r="K3" s="244" t="s">
        <v>321</v>
      </c>
    </row>
    <row r="4" spans="2:11" ht="15.75">
      <c r="B4" s="240"/>
      <c r="C4" s="219" t="s">
        <v>112</v>
      </c>
      <c r="D4" s="219" t="s">
        <v>322</v>
      </c>
      <c r="E4" s="219"/>
      <c r="F4" s="219"/>
      <c r="G4" s="219"/>
      <c r="H4" s="242"/>
      <c r="I4" s="242"/>
      <c r="J4" s="242"/>
      <c r="K4" s="245"/>
    </row>
    <row r="5" spans="2:11" ht="15.75">
      <c r="B5" s="247"/>
      <c r="C5" s="247"/>
      <c r="D5" s="247"/>
      <c r="E5" s="247"/>
      <c r="F5" s="247"/>
      <c r="G5" s="247"/>
      <c r="H5" s="247"/>
      <c r="I5" s="247"/>
      <c r="J5" s="247"/>
      <c r="K5" s="245"/>
    </row>
    <row r="6" spans="1:11" ht="15.75">
      <c r="A6" s="248" t="s">
        <v>323</v>
      </c>
      <c r="B6" s="248"/>
      <c r="C6" s="248"/>
      <c r="D6" s="248"/>
      <c r="E6" s="248"/>
      <c r="F6" s="248"/>
      <c r="G6" s="248"/>
      <c r="H6" s="248"/>
      <c r="I6" s="248"/>
      <c r="J6" s="248"/>
      <c r="K6" s="248"/>
    </row>
    <row r="7" spans="1:11" ht="15.75">
      <c r="A7" s="249"/>
      <c r="B7" s="247"/>
      <c r="C7" s="247"/>
      <c r="D7" s="250"/>
      <c r="E7" s="247"/>
      <c r="F7" s="247"/>
      <c r="G7" s="247"/>
      <c r="H7" s="247"/>
      <c r="I7" s="247"/>
      <c r="J7" s="247"/>
      <c r="K7" s="245"/>
    </row>
    <row r="8" spans="1:11" ht="15.75">
      <c r="A8" s="249" t="s">
        <v>153</v>
      </c>
      <c r="B8" s="247"/>
      <c r="C8" s="247"/>
      <c r="D8" s="250"/>
      <c r="E8" s="247"/>
      <c r="F8" s="247"/>
      <c r="G8" s="247"/>
      <c r="H8" s="247"/>
      <c r="I8" s="249" t="s">
        <v>324</v>
      </c>
      <c r="J8" s="249"/>
      <c r="K8" s="245"/>
    </row>
    <row r="9" spans="1:11" ht="16.5" thickBot="1">
      <c r="A9" s="251" t="s">
        <v>129</v>
      </c>
      <c r="B9" s="247"/>
      <c r="C9" s="247"/>
      <c r="D9" s="247"/>
      <c r="E9" s="247"/>
      <c r="F9" s="247"/>
      <c r="G9" s="247"/>
      <c r="H9" s="247"/>
      <c r="I9" s="251" t="s">
        <v>325</v>
      </c>
      <c r="J9" s="252"/>
      <c r="K9" s="245"/>
    </row>
    <row r="10" spans="1:11" ht="15.75">
      <c r="A10" s="249">
        <v>1</v>
      </c>
      <c r="B10" s="247" t="s">
        <v>326</v>
      </c>
      <c r="C10" s="247"/>
      <c r="D10" s="253"/>
      <c r="E10" s="247"/>
      <c r="F10" s="247"/>
      <c r="G10" s="247"/>
      <c r="H10" s="247"/>
      <c r="I10" s="254">
        <f>+I211</f>
        <v>321009022.36976373</v>
      </c>
      <c r="J10" s="254"/>
      <c r="K10" s="245"/>
    </row>
    <row r="11" spans="1:11" ht="15.75">
      <c r="A11" s="249"/>
      <c r="B11" s="247"/>
      <c r="C11" s="247"/>
      <c r="D11" s="247"/>
      <c r="E11" s="247"/>
      <c r="F11" s="247"/>
      <c r="G11" s="247"/>
      <c r="H11" s="247"/>
      <c r="I11" s="253"/>
      <c r="J11" s="253"/>
      <c r="K11" s="245"/>
    </row>
    <row r="12" spans="1:11" ht="16.5" thickBot="1">
      <c r="A12" s="249" t="s">
        <v>112</v>
      </c>
      <c r="B12" s="255" t="s">
        <v>327</v>
      </c>
      <c r="C12" s="256" t="s">
        <v>328</v>
      </c>
      <c r="D12" s="251" t="s">
        <v>130</v>
      </c>
      <c r="E12" s="219"/>
      <c r="F12" s="257" t="s">
        <v>329</v>
      </c>
      <c r="G12" s="257"/>
      <c r="H12" s="247"/>
      <c r="I12" s="253"/>
      <c r="J12" s="253"/>
      <c r="K12" s="245"/>
    </row>
    <row r="13" spans="1:11" ht="15.75">
      <c r="A13" s="249">
        <v>2</v>
      </c>
      <c r="B13" s="255" t="s">
        <v>330</v>
      </c>
      <c r="C13" s="219" t="s">
        <v>331</v>
      </c>
      <c r="D13" s="219">
        <f>I284</f>
        <v>0</v>
      </c>
      <c r="E13" s="219"/>
      <c r="F13" s="219" t="s">
        <v>332</v>
      </c>
      <c r="G13" s="258">
        <f>I234</f>
        <v>0.9685652310433779</v>
      </c>
      <c r="H13" s="219"/>
      <c r="I13" s="219">
        <f>+G13*D13</f>
        <v>0</v>
      </c>
      <c r="J13" s="219"/>
      <c r="K13" s="245"/>
    </row>
    <row r="14" spans="1:11" ht="15.75">
      <c r="A14" s="249">
        <v>3</v>
      </c>
      <c r="B14" s="255" t="s">
        <v>333</v>
      </c>
      <c r="C14" s="219" t="s">
        <v>334</v>
      </c>
      <c r="D14" s="219">
        <f>I291</f>
        <v>27447985.900000013</v>
      </c>
      <c r="E14" s="219"/>
      <c r="F14" s="219" t="str">
        <f aca="true" t="shared" si="0" ref="F14:G16">+F13</f>
        <v>TP</v>
      </c>
      <c r="G14" s="258">
        <f t="shared" si="0"/>
        <v>0.9685652310433779</v>
      </c>
      <c r="H14" s="219"/>
      <c r="I14" s="219">
        <f>+G14*D14</f>
        <v>26585164.80490889</v>
      </c>
      <c r="J14" s="219"/>
      <c r="K14" s="245"/>
    </row>
    <row r="15" spans="1:11" ht="15.75">
      <c r="A15" s="249">
        <v>4</v>
      </c>
      <c r="B15" s="259" t="s">
        <v>335</v>
      </c>
      <c r="C15" s="219"/>
      <c r="D15" s="260">
        <v>0</v>
      </c>
      <c r="E15" s="219"/>
      <c r="F15" s="219" t="str">
        <f t="shared" si="0"/>
        <v>TP</v>
      </c>
      <c r="G15" s="258">
        <f t="shared" si="0"/>
        <v>0.9685652310433779</v>
      </c>
      <c r="H15" s="219"/>
      <c r="I15" s="219">
        <f>+G15*D15</f>
        <v>0</v>
      </c>
      <c r="J15" s="219"/>
      <c r="K15" s="245"/>
    </row>
    <row r="16" spans="1:11" ht="16.5" thickBot="1">
      <c r="A16" s="249">
        <v>5</v>
      </c>
      <c r="B16" s="259" t="s">
        <v>336</v>
      </c>
      <c r="C16" s="219"/>
      <c r="D16" s="260">
        <v>0</v>
      </c>
      <c r="E16" s="219"/>
      <c r="F16" s="219" t="str">
        <f t="shared" si="0"/>
        <v>TP</v>
      </c>
      <c r="G16" s="258">
        <f t="shared" si="0"/>
        <v>0.9685652310433779</v>
      </c>
      <c r="H16" s="219"/>
      <c r="I16" s="261">
        <f>+G16*D16</f>
        <v>0</v>
      </c>
      <c r="J16" s="262"/>
      <c r="K16" s="245"/>
    </row>
    <row r="17" spans="1:11" ht="15.75">
      <c r="A17" s="249">
        <v>6</v>
      </c>
      <c r="B17" s="255" t="s">
        <v>337</v>
      </c>
      <c r="C17" s="247"/>
      <c r="D17" s="263" t="s">
        <v>112</v>
      </c>
      <c r="E17" s="219"/>
      <c r="F17" s="219"/>
      <c r="G17" s="258"/>
      <c r="H17" s="219"/>
      <c r="I17" s="219">
        <f>SUM(I13:I16)</f>
        <v>26585164.80490889</v>
      </c>
      <c r="J17" s="219"/>
      <c r="K17" s="245"/>
    </row>
    <row r="18" spans="1:11" ht="15.75">
      <c r="A18" s="249"/>
      <c r="B18" s="255"/>
      <c r="C18" s="247"/>
      <c r="D18" s="263"/>
      <c r="E18" s="219"/>
      <c r="F18" s="219"/>
      <c r="G18" s="258"/>
      <c r="H18" s="219"/>
      <c r="I18" s="219"/>
      <c r="J18" s="256"/>
      <c r="K18" s="245"/>
    </row>
    <row r="19" spans="1:11" ht="15.75">
      <c r="A19" s="264" t="s">
        <v>338</v>
      </c>
      <c r="B19" s="246" t="s">
        <v>339</v>
      </c>
      <c r="C19" s="245"/>
      <c r="D19" s="256" t="s">
        <v>112</v>
      </c>
      <c r="E19" s="245"/>
      <c r="F19" s="245"/>
      <c r="G19" s="265"/>
      <c r="H19" s="245"/>
      <c r="I19" s="266">
        <f>'Refund Calc in 2012 Formula'!$D$10</f>
        <v>234645918</v>
      </c>
      <c r="J19" s="267"/>
      <c r="K19" s="245"/>
    </row>
    <row r="20" spans="1:11" ht="16.5" thickBot="1">
      <c r="A20" s="264" t="s">
        <v>340</v>
      </c>
      <c r="B20" s="246" t="s">
        <v>341</v>
      </c>
      <c r="C20" s="245" t="s">
        <v>342</v>
      </c>
      <c r="D20" s="256"/>
      <c r="E20" s="245"/>
      <c r="F20" s="245"/>
      <c r="G20" s="265"/>
      <c r="H20" s="245"/>
      <c r="I20" s="268">
        <f>'Refund Calc in 2012 Formula'!$F$10</f>
        <v>214019826</v>
      </c>
      <c r="J20" s="267"/>
      <c r="K20" s="245"/>
    </row>
    <row r="21" spans="1:11" ht="15.75">
      <c r="A21" s="264" t="s">
        <v>343</v>
      </c>
      <c r="B21" s="246" t="s">
        <v>344</v>
      </c>
      <c r="C21" s="245" t="s">
        <v>345</v>
      </c>
      <c r="D21" s="256"/>
      <c r="E21" s="245"/>
      <c r="F21" s="245"/>
      <c r="G21" s="265"/>
      <c r="H21" s="245"/>
      <c r="I21" s="267">
        <f>I19-I20</f>
        <v>20626092</v>
      </c>
      <c r="J21" s="267"/>
      <c r="K21" s="245"/>
    </row>
    <row r="22" spans="1:11" ht="15.75">
      <c r="A22" s="264" t="s">
        <v>346</v>
      </c>
      <c r="B22" s="246" t="s">
        <v>347</v>
      </c>
      <c r="C22" s="245" t="s">
        <v>348</v>
      </c>
      <c r="D22" s="256"/>
      <c r="E22" s="245"/>
      <c r="F22" s="245"/>
      <c r="G22" s="265"/>
      <c r="H22" s="245"/>
      <c r="I22" s="266">
        <f>-'Refund Calc in 2012 Formula'!$H$26</f>
        <v>507332.30439383996</v>
      </c>
      <c r="J22" s="267"/>
      <c r="K22" s="245"/>
    </row>
    <row r="23" spans="1:11" ht="16.5" thickBot="1">
      <c r="A23" s="264" t="s">
        <v>349</v>
      </c>
      <c r="B23" s="246" t="s">
        <v>350</v>
      </c>
      <c r="C23" s="245"/>
      <c r="D23" s="256"/>
      <c r="E23" s="245"/>
      <c r="F23" s="245"/>
      <c r="G23" s="265"/>
      <c r="H23" s="245"/>
      <c r="I23" s="268">
        <f>'Refund Int'!$C$15</f>
        <v>148835.46219430817</v>
      </c>
      <c r="J23" s="267"/>
      <c r="K23" s="245"/>
    </row>
    <row r="24" spans="1:11" ht="15.75">
      <c r="A24" s="249"/>
      <c r="B24" s="255"/>
      <c r="C24" s="247"/>
      <c r="I24" s="219"/>
      <c r="J24" s="256"/>
      <c r="K24" s="245"/>
    </row>
    <row r="25" spans="1:11" ht="16.5" thickBot="1">
      <c r="A25" s="249">
        <v>7</v>
      </c>
      <c r="B25" s="255" t="s">
        <v>245</v>
      </c>
      <c r="C25" s="245" t="s">
        <v>351</v>
      </c>
      <c r="D25" s="263"/>
      <c r="E25" s="219"/>
      <c r="F25" s="219"/>
      <c r="G25" s="219"/>
      <c r="H25" s="219"/>
      <c r="I25" s="269">
        <f>+I10-I17+I21+I22+I23</f>
        <v>315706117.331443</v>
      </c>
      <c r="J25" s="270"/>
      <c r="K25" s="245"/>
    </row>
    <row r="26" spans="1:11" ht="16.5" thickTop="1">
      <c r="A26" s="249"/>
      <c r="C26" s="247"/>
      <c r="D26" s="263"/>
      <c r="E26" s="219"/>
      <c r="F26" s="219"/>
      <c r="G26" s="219"/>
      <c r="H26" s="219"/>
      <c r="J26" s="246"/>
      <c r="K26" s="245"/>
    </row>
    <row r="27" spans="1:11" ht="15.75">
      <c r="A27" s="249"/>
      <c r="B27" s="255" t="s">
        <v>352</v>
      </c>
      <c r="C27" s="247"/>
      <c r="D27" s="253"/>
      <c r="E27" s="247"/>
      <c r="F27" s="247"/>
      <c r="G27" s="247"/>
      <c r="H27" s="247"/>
      <c r="I27" s="253"/>
      <c r="J27" s="271"/>
      <c r="K27" s="245"/>
    </row>
    <row r="28" spans="1:11" ht="15.75">
      <c r="A28" s="249">
        <v>8</v>
      </c>
      <c r="B28" s="272" t="s">
        <v>353</v>
      </c>
      <c r="C28" s="246"/>
      <c r="D28" s="253"/>
      <c r="E28" s="247"/>
      <c r="F28" s="247"/>
      <c r="G28" s="273" t="s">
        <v>354</v>
      </c>
      <c r="H28" s="247"/>
      <c r="I28" s="274">
        <f>Divisor!$H$25</f>
        <v>6871916.666666666</v>
      </c>
      <c r="J28" s="271"/>
      <c r="K28" s="245"/>
    </row>
    <row r="29" spans="1:11" ht="15.75">
      <c r="A29" s="249">
        <v>9</v>
      </c>
      <c r="B29" s="255" t="s">
        <v>355</v>
      </c>
      <c r="C29" s="219"/>
      <c r="D29" s="219"/>
      <c r="E29" s="219"/>
      <c r="F29" s="219"/>
      <c r="G29" s="256" t="s">
        <v>356</v>
      </c>
      <c r="H29" s="219"/>
      <c r="I29" s="274">
        <v>0</v>
      </c>
      <c r="J29" s="271"/>
      <c r="K29" s="245"/>
    </row>
    <row r="30" spans="1:11" ht="15.75">
      <c r="A30" s="249">
        <v>10</v>
      </c>
      <c r="B30" s="259" t="s">
        <v>247</v>
      </c>
      <c r="C30" s="247"/>
      <c r="D30" s="247"/>
      <c r="E30" s="247"/>
      <c r="G30" s="273" t="s">
        <v>357</v>
      </c>
      <c r="H30" s="247"/>
      <c r="I30" s="274">
        <f>Divisor!$J$25</f>
        <v>453583.3333333333</v>
      </c>
      <c r="J30" s="271"/>
      <c r="K30" s="245"/>
    </row>
    <row r="31" spans="1:11" ht="15.75">
      <c r="A31" s="249">
        <v>11</v>
      </c>
      <c r="B31" s="255" t="s">
        <v>358</v>
      </c>
      <c r="C31" s="247"/>
      <c r="D31" s="247"/>
      <c r="E31" s="247"/>
      <c r="G31" s="273" t="s">
        <v>359</v>
      </c>
      <c r="H31" s="247"/>
      <c r="I31" s="276">
        <v>0</v>
      </c>
      <c r="J31" s="259"/>
      <c r="K31" s="245"/>
    </row>
    <row r="32" spans="1:11" ht="15.75">
      <c r="A32" s="249">
        <v>12</v>
      </c>
      <c r="B32" s="259" t="s">
        <v>248</v>
      </c>
      <c r="C32" s="247"/>
      <c r="D32" s="247"/>
      <c r="E32" s="247"/>
      <c r="F32" s="247"/>
      <c r="G32" s="242"/>
      <c r="H32" s="247"/>
      <c r="I32" s="276">
        <v>0</v>
      </c>
      <c r="J32" s="259"/>
      <c r="K32" s="245"/>
    </row>
    <row r="33" spans="1:11" ht="15.75">
      <c r="A33" s="249">
        <v>13</v>
      </c>
      <c r="B33" s="259" t="s">
        <v>360</v>
      </c>
      <c r="C33" s="247"/>
      <c r="D33" s="247"/>
      <c r="E33" s="247"/>
      <c r="F33" s="247"/>
      <c r="G33" s="273"/>
      <c r="H33" s="247"/>
      <c r="I33" s="276">
        <v>0</v>
      </c>
      <c r="J33" s="259"/>
      <c r="K33" s="245"/>
    </row>
    <row r="34" spans="1:11" ht="16.5" thickBot="1">
      <c r="A34" s="249">
        <v>14</v>
      </c>
      <c r="B34" s="259" t="s">
        <v>361</v>
      </c>
      <c r="C34" s="247"/>
      <c r="D34" s="247"/>
      <c r="E34" s="247"/>
      <c r="F34" s="247"/>
      <c r="G34" s="242"/>
      <c r="H34" s="247"/>
      <c r="I34" s="277">
        <v>0</v>
      </c>
      <c r="J34" s="259"/>
      <c r="K34" s="245"/>
    </row>
    <row r="35" spans="1:11" s="246" customFormat="1" ht="15.75">
      <c r="A35" s="264"/>
      <c r="B35" s="259"/>
      <c r="C35" s="245"/>
      <c r="D35" s="245"/>
      <c r="E35" s="245"/>
      <c r="F35" s="245"/>
      <c r="G35" s="273"/>
      <c r="H35" s="245"/>
      <c r="I35" s="259"/>
      <c r="J35" s="259"/>
      <c r="K35" s="245"/>
    </row>
    <row r="36" spans="1:11" ht="15.75">
      <c r="A36" s="249">
        <v>15</v>
      </c>
      <c r="B36" s="240" t="s">
        <v>249</v>
      </c>
      <c r="C36" s="247"/>
      <c r="D36" s="247"/>
      <c r="E36" s="247"/>
      <c r="F36" s="247"/>
      <c r="G36" s="247"/>
      <c r="H36" s="247"/>
      <c r="I36" s="271">
        <f>SUM(I28:I34)</f>
        <v>7325499.999999999</v>
      </c>
      <c r="J36" s="271"/>
      <c r="K36" s="245"/>
    </row>
    <row r="37" spans="1:11" ht="15.75">
      <c r="A37" s="249">
        <v>16</v>
      </c>
      <c r="B37" s="255" t="s">
        <v>250</v>
      </c>
      <c r="C37" s="247" t="s">
        <v>362</v>
      </c>
      <c r="D37" s="278">
        <f>IF(I36&gt;0,I25/I36,0)</f>
        <v>43.09686947395305</v>
      </c>
      <c r="E37" s="247"/>
      <c r="F37" s="247"/>
      <c r="G37" s="247"/>
      <c r="H37" s="247"/>
      <c r="J37" s="246"/>
      <c r="K37" s="245"/>
    </row>
    <row r="38" spans="1:11" ht="15.75">
      <c r="A38" s="249">
        <v>17</v>
      </c>
      <c r="B38" s="255" t="s">
        <v>363</v>
      </c>
      <c r="C38" s="247" t="s">
        <v>364</v>
      </c>
      <c r="D38" s="279">
        <f>+D37/12</f>
        <v>3.5914057894960876</v>
      </c>
      <c r="E38" s="247"/>
      <c r="F38" s="247"/>
      <c r="G38" s="247"/>
      <c r="H38" s="247"/>
      <c r="K38" s="245"/>
    </row>
    <row r="39" spans="1:11" ht="15.75">
      <c r="A39" s="249"/>
      <c r="B39" s="255"/>
      <c r="C39" s="247"/>
      <c r="D39" s="279"/>
      <c r="E39" s="247"/>
      <c r="F39" s="247"/>
      <c r="G39" s="247"/>
      <c r="H39" s="247"/>
      <c r="K39" s="245"/>
    </row>
    <row r="40" spans="1:11" ht="15.75">
      <c r="A40" s="249"/>
      <c r="B40" s="255"/>
      <c r="C40" s="247"/>
      <c r="D40" s="280" t="s">
        <v>365</v>
      </c>
      <c r="E40" s="247"/>
      <c r="F40" s="247"/>
      <c r="G40" s="247"/>
      <c r="H40" s="247"/>
      <c r="I40" s="281" t="s">
        <v>366</v>
      </c>
      <c r="J40" s="281"/>
      <c r="K40" s="245"/>
    </row>
    <row r="41" spans="1:11" ht="15.75">
      <c r="A41" s="249">
        <v>18</v>
      </c>
      <c r="B41" s="255" t="s">
        <v>367</v>
      </c>
      <c r="C41" s="282" t="s">
        <v>368</v>
      </c>
      <c r="D41" s="279">
        <f>+D37/52</f>
        <v>0.828785951422174</v>
      </c>
      <c r="E41" s="247"/>
      <c r="F41" s="247"/>
      <c r="G41" s="247"/>
      <c r="H41" s="247"/>
      <c r="I41" s="283">
        <f>+D37/52</f>
        <v>0.828785951422174</v>
      </c>
      <c r="J41" s="283"/>
      <c r="K41" s="245"/>
    </row>
    <row r="42" spans="1:11" ht="15.75">
      <c r="A42" s="249">
        <v>19</v>
      </c>
      <c r="B42" s="255" t="s">
        <v>369</v>
      </c>
      <c r="C42" s="247" t="s">
        <v>370</v>
      </c>
      <c r="D42" s="279">
        <f>+D37/260</f>
        <v>0.1657571902844348</v>
      </c>
      <c r="E42" s="247" t="s">
        <v>371</v>
      </c>
      <c r="G42" s="247"/>
      <c r="H42" s="247"/>
      <c r="I42" s="283">
        <f>D37/365</f>
        <v>0.11807361499713163</v>
      </c>
      <c r="J42" s="283"/>
      <c r="K42" s="245"/>
    </row>
    <row r="43" spans="1:11" ht="15.75">
      <c r="A43" s="249">
        <v>20</v>
      </c>
      <c r="B43" s="255" t="s">
        <v>372</v>
      </c>
      <c r="C43" s="247" t="s">
        <v>373</v>
      </c>
      <c r="D43" s="279">
        <f>+D37/4160*1000</f>
        <v>10.359824392777176</v>
      </c>
      <c r="E43" s="247" t="s">
        <v>374</v>
      </c>
      <c r="G43" s="247"/>
      <c r="H43" s="247"/>
      <c r="I43" s="283">
        <f>+D37/8760*1000</f>
        <v>4.919733958213818</v>
      </c>
      <c r="J43" s="283"/>
      <c r="K43" s="245" t="s">
        <v>112</v>
      </c>
    </row>
    <row r="44" spans="1:11" ht="15.75">
      <c r="A44" s="249"/>
      <c r="B44" s="255"/>
      <c r="C44" s="247" t="s">
        <v>375</v>
      </c>
      <c r="D44" s="247"/>
      <c r="E44" s="247" t="s">
        <v>376</v>
      </c>
      <c r="G44" s="247"/>
      <c r="H44" s="247"/>
      <c r="K44" s="245" t="s">
        <v>112</v>
      </c>
    </row>
    <row r="45" spans="1:11" ht="15.75">
      <c r="A45" s="249"/>
      <c r="B45" s="255"/>
      <c r="C45" s="247"/>
      <c r="D45" s="247"/>
      <c r="E45" s="247"/>
      <c r="G45" s="247"/>
      <c r="H45" s="247"/>
      <c r="K45" s="245" t="s">
        <v>112</v>
      </c>
    </row>
    <row r="46" spans="1:10" ht="15.75">
      <c r="A46" s="249">
        <v>21</v>
      </c>
      <c r="B46" s="255" t="s">
        <v>377</v>
      </c>
      <c r="C46" s="247" t="s">
        <v>378</v>
      </c>
      <c r="D46" s="284">
        <v>0</v>
      </c>
      <c r="E46" s="285" t="s">
        <v>379</v>
      </c>
      <c r="F46" s="285"/>
      <c r="G46" s="285"/>
      <c r="H46" s="285"/>
      <c r="I46" s="285">
        <f>D46</f>
        <v>0</v>
      </c>
      <c r="J46" s="285" t="s">
        <v>379</v>
      </c>
    </row>
    <row r="47" spans="1:10" ht="15.75">
      <c r="A47" s="249">
        <v>22</v>
      </c>
      <c r="B47" s="255"/>
      <c r="C47" s="247"/>
      <c r="D47" s="284">
        <v>0</v>
      </c>
      <c r="E47" s="285" t="s">
        <v>380</v>
      </c>
      <c r="F47" s="285"/>
      <c r="G47" s="285"/>
      <c r="H47" s="285"/>
      <c r="I47" s="285">
        <f>D47</f>
        <v>0</v>
      </c>
      <c r="J47" s="285" t="s">
        <v>380</v>
      </c>
    </row>
    <row r="48" spans="1:11" s="246" customFormat="1" ht="15.75">
      <c r="A48" s="264"/>
      <c r="B48" s="272"/>
      <c r="C48" s="245"/>
      <c r="D48" s="286"/>
      <c r="E48" s="286"/>
      <c r="F48" s="286"/>
      <c r="G48" s="286"/>
      <c r="H48" s="286"/>
      <c r="I48" s="286"/>
      <c r="J48" s="286"/>
      <c r="K48" s="245"/>
    </row>
    <row r="49" spans="1:11" s="246" customFormat="1" ht="15.75">
      <c r="A49" s="264"/>
      <c r="B49" s="272"/>
      <c r="C49" s="245"/>
      <c r="D49" s="286"/>
      <c r="E49" s="286"/>
      <c r="F49" s="286"/>
      <c r="G49" s="286"/>
      <c r="H49" s="286"/>
      <c r="I49" s="286"/>
      <c r="J49" s="286"/>
      <c r="K49" s="245"/>
    </row>
    <row r="50" spans="1:11" s="246" customFormat="1" ht="15.75">
      <c r="A50" s="264"/>
      <c r="B50" s="272"/>
      <c r="C50" s="245"/>
      <c r="D50" s="286"/>
      <c r="E50" s="286"/>
      <c r="F50" s="286"/>
      <c r="G50" s="286"/>
      <c r="H50" s="286"/>
      <c r="I50" s="286"/>
      <c r="J50" s="286"/>
      <c r="K50" s="245"/>
    </row>
    <row r="51" spans="1:11" s="246" customFormat="1" ht="15.75">
      <c r="A51" s="264"/>
      <c r="B51" s="272"/>
      <c r="C51" s="245"/>
      <c r="D51" s="286"/>
      <c r="E51" s="286"/>
      <c r="F51" s="286"/>
      <c r="G51" s="286"/>
      <c r="H51" s="286"/>
      <c r="I51" s="286"/>
      <c r="J51" s="286"/>
      <c r="K51" s="245"/>
    </row>
    <row r="52" spans="1:11" s="246" customFormat="1" ht="15.75">
      <c r="A52" s="264"/>
      <c r="B52" s="272"/>
      <c r="C52" s="245"/>
      <c r="D52" s="286"/>
      <c r="E52" s="286"/>
      <c r="F52" s="286"/>
      <c r="G52" s="286"/>
      <c r="H52" s="286"/>
      <c r="I52" s="286"/>
      <c r="J52" s="286"/>
      <c r="K52" s="245"/>
    </row>
    <row r="53" spans="1:11" s="246" customFormat="1" ht="15.75">
      <c r="A53" s="264"/>
      <c r="B53" s="272"/>
      <c r="C53" s="245"/>
      <c r="D53" s="286"/>
      <c r="E53" s="286"/>
      <c r="F53" s="286"/>
      <c r="G53" s="286"/>
      <c r="H53" s="286"/>
      <c r="I53" s="286"/>
      <c r="J53" s="286"/>
      <c r="K53" s="245"/>
    </row>
    <row r="54" spans="1:11" s="246" customFormat="1" ht="15.75">
      <c r="A54" s="264"/>
      <c r="B54" s="272"/>
      <c r="C54" s="245"/>
      <c r="D54" s="286"/>
      <c r="E54" s="286"/>
      <c r="F54" s="286"/>
      <c r="G54" s="286"/>
      <c r="H54" s="286"/>
      <c r="I54" s="286"/>
      <c r="J54" s="286"/>
      <c r="K54" s="245"/>
    </row>
    <row r="55" spans="1:11" s="246" customFormat="1" ht="15.75">
      <c r="A55" s="264"/>
      <c r="B55" s="272"/>
      <c r="C55" s="245"/>
      <c r="D55" s="286"/>
      <c r="E55" s="286"/>
      <c r="F55" s="286"/>
      <c r="G55" s="286"/>
      <c r="H55" s="286"/>
      <c r="I55" s="286"/>
      <c r="J55" s="286"/>
      <c r="K55" s="245"/>
    </row>
    <row r="56" spans="1:11" s="246" customFormat="1" ht="15.75">
      <c r="A56" s="264"/>
      <c r="B56" s="272"/>
      <c r="C56" s="245"/>
      <c r="D56" s="286"/>
      <c r="E56" s="286"/>
      <c r="F56" s="286"/>
      <c r="G56" s="286"/>
      <c r="H56" s="286"/>
      <c r="I56" s="286"/>
      <c r="J56" s="286"/>
      <c r="K56" s="245"/>
    </row>
    <row r="57" spans="1:11" s="246" customFormat="1" ht="15.75">
      <c r="A57" s="264"/>
      <c r="B57" s="272"/>
      <c r="C57" s="245"/>
      <c r="D57" s="286"/>
      <c r="E57" s="286"/>
      <c r="F57" s="286"/>
      <c r="G57" s="286"/>
      <c r="H57" s="286"/>
      <c r="I57" s="286"/>
      <c r="J57" s="286"/>
      <c r="K57" s="245"/>
    </row>
    <row r="58" spans="1:11" s="246" customFormat="1" ht="15.75">
      <c r="A58" s="264"/>
      <c r="B58" s="272"/>
      <c r="C58" s="245"/>
      <c r="D58" s="286"/>
      <c r="E58" s="286"/>
      <c r="F58" s="286"/>
      <c r="G58" s="286"/>
      <c r="H58" s="286"/>
      <c r="I58" s="286"/>
      <c r="J58" s="286"/>
      <c r="K58" s="245"/>
    </row>
    <row r="59" spans="1:11" s="246" customFormat="1" ht="15.75">
      <c r="A59" s="264"/>
      <c r="B59" s="272"/>
      <c r="C59" s="245"/>
      <c r="D59" s="286"/>
      <c r="E59" s="286"/>
      <c r="F59" s="286"/>
      <c r="G59" s="286"/>
      <c r="H59" s="286"/>
      <c r="I59" s="286"/>
      <c r="J59" s="286"/>
      <c r="K59" s="245"/>
    </row>
    <row r="60" spans="1:11" s="246" customFormat="1" ht="15.75">
      <c r="A60" s="264"/>
      <c r="B60" s="272"/>
      <c r="C60" s="245"/>
      <c r="D60" s="286"/>
      <c r="E60" s="286"/>
      <c r="F60" s="286"/>
      <c r="G60" s="286"/>
      <c r="H60" s="286"/>
      <c r="I60" s="286"/>
      <c r="J60" s="286"/>
      <c r="K60" s="245"/>
    </row>
    <row r="61" spans="1:11" s="246" customFormat="1" ht="15.75">
      <c r="A61" s="264"/>
      <c r="B61" s="272"/>
      <c r="C61" s="245"/>
      <c r="D61" s="286"/>
      <c r="E61" s="286"/>
      <c r="F61" s="286"/>
      <c r="G61" s="286"/>
      <c r="H61" s="286"/>
      <c r="I61" s="286"/>
      <c r="J61" s="286"/>
      <c r="K61" s="245"/>
    </row>
    <row r="62" spans="1:11" s="246" customFormat="1" ht="15.75">
      <c r="A62" s="264"/>
      <c r="B62" s="272"/>
      <c r="C62" s="245"/>
      <c r="D62" s="286"/>
      <c r="E62" s="286"/>
      <c r="F62" s="286"/>
      <c r="G62" s="286"/>
      <c r="H62" s="286"/>
      <c r="I62" s="286"/>
      <c r="J62" s="286"/>
      <c r="K62" s="245"/>
    </row>
    <row r="63" spans="1:11" s="246" customFormat="1" ht="15.75">
      <c r="A63" s="264"/>
      <c r="B63" s="272"/>
      <c r="C63" s="245"/>
      <c r="D63" s="286"/>
      <c r="E63" s="286"/>
      <c r="F63" s="286"/>
      <c r="G63" s="286"/>
      <c r="H63" s="286"/>
      <c r="I63" s="286"/>
      <c r="J63" s="286"/>
      <c r="K63" s="245"/>
    </row>
    <row r="64" spans="1:11" s="246" customFormat="1" ht="15.75">
      <c r="A64" s="264"/>
      <c r="B64" s="272"/>
      <c r="C64" s="245"/>
      <c r="D64" s="286"/>
      <c r="E64" s="286"/>
      <c r="F64" s="286"/>
      <c r="G64" s="286"/>
      <c r="H64" s="286"/>
      <c r="I64" s="286"/>
      <c r="J64" s="286"/>
      <c r="K64" s="245"/>
    </row>
    <row r="65" spans="1:11" s="246" customFormat="1" ht="15.75">
      <c r="A65" s="264"/>
      <c r="B65" s="272"/>
      <c r="C65" s="245"/>
      <c r="D65" s="286"/>
      <c r="E65" s="286"/>
      <c r="F65" s="286"/>
      <c r="G65" s="286"/>
      <c r="H65" s="286"/>
      <c r="I65" s="286"/>
      <c r="J65" s="286"/>
      <c r="K65" s="245"/>
    </row>
    <row r="66" spans="1:11" s="246" customFormat="1" ht="15.75">
      <c r="A66" s="264"/>
      <c r="B66" s="272"/>
      <c r="C66" s="245"/>
      <c r="D66" s="286"/>
      <c r="E66" s="286"/>
      <c r="F66" s="286"/>
      <c r="G66" s="286"/>
      <c r="H66" s="286"/>
      <c r="I66" s="286"/>
      <c r="J66" s="286"/>
      <c r="K66" s="245"/>
    </row>
    <row r="67" spans="1:11" s="246" customFormat="1" ht="15.75">
      <c r="A67" s="264"/>
      <c r="B67" s="272"/>
      <c r="C67" s="245"/>
      <c r="D67" s="286"/>
      <c r="E67" s="286"/>
      <c r="F67" s="286"/>
      <c r="G67" s="286"/>
      <c r="H67" s="286"/>
      <c r="I67" s="286"/>
      <c r="J67" s="286"/>
      <c r="K67" s="245"/>
    </row>
    <row r="68" spans="1:11" s="246" customFormat="1" ht="15.75">
      <c r="A68" s="264"/>
      <c r="B68" s="272"/>
      <c r="C68" s="245"/>
      <c r="D68" s="286"/>
      <c r="E68" s="286"/>
      <c r="F68" s="286"/>
      <c r="G68" s="286"/>
      <c r="H68" s="286"/>
      <c r="I68" s="286"/>
      <c r="J68" s="286"/>
      <c r="K68" s="245"/>
    </row>
    <row r="69" spans="1:11" s="246" customFormat="1" ht="15.75">
      <c r="A69" s="264"/>
      <c r="B69" s="272"/>
      <c r="C69" s="245"/>
      <c r="D69" s="286"/>
      <c r="E69" s="286"/>
      <c r="F69" s="286"/>
      <c r="G69" s="286"/>
      <c r="H69" s="286"/>
      <c r="I69" s="286"/>
      <c r="J69" s="286"/>
      <c r="K69" s="245"/>
    </row>
    <row r="70" spans="1:11" s="246" customFormat="1" ht="15.75">
      <c r="A70" s="264"/>
      <c r="B70" s="272"/>
      <c r="C70" s="245"/>
      <c r="D70" s="286"/>
      <c r="E70" s="286"/>
      <c r="F70" s="286"/>
      <c r="G70" s="286"/>
      <c r="H70" s="286"/>
      <c r="I70" s="286"/>
      <c r="J70" s="286"/>
      <c r="K70" s="245"/>
    </row>
    <row r="71" spans="1:11" s="246" customFormat="1" ht="15.75">
      <c r="A71" s="264"/>
      <c r="B71" s="272"/>
      <c r="C71" s="245"/>
      <c r="D71" s="286"/>
      <c r="E71" s="286"/>
      <c r="F71" s="286"/>
      <c r="G71" s="286"/>
      <c r="H71" s="286"/>
      <c r="I71" s="286"/>
      <c r="J71" s="286"/>
      <c r="K71" s="245"/>
    </row>
    <row r="72" spans="1:11" s="246" customFormat="1" ht="15.75">
      <c r="A72" s="264"/>
      <c r="B72" s="272"/>
      <c r="C72" s="245"/>
      <c r="D72" s="286"/>
      <c r="E72" s="286"/>
      <c r="F72" s="286"/>
      <c r="G72" s="286"/>
      <c r="H72" s="286"/>
      <c r="I72" s="286"/>
      <c r="J72" s="286"/>
      <c r="K72" s="245"/>
    </row>
    <row r="73" spans="2:11" ht="15.75">
      <c r="B73" s="240"/>
      <c r="C73" s="240"/>
      <c r="D73" s="241"/>
      <c r="E73" s="240"/>
      <c r="F73" s="240"/>
      <c r="G73" s="240"/>
      <c r="H73" s="242"/>
      <c r="I73" s="242"/>
      <c r="J73" s="242"/>
      <c r="K73" s="287" t="s">
        <v>381</v>
      </c>
    </row>
    <row r="74" spans="2:11" ht="15.75">
      <c r="B74" s="240"/>
      <c r="C74" s="240"/>
      <c r="D74" s="241"/>
      <c r="E74" s="240"/>
      <c r="F74" s="240"/>
      <c r="G74" s="240"/>
      <c r="H74" s="242"/>
      <c r="I74" s="242"/>
      <c r="J74" s="242"/>
      <c r="K74" s="288"/>
    </row>
    <row r="75" spans="2:11" ht="15.75">
      <c r="B75" s="240" t="s">
        <v>319</v>
      </c>
      <c r="C75" s="240"/>
      <c r="D75" s="241" t="s">
        <v>320</v>
      </c>
      <c r="E75" s="240"/>
      <c r="F75" s="240"/>
      <c r="G75" s="240"/>
      <c r="H75" s="242"/>
      <c r="K75" s="243" t="str">
        <f>K3</f>
        <v>For the 12 months ended 12/31/12</v>
      </c>
    </row>
    <row r="76" spans="2:11" ht="15.75">
      <c r="B76" s="240"/>
      <c r="C76" s="219" t="s">
        <v>112</v>
      </c>
      <c r="D76" s="219" t="s">
        <v>322</v>
      </c>
      <c r="E76" s="219"/>
      <c r="F76" s="219"/>
      <c r="G76" s="219"/>
      <c r="H76" s="242"/>
      <c r="I76" s="242"/>
      <c r="J76" s="242"/>
      <c r="K76" s="245"/>
    </row>
    <row r="77" spans="2:11" ht="15.75">
      <c r="B77" s="240"/>
      <c r="C77" s="219"/>
      <c r="D77" s="219"/>
      <c r="E77" s="219"/>
      <c r="F77" s="219"/>
      <c r="G77" s="219"/>
      <c r="H77" s="242"/>
      <c r="I77" s="242"/>
      <c r="J77" s="242"/>
      <c r="K77" s="245"/>
    </row>
    <row r="78" spans="1:11" ht="15.75">
      <c r="A78" s="289" t="str">
        <f>A6</f>
        <v>Northern States Power Companies (Rev 1)</v>
      </c>
      <c r="B78" s="289"/>
      <c r="C78" s="289"/>
      <c r="D78" s="289"/>
      <c r="E78" s="289"/>
      <c r="F78" s="289"/>
      <c r="G78" s="289"/>
      <c r="H78" s="289"/>
      <c r="I78" s="289"/>
      <c r="J78" s="289"/>
      <c r="K78" s="289"/>
    </row>
    <row r="79" spans="2:11" ht="15.75">
      <c r="B79" s="255"/>
      <c r="C79" s="247"/>
      <c r="D79" s="256"/>
      <c r="E79" s="256"/>
      <c r="F79" s="256"/>
      <c r="G79" s="256"/>
      <c r="H79" s="219"/>
      <c r="I79" s="219"/>
      <c r="J79" s="219"/>
      <c r="K79" s="256"/>
    </row>
    <row r="80" spans="2:11" ht="15.75">
      <c r="B80" s="290" t="s">
        <v>382</v>
      </c>
      <c r="C80" s="290" t="s">
        <v>383</v>
      </c>
      <c r="D80" s="290" t="s">
        <v>384</v>
      </c>
      <c r="E80" s="219" t="s">
        <v>112</v>
      </c>
      <c r="F80" s="219"/>
      <c r="G80" s="291" t="s">
        <v>385</v>
      </c>
      <c r="H80" s="219"/>
      <c r="I80" s="292" t="s">
        <v>386</v>
      </c>
      <c r="J80" s="292"/>
      <c r="K80" s="293"/>
    </row>
    <row r="81" spans="2:11" ht="15.75">
      <c r="B81" s="255"/>
      <c r="C81" s="294" t="s">
        <v>387</v>
      </c>
      <c r="D81" s="219"/>
      <c r="E81" s="219"/>
      <c r="F81" s="219"/>
      <c r="G81" s="249"/>
      <c r="H81" s="219"/>
      <c r="I81" s="295" t="s">
        <v>131</v>
      </c>
      <c r="J81" s="295"/>
      <c r="K81" s="293"/>
    </row>
    <row r="82" spans="1:11" ht="15.75">
      <c r="A82" s="249" t="s">
        <v>153</v>
      </c>
      <c r="B82" s="255"/>
      <c r="C82" s="296" t="s">
        <v>388</v>
      </c>
      <c r="D82" s="297" t="s">
        <v>389</v>
      </c>
      <c r="E82" s="298"/>
      <c r="F82" s="295" t="s">
        <v>390</v>
      </c>
      <c r="H82" s="298"/>
      <c r="I82" s="249" t="s">
        <v>391</v>
      </c>
      <c r="J82" s="249"/>
      <c r="K82" s="293"/>
    </row>
    <row r="83" spans="1:11" ht="16.5" thickBot="1">
      <c r="A83" s="251" t="s">
        <v>129</v>
      </c>
      <c r="B83" s="299" t="s">
        <v>392</v>
      </c>
      <c r="C83" s="219"/>
      <c r="D83" s="219"/>
      <c r="E83" s="219"/>
      <c r="F83" s="219"/>
      <c r="G83" s="219"/>
      <c r="H83" s="219"/>
      <c r="I83" s="219"/>
      <c r="J83" s="219"/>
      <c r="K83" s="256"/>
    </row>
    <row r="84" spans="1:11" ht="15.75">
      <c r="A84" s="249"/>
      <c r="B84" s="255" t="s">
        <v>393</v>
      </c>
      <c r="C84" s="300"/>
      <c r="D84" s="219"/>
      <c r="E84" s="219"/>
      <c r="F84" s="219"/>
      <c r="G84" s="219"/>
      <c r="H84" s="219"/>
      <c r="I84" s="219"/>
      <c r="J84" s="219"/>
      <c r="K84" s="256"/>
    </row>
    <row r="85" spans="1:11" ht="15.75">
      <c r="A85" s="249">
        <v>1</v>
      </c>
      <c r="B85" s="255" t="s">
        <v>394</v>
      </c>
      <c r="C85" s="256" t="s">
        <v>395</v>
      </c>
      <c r="D85" s="260">
        <v>6726531803.212593</v>
      </c>
      <c r="E85" s="219"/>
      <c r="F85" s="219" t="s">
        <v>396</v>
      </c>
      <c r="G85" s="301" t="s">
        <v>112</v>
      </c>
      <c r="H85" s="219"/>
      <c r="I85" s="219" t="s">
        <v>112</v>
      </c>
      <c r="J85" s="219"/>
      <c r="K85" s="256"/>
    </row>
    <row r="86" spans="1:11" ht="15.75">
      <c r="A86" s="249">
        <v>2</v>
      </c>
      <c r="B86" s="255" t="s">
        <v>397</v>
      </c>
      <c r="C86" s="256" t="s">
        <v>398</v>
      </c>
      <c r="D86" s="260">
        <v>2580347070.847885</v>
      </c>
      <c r="E86" s="219"/>
      <c r="F86" s="219" t="s">
        <v>332</v>
      </c>
      <c r="G86" s="301">
        <f>I234</f>
        <v>0.9685652310433779</v>
      </c>
      <c r="H86" s="219"/>
      <c r="I86" s="219">
        <f>+G86*D86</f>
        <v>2499234456.847885</v>
      </c>
      <c r="J86" s="219"/>
      <c r="K86" s="256"/>
    </row>
    <row r="87" spans="1:11" ht="15.75">
      <c r="A87" s="249">
        <v>3</v>
      </c>
      <c r="B87" s="255" t="s">
        <v>399</v>
      </c>
      <c r="C87" s="256" t="s">
        <v>400</v>
      </c>
      <c r="D87" s="260">
        <v>3856938345.9186296</v>
      </c>
      <c r="E87" s="219"/>
      <c r="F87" s="219" t="s">
        <v>396</v>
      </c>
      <c r="G87" s="301" t="s">
        <v>112</v>
      </c>
      <c r="H87" s="219"/>
      <c r="I87" s="219" t="s">
        <v>112</v>
      </c>
      <c r="J87" s="219"/>
      <c r="K87" s="256"/>
    </row>
    <row r="88" spans="1:11" ht="15.75">
      <c r="A88" s="249">
        <v>4</v>
      </c>
      <c r="B88" s="255" t="s">
        <v>401</v>
      </c>
      <c r="C88" s="256" t="s">
        <v>402</v>
      </c>
      <c r="D88" s="260">
        <v>511133194.8493308</v>
      </c>
      <c r="E88" s="219"/>
      <c r="F88" s="219" t="s">
        <v>403</v>
      </c>
      <c r="G88" s="301">
        <f>I252</f>
        <v>0.05266210261454775</v>
      </c>
      <c r="H88" s="219"/>
      <c r="I88" s="219">
        <f>+G88*D88</f>
        <v>26917348.756857086</v>
      </c>
      <c r="J88" s="219"/>
      <c r="K88" s="256"/>
    </row>
    <row r="89" spans="1:11" ht="16.5" thickBot="1">
      <c r="A89" s="249">
        <v>5</v>
      </c>
      <c r="B89" s="255" t="s">
        <v>404</v>
      </c>
      <c r="C89" s="256" t="s">
        <v>405</v>
      </c>
      <c r="D89" s="268">
        <v>582173256.8029692</v>
      </c>
      <c r="E89" s="219"/>
      <c r="F89" s="219" t="s">
        <v>406</v>
      </c>
      <c r="G89" s="301">
        <f>K257</f>
        <v>0.04821847613667448</v>
      </c>
      <c r="H89" s="219"/>
      <c r="I89" s="261">
        <f>+G89*D89</f>
        <v>28071507.290564034</v>
      </c>
      <c r="J89" s="262"/>
      <c r="K89" s="256"/>
    </row>
    <row r="90" spans="1:11" ht="15.75">
      <c r="A90" s="249">
        <v>6</v>
      </c>
      <c r="B90" s="240" t="s">
        <v>407</v>
      </c>
      <c r="C90" s="256"/>
      <c r="D90" s="219">
        <f>SUM(D85:D89)</f>
        <v>14257123671.631407</v>
      </c>
      <c r="E90" s="219"/>
      <c r="F90" s="219" t="s">
        <v>408</v>
      </c>
      <c r="G90" s="302">
        <f>IF(I90&gt;0,I90/D90,0)</f>
        <v>0.17915418086592447</v>
      </c>
      <c r="H90" s="219"/>
      <c r="I90" s="219">
        <f>SUM(I85:I89)</f>
        <v>2554223312.895306</v>
      </c>
      <c r="J90" s="219"/>
      <c r="K90" s="303"/>
    </row>
    <row r="91" spans="2:11" ht="15.75">
      <c r="B91" s="255"/>
      <c r="C91" s="219"/>
      <c r="D91" s="219"/>
      <c r="E91" s="219"/>
      <c r="F91" s="219"/>
      <c r="G91" s="302"/>
      <c r="H91" s="219"/>
      <c r="I91" s="219"/>
      <c r="J91" s="219"/>
      <c r="K91" s="303"/>
    </row>
    <row r="92" spans="2:11" ht="15.75">
      <c r="B92" s="255" t="s">
        <v>409</v>
      </c>
      <c r="C92" s="219"/>
      <c r="D92" s="219"/>
      <c r="E92" s="219"/>
      <c r="F92" s="219"/>
      <c r="G92" s="219"/>
      <c r="H92" s="219"/>
      <c r="I92" s="219"/>
      <c r="J92" s="219"/>
      <c r="K92" s="256"/>
    </row>
    <row r="93" spans="1:11" ht="15.75">
      <c r="A93" s="249">
        <v>7</v>
      </c>
      <c r="B93" s="255" t="str">
        <f>+B85</f>
        <v>  Production</v>
      </c>
      <c r="C93" s="219" t="s">
        <v>410</v>
      </c>
      <c r="D93" s="260">
        <v>3192221846.303946</v>
      </c>
      <c r="E93" s="219"/>
      <c r="F93" s="219" t="str">
        <f>+F85</f>
        <v>NA</v>
      </c>
      <c r="G93" s="301" t="str">
        <f>+G85</f>
        <v> </v>
      </c>
      <c r="H93" s="219"/>
      <c r="I93" s="219" t="s">
        <v>112</v>
      </c>
      <c r="J93" s="219"/>
      <c r="K93" s="256"/>
    </row>
    <row r="94" spans="1:11" ht="15.75">
      <c r="A94" s="249">
        <v>8</v>
      </c>
      <c r="B94" s="255" t="str">
        <f>+B86</f>
        <v>  Transmission</v>
      </c>
      <c r="C94" s="219" t="s">
        <v>411</v>
      </c>
      <c r="D94" s="260">
        <v>829807043.7757924</v>
      </c>
      <c r="E94" s="219"/>
      <c r="F94" s="219" t="str">
        <f>+F86</f>
        <v>TP</v>
      </c>
      <c r="G94" s="301">
        <f>+G86</f>
        <v>0.9685652310433779</v>
      </c>
      <c r="H94" s="219"/>
      <c r="I94" s="219">
        <f>+G94*D94</f>
        <v>803722251.0761228</v>
      </c>
      <c r="J94" s="219"/>
      <c r="K94" s="256"/>
    </row>
    <row r="95" spans="1:11" ht="15.75">
      <c r="A95" s="249">
        <v>9</v>
      </c>
      <c r="B95" s="255" t="str">
        <f>+B87</f>
        <v>  Distribution</v>
      </c>
      <c r="C95" s="219" t="s">
        <v>412</v>
      </c>
      <c r="D95" s="260">
        <v>1617300950.400846</v>
      </c>
      <c r="E95" s="219"/>
      <c r="F95" s="219" t="str">
        <f aca="true" t="shared" si="1" ref="F95:G97">+F87</f>
        <v>NA</v>
      </c>
      <c r="G95" s="301" t="str">
        <f t="shared" si="1"/>
        <v> </v>
      </c>
      <c r="H95" s="219"/>
      <c r="I95" s="219" t="s">
        <v>112</v>
      </c>
      <c r="J95" s="219"/>
      <c r="K95" s="256"/>
    </row>
    <row r="96" spans="1:11" ht="15.75">
      <c r="A96" s="249">
        <v>10</v>
      </c>
      <c r="B96" s="255" t="str">
        <f>+B88</f>
        <v>  General &amp; Intangible</v>
      </c>
      <c r="C96" s="219" t="s">
        <v>413</v>
      </c>
      <c r="D96" s="260">
        <v>177867322.27629998</v>
      </c>
      <c r="E96" s="219"/>
      <c r="F96" s="219" t="str">
        <f t="shared" si="1"/>
        <v>W/S</v>
      </c>
      <c r="G96" s="301">
        <f t="shared" si="1"/>
        <v>0.05266210261454775</v>
      </c>
      <c r="H96" s="219"/>
      <c r="I96" s="219">
        <f>+G96*D96</f>
        <v>9366867.177489344</v>
      </c>
      <c r="J96" s="219"/>
      <c r="K96" s="256"/>
    </row>
    <row r="97" spans="1:11" ht="16.5" thickBot="1">
      <c r="A97" s="249">
        <v>11</v>
      </c>
      <c r="B97" s="255" t="str">
        <f>+B89</f>
        <v>  Common</v>
      </c>
      <c r="C97" s="219" t="s">
        <v>405</v>
      </c>
      <c r="D97" s="268">
        <v>333166033.2019307</v>
      </c>
      <c r="E97" s="219"/>
      <c r="F97" s="219" t="str">
        <f t="shared" si="1"/>
        <v>CE</v>
      </c>
      <c r="G97" s="301">
        <f t="shared" si="1"/>
        <v>0.04821847613667448</v>
      </c>
      <c r="H97" s="219"/>
      <c r="I97" s="261">
        <f>+G97*D97</f>
        <v>16064758.421497794</v>
      </c>
      <c r="J97" s="262"/>
      <c r="K97" s="256"/>
    </row>
    <row r="98" spans="1:11" ht="15.75">
      <c r="A98" s="249">
        <v>12</v>
      </c>
      <c r="B98" s="255" t="s">
        <v>414</v>
      </c>
      <c r="C98" s="219"/>
      <c r="D98" s="304">
        <f>SUM(D93:D97)</f>
        <v>6150363195.958817</v>
      </c>
      <c r="E98" s="219"/>
      <c r="F98" s="219"/>
      <c r="G98" s="219"/>
      <c r="H98" s="219"/>
      <c r="I98" s="219">
        <f>SUM(I93:I97)</f>
        <v>829153876.67511</v>
      </c>
      <c r="J98" s="219"/>
      <c r="K98" s="256"/>
    </row>
    <row r="99" spans="1:11" ht="15.75">
      <c r="A99" s="249"/>
      <c r="C99" s="219" t="s">
        <v>112</v>
      </c>
      <c r="E99" s="219"/>
      <c r="F99" s="219"/>
      <c r="G99" s="302"/>
      <c r="H99" s="219"/>
      <c r="K99" s="303"/>
    </row>
    <row r="100" spans="1:11" ht="15.75">
      <c r="A100" s="249"/>
      <c r="B100" s="255" t="s">
        <v>415</v>
      </c>
      <c r="C100" s="219"/>
      <c r="D100" s="219"/>
      <c r="E100" s="219"/>
      <c r="F100" s="219"/>
      <c r="G100" s="219"/>
      <c r="H100" s="219"/>
      <c r="I100" s="219"/>
      <c r="J100" s="219"/>
      <c r="K100" s="256"/>
    </row>
    <row r="101" spans="1:11" ht="15.75">
      <c r="A101" s="249">
        <v>13</v>
      </c>
      <c r="B101" s="255" t="str">
        <f>+B93</f>
        <v>  Production</v>
      </c>
      <c r="C101" s="219" t="s">
        <v>416</v>
      </c>
      <c r="D101" s="219">
        <f>D85-D93</f>
        <v>3534309956.908647</v>
      </c>
      <c r="E101" s="219"/>
      <c r="F101" s="219"/>
      <c r="G101" s="302"/>
      <c r="H101" s="219"/>
      <c r="I101" s="219" t="s">
        <v>112</v>
      </c>
      <c r="J101" s="219"/>
      <c r="K101" s="303"/>
    </row>
    <row r="102" spans="1:11" ht="15.75">
      <c r="A102" s="249">
        <v>14</v>
      </c>
      <c r="B102" s="255" t="str">
        <f>+B94</f>
        <v>  Transmission</v>
      </c>
      <c r="C102" s="256" t="s">
        <v>417</v>
      </c>
      <c r="D102" s="256">
        <f>D86-D94</f>
        <v>1750540027.0720928</v>
      </c>
      <c r="E102" s="219"/>
      <c r="F102" s="219"/>
      <c r="G102" s="301"/>
      <c r="H102" s="219"/>
      <c r="I102" s="256">
        <f>I86-I94</f>
        <v>1695512205.7717624</v>
      </c>
      <c r="J102" s="256"/>
      <c r="K102" s="303"/>
    </row>
    <row r="103" spans="1:11" ht="15.75">
      <c r="A103" s="249">
        <v>15</v>
      </c>
      <c r="B103" s="255" t="str">
        <f>+B95</f>
        <v>  Distribution</v>
      </c>
      <c r="C103" s="219" t="s">
        <v>418</v>
      </c>
      <c r="D103" s="219">
        <f>D87-D95</f>
        <v>2239637395.5177836</v>
      </c>
      <c r="E103" s="219"/>
      <c r="F103" s="219"/>
      <c r="G103" s="302"/>
      <c r="H103" s="219"/>
      <c r="I103" s="219" t="s">
        <v>112</v>
      </c>
      <c r="J103" s="219"/>
      <c r="K103" s="303"/>
    </row>
    <row r="104" spans="1:11" ht="15.75">
      <c r="A104" s="249">
        <v>16</v>
      </c>
      <c r="B104" s="255" t="str">
        <f>+B96</f>
        <v>  General &amp; Intangible</v>
      </c>
      <c r="C104" s="219" t="s">
        <v>419</v>
      </c>
      <c r="D104" s="219">
        <f>D88-D96</f>
        <v>333265872.5730308</v>
      </c>
      <c r="E104" s="219"/>
      <c r="F104" s="219"/>
      <c r="G104" s="302"/>
      <c r="H104" s="219"/>
      <c r="I104" s="219">
        <f>I88-I96</f>
        <v>17550481.579367742</v>
      </c>
      <c r="J104" s="219"/>
      <c r="K104" s="303"/>
    </row>
    <row r="105" spans="1:11" ht="16.5" thickBot="1">
      <c r="A105" s="249">
        <v>17</v>
      </c>
      <c r="B105" s="255" t="str">
        <f>+B97</f>
        <v>  Common</v>
      </c>
      <c r="C105" s="219" t="s">
        <v>420</v>
      </c>
      <c r="D105" s="261">
        <f>D89-D97</f>
        <v>249007223.60103852</v>
      </c>
      <c r="E105" s="219"/>
      <c r="F105" s="219"/>
      <c r="G105" s="302"/>
      <c r="H105" s="219"/>
      <c r="I105" s="261">
        <f>I89-I97</f>
        <v>12006748.86906624</v>
      </c>
      <c r="J105" s="262"/>
      <c r="K105" s="303"/>
    </row>
    <row r="106" spans="1:11" ht="15.75">
      <c r="A106" s="249">
        <v>18</v>
      </c>
      <c r="B106" s="255" t="s">
        <v>421</v>
      </c>
      <c r="C106" s="219"/>
      <c r="D106" s="219">
        <f>SUM(D101:D105)</f>
        <v>8106760475.672593</v>
      </c>
      <c r="E106" s="219"/>
      <c r="F106" s="219" t="s">
        <v>422</v>
      </c>
      <c r="G106" s="302">
        <f>IF(I106&gt;0,I106/D106,0)</f>
        <v>0.21279393185439743</v>
      </c>
      <c r="H106" s="219"/>
      <c r="I106" s="219">
        <f>SUM(I101:I105)</f>
        <v>1725069436.2201962</v>
      </c>
      <c r="J106" s="219"/>
      <c r="K106" s="256"/>
    </row>
    <row r="107" spans="1:11" ht="15.75">
      <c r="A107" s="249"/>
      <c r="B107" s="255"/>
      <c r="C107" s="219"/>
      <c r="D107" s="219"/>
      <c r="E107" s="219"/>
      <c r="F107" s="219"/>
      <c r="G107" s="302"/>
      <c r="H107" s="219"/>
      <c r="I107" s="219"/>
      <c r="J107" s="219"/>
      <c r="K107" s="256"/>
    </row>
    <row r="108" spans="1:11" s="246" customFormat="1" ht="15.75">
      <c r="A108" s="264" t="s">
        <v>423</v>
      </c>
      <c r="B108" s="272" t="s">
        <v>424</v>
      </c>
      <c r="C108" s="256" t="s">
        <v>425</v>
      </c>
      <c r="D108" s="260">
        <v>124099906.2576923</v>
      </c>
      <c r="E108" s="256"/>
      <c r="F108" s="256" t="s">
        <v>332</v>
      </c>
      <c r="G108" s="305">
        <f>+I234</f>
        <v>0.9685652310433779</v>
      </c>
      <c r="H108" s="256"/>
      <c r="I108" s="256">
        <f>+G108*D108</f>
        <v>120198854.37694329</v>
      </c>
      <c r="J108" s="256"/>
      <c r="K108" s="256"/>
    </row>
    <row r="109" spans="1:11" ht="15.75">
      <c r="A109" s="249"/>
      <c r="C109" s="219"/>
      <c r="E109" s="219"/>
      <c r="H109" s="219"/>
      <c r="K109" s="303"/>
    </row>
    <row r="110" spans="1:11" ht="15.75">
      <c r="A110" s="249"/>
      <c r="B110" s="240" t="s">
        <v>426</v>
      </c>
      <c r="C110" s="219"/>
      <c r="D110" s="219"/>
      <c r="E110" s="219"/>
      <c r="F110" s="219"/>
      <c r="G110" s="219"/>
      <c r="H110" s="219"/>
      <c r="I110" s="219"/>
      <c r="J110" s="219"/>
      <c r="K110" s="256"/>
    </row>
    <row r="111" spans="1:11" ht="15.75">
      <c r="A111" s="249">
        <v>19</v>
      </c>
      <c r="B111" s="255" t="s">
        <v>427</v>
      </c>
      <c r="C111" s="219" t="s">
        <v>428</v>
      </c>
      <c r="D111" s="260">
        <v>-35625722</v>
      </c>
      <c r="E111" s="256"/>
      <c r="F111" s="256" t="str">
        <f>+F93</f>
        <v>NA</v>
      </c>
      <c r="G111" s="306" t="s">
        <v>429</v>
      </c>
      <c r="H111" s="219"/>
      <c r="I111" s="219">
        <v>0</v>
      </c>
      <c r="J111" s="219"/>
      <c r="K111" s="303"/>
    </row>
    <row r="112" spans="1:11" ht="15.75">
      <c r="A112" s="249">
        <v>20</v>
      </c>
      <c r="B112" s="255" t="s">
        <v>430</v>
      </c>
      <c r="C112" s="219" t="s">
        <v>431</v>
      </c>
      <c r="D112" s="260">
        <v>-2225116801</v>
      </c>
      <c r="E112" s="219"/>
      <c r="F112" s="219" t="s">
        <v>432</v>
      </c>
      <c r="G112" s="301">
        <f>+G106</f>
        <v>0.21279393185439743</v>
      </c>
      <c r="H112" s="219"/>
      <c r="I112" s="219">
        <f aca="true" t="shared" si="2" ref="I112:I117">D112*G112</f>
        <v>-473491352.9200688</v>
      </c>
      <c r="J112" s="219"/>
      <c r="K112" s="303"/>
    </row>
    <row r="113" spans="1:11" ht="15.75">
      <c r="A113" s="249">
        <v>21</v>
      </c>
      <c r="B113" s="255" t="s">
        <v>433</v>
      </c>
      <c r="C113" s="219" t="s">
        <v>434</v>
      </c>
      <c r="D113" s="260">
        <v>-186123677</v>
      </c>
      <c r="E113" s="219"/>
      <c r="F113" s="219" t="s">
        <v>432</v>
      </c>
      <c r="G113" s="301">
        <f>+G112</f>
        <v>0.21279393185439743</v>
      </c>
      <c r="H113" s="219"/>
      <c r="I113" s="219">
        <f t="shared" si="2"/>
        <v>-39605989.04002788</v>
      </c>
      <c r="J113" s="219"/>
      <c r="K113" s="303"/>
    </row>
    <row r="114" spans="1:11" ht="15.75">
      <c r="A114" s="249">
        <v>22</v>
      </c>
      <c r="B114" s="255" t="s">
        <v>435</v>
      </c>
      <c r="C114" s="219" t="s">
        <v>436</v>
      </c>
      <c r="D114" s="260">
        <v>601766144.5</v>
      </c>
      <c r="E114" s="219"/>
      <c r="F114" s="219" t="str">
        <f>+F113</f>
        <v>NP</v>
      </c>
      <c r="G114" s="301">
        <f>+G113</f>
        <v>0.21279393185439743</v>
      </c>
      <c r="H114" s="219"/>
      <c r="I114" s="219">
        <f t="shared" si="2"/>
        <v>128052183.94501647</v>
      </c>
      <c r="J114" s="219"/>
      <c r="K114" s="303"/>
    </row>
    <row r="115" spans="1:11" ht="15.75">
      <c r="A115" s="249">
        <v>23</v>
      </c>
      <c r="B115" s="239" t="s">
        <v>437</v>
      </c>
      <c r="C115" s="239" t="s">
        <v>438</v>
      </c>
      <c r="D115" s="260">
        <v>0</v>
      </c>
      <c r="E115" s="219"/>
      <c r="F115" s="219" t="s">
        <v>432</v>
      </c>
      <c r="G115" s="301">
        <f>+G113</f>
        <v>0.21279393185439743</v>
      </c>
      <c r="H115" s="219"/>
      <c r="I115" s="262">
        <f t="shared" si="2"/>
        <v>0</v>
      </c>
      <c r="J115" s="262"/>
      <c r="K115" s="303"/>
    </row>
    <row r="116" spans="1:11" ht="15.75">
      <c r="A116" s="264" t="s">
        <v>439</v>
      </c>
      <c r="B116" s="246" t="s">
        <v>440</v>
      </c>
      <c r="C116" s="246" t="s">
        <v>441</v>
      </c>
      <c r="D116" s="260">
        <v>-16709189.606165003</v>
      </c>
      <c r="E116" s="256"/>
      <c r="F116" s="256" t="s">
        <v>332</v>
      </c>
      <c r="G116" s="307">
        <f>I234</f>
        <v>0.9685652310433779</v>
      </c>
      <c r="H116" s="256"/>
      <c r="I116" s="262">
        <f t="shared" si="2"/>
        <v>-16183940.091442814</v>
      </c>
      <c r="J116" s="262"/>
      <c r="K116" s="303"/>
    </row>
    <row r="117" spans="1:11" ht="16.5" thickBot="1">
      <c r="A117" s="264" t="s">
        <v>442</v>
      </c>
      <c r="B117" s="246" t="s">
        <v>443</v>
      </c>
      <c r="C117" s="246" t="s">
        <v>441</v>
      </c>
      <c r="D117" s="260">
        <v>0</v>
      </c>
      <c r="E117" s="256"/>
      <c r="F117" s="256" t="s">
        <v>332</v>
      </c>
      <c r="G117" s="307">
        <f>I234</f>
        <v>0.9685652310433779</v>
      </c>
      <c r="H117" s="256"/>
      <c r="I117" s="262">
        <f t="shared" si="2"/>
        <v>0</v>
      </c>
      <c r="J117" s="262"/>
      <c r="K117" s="303"/>
    </row>
    <row r="118" spans="1:11" ht="15.75">
      <c r="A118" s="249">
        <v>24</v>
      </c>
      <c r="B118" s="255" t="s">
        <v>444</v>
      </c>
      <c r="C118" s="219"/>
      <c r="D118" s="304">
        <f>SUM(D111:D117)</f>
        <v>-1861809245.106165</v>
      </c>
      <c r="E118" s="219"/>
      <c r="F118" s="219"/>
      <c r="G118" s="219"/>
      <c r="H118" s="219"/>
      <c r="I118" s="304">
        <f>SUM(I111:I117)</f>
        <v>-401229098.10652304</v>
      </c>
      <c r="J118" s="262"/>
      <c r="K118" s="256"/>
    </row>
    <row r="119" spans="1:11" ht="15.75">
      <c r="A119" s="249"/>
      <c r="B119" s="255"/>
      <c r="C119" s="219"/>
      <c r="D119" s="262"/>
      <c r="E119" s="219"/>
      <c r="F119" s="219"/>
      <c r="G119" s="219"/>
      <c r="H119" s="219"/>
      <c r="I119" s="219"/>
      <c r="J119" s="219"/>
      <c r="K119" s="256"/>
    </row>
    <row r="120" spans="1:11" ht="15.75">
      <c r="A120" s="249">
        <v>25</v>
      </c>
      <c r="B120" s="308" t="s">
        <v>445</v>
      </c>
      <c r="C120" s="219" t="s">
        <v>446</v>
      </c>
      <c r="D120" s="260">
        <v>8103</v>
      </c>
      <c r="E120" s="219"/>
      <c r="F120" s="219" t="str">
        <f>+F94</f>
        <v>TP</v>
      </c>
      <c r="G120" s="301">
        <f>+G94</f>
        <v>0.9685652310433779</v>
      </c>
      <c r="H120" s="219"/>
      <c r="I120" s="219">
        <f>+G120*D120</f>
        <v>7848.284067144491</v>
      </c>
      <c r="J120" s="219"/>
      <c r="K120" s="256"/>
    </row>
    <row r="121" spans="1:11" ht="15.75">
      <c r="A121" s="249"/>
      <c r="B121" s="255"/>
      <c r="C121" s="219"/>
      <c r="D121" s="219"/>
      <c r="E121" s="219"/>
      <c r="F121" s="219"/>
      <c r="G121" s="219"/>
      <c r="H121" s="219"/>
      <c r="I121" s="219"/>
      <c r="J121" s="219"/>
      <c r="K121" s="256"/>
    </row>
    <row r="122" spans="1:11" ht="15.75">
      <c r="A122" s="249"/>
      <c r="B122" s="255" t="s">
        <v>447</v>
      </c>
      <c r="C122" s="219" t="s">
        <v>112</v>
      </c>
      <c r="D122" s="219"/>
      <c r="E122" s="219"/>
      <c r="F122" s="219"/>
      <c r="G122" s="219"/>
      <c r="H122" s="219"/>
      <c r="I122" s="219"/>
      <c r="J122" s="219"/>
      <c r="K122" s="256"/>
    </row>
    <row r="123" spans="1:11" ht="15.75">
      <c r="A123" s="249">
        <v>26</v>
      </c>
      <c r="B123" s="255" t="s">
        <v>448</v>
      </c>
      <c r="C123" s="239" t="s">
        <v>449</v>
      </c>
      <c r="D123" s="219">
        <f>+D166/8</f>
        <v>38783508.125</v>
      </c>
      <c r="E123" s="219"/>
      <c r="F123" s="219"/>
      <c r="G123" s="302"/>
      <c r="H123" s="219"/>
      <c r="I123" s="219">
        <f>+I166/8</f>
        <v>7343324.009508798</v>
      </c>
      <c r="J123" s="219"/>
      <c r="K123" s="303"/>
    </row>
    <row r="124" spans="1:11" ht="15.75">
      <c r="A124" s="249">
        <v>27</v>
      </c>
      <c r="B124" s="272" t="s">
        <v>450</v>
      </c>
      <c r="C124" s="219" t="s">
        <v>451</v>
      </c>
      <c r="D124" s="260">
        <v>389531.5</v>
      </c>
      <c r="E124" s="219"/>
      <c r="F124" s="219" t="s">
        <v>452</v>
      </c>
      <c r="G124" s="301">
        <f>I244</f>
        <v>0.9299327517989326</v>
      </c>
      <c r="H124" s="219"/>
      <c r="I124" s="219">
        <f>+G124*D124</f>
        <v>362238.0997073659</v>
      </c>
      <c r="J124" s="219"/>
      <c r="K124" s="303"/>
    </row>
    <row r="125" spans="1:11" ht="16.5" thickBot="1">
      <c r="A125" s="249">
        <v>28</v>
      </c>
      <c r="B125" s="272" t="s">
        <v>453</v>
      </c>
      <c r="C125" s="219" t="s">
        <v>454</v>
      </c>
      <c r="D125" s="260">
        <v>80295252.93508936</v>
      </c>
      <c r="E125" s="219"/>
      <c r="F125" s="219" t="s">
        <v>455</v>
      </c>
      <c r="G125" s="301">
        <f>+G90</f>
        <v>0.17915418086592447</v>
      </c>
      <c r="H125" s="219"/>
      <c r="I125" s="261">
        <f>+G125*D125</f>
        <v>14385230.267008152</v>
      </c>
      <c r="J125" s="262"/>
      <c r="K125" s="303"/>
    </row>
    <row r="126" spans="1:11" ht="15.75">
      <c r="A126" s="249">
        <v>29</v>
      </c>
      <c r="B126" s="255" t="s">
        <v>456</v>
      </c>
      <c r="C126" s="247"/>
      <c r="D126" s="304">
        <f>D123+D124+D125</f>
        <v>119468292.56008936</v>
      </c>
      <c r="E126" s="247"/>
      <c r="F126" s="247"/>
      <c r="G126" s="247"/>
      <c r="H126" s="247"/>
      <c r="I126" s="219">
        <f>I123+I124+I125</f>
        <v>22090792.376224317</v>
      </c>
      <c r="J126" s="219"/>
      <c r="K126" s="245"/>
    </row>
    <row r="127" spans="3:11" ht="16.5" thickBot="1">
      <c r="C127" s="219"/>
      <c r="D127" s="310"/>
      <c r="E127" s="219"/>
      <c r="F127" s="219"/>
      <c r="G127" s="219"/>
      <c r="H127" s="219"/>
      <c r="I127" s="310"/>
      <c r="J127" s="275"/>
      <c r="K127" s="256"/>
    </row>
    <row r="128" spans="1:11" ht="16.5" thickBot="1">
      <c r="A128" s="249">
        <v>30</v>
      </c>
      <c r="B128" s="255" t="s">
        <v>457</v>
      </c>
      <c r="C128" s="219"/>
      <c r="D128" s="311">
        <f>+D126+D120+D118+D106+D108</f>
        <v>6488527532.38421</v>
      </c>
      <c r="E128" s="219"/>
      <c r="F128" s="219"/>
      <c r="G128" s="302"/>
      <c r="H128" s="219"/>
      <c r="I128" s="311">
        <f>+I126+I120+I118+I106+I108</f>
        <v>1466137833.150908</v>
      </c>
      <c r="J128" s="262"/>
      <c r="K128" s="312"/>
    </row>
    <row r="129" spans="1:11" ht="16.5" thickTop="1">
      <c r="A129" s="249"/>
      <c r="B129" s="255"/>
      <c r="C129" s="219"/>
      <c r="D129" s="262"/>
      <c r="E129" s="219"/>
      <c r="F129" s="219"/>
      <c r="G129" s="302"/>
      <c r="H129" s="219"/>
      <c r="I129" s="262"/>
      <c r="J129" s="262"/>
      <c r="K129" s="312"/>
    </row>
    <row r="130" spans="1:11" ht="15.75">
      <c r="A130" s="249"/>
      <c r="B130" s="255"/>
      <c r="C130" s="219"/>
      <c r="D130" s="262"/>
      <c r="E130" s="219"/>
      <c r="F130" s="219"/>
      <c r="G130" s="302"/>
      <c r="H130" s="219"/>
      <c r="I130" s="262"/>
      <c r="J130" s="262"/>
      <c r="K130" s="312"/>
    </row>
    <row r="131" spans="1:11" ht="15.75">
      <c r="A131" s="249"/>
      <c r="B131" s="255"/>
      <c r="C131" s="219"/>
      <c r="D131" s="262"/>
      <c r="E131" s="219"/>
      <c r="F131" s="219"/>
      <c r="G131" s="302"/>
      <c r="H131" s="219"/>
      <c r="I131" s="262"/>
      <c r="J131" s="262"/>
      <c r="K131" s="312"/>
    </row>
    <row r="132" spans="1:11" ht="15.75">
      <c r="A132" s="249"/>
      <c r="B132" s="255"/>
      <c r="C132" s="219"/>
      <c r="D132" s="262"/>
      <c r="E132" s="219"/>
      <c r="F132" s="219"/>
      <c r="G132" s="302"/>
      <c r="H132" s="219"/>
      <c r="I132" s="262"/>
      <c r="J132" s="262"/>
      <c r="K132" s="312"/>
    </row>
    <row r="133" spans="1:11" ht="15.75">
      <c r="A133" s="249"/>
      <c r="B133" s="255"/>
      <c r="C133" s="219"/>
      <c r="D133" s="262"/>
      <c r="E133" s="219"/>
      <c r="F133" s="219"/>
      <c r="G133" s="302"/>
      <c r="H133" s="219"/>
      <c r="I133" s="262"/>
      <c r="J133" s="262"/>
      <c r="K133" s="312"/>
    </row>
    <row r="134" spans="1:11" ht="15.75">
      <c r="A134" s="249"/>
      <c r="B134" s="255"/>
      <c r="C134" s="219"/>
      <c r="D134" s="262"/>
      <c r="E134" s="219"/>
      <c r="F134" s="219"/>
      <c r="G134" s="302"/>
      <c r="H134" s="219"/>
      <c r="I134" s="262"/>
      <c r="J134" s="262"/>
      <c r="K134" s="312"/>
    </row>
    <row r="135" spans="1:11" ht="15.75">
      <c r="A135" s="249"/>
      <c r="B135" s="255"/>
      <c r="C135" s="219"/>
      <c r="D135" s="262"/>
      <c r="E135" s="219"/>
      <c r="F135" s="219"/>
      <c r="G135" s="302"/>
      <c r="H135" s="219"/>
      <c r="I135" s="262"/>
      <c r="J135" s="262"/>
      <c r="K135" s="312"/>
    </row>
    <row r="136" spans="1:11" ht="15.75">
      <c r="A136" s="249"/>
      <c r="B136" s="255"/>
      <c r="C136" s="219"/>
      <c r="D136" s="262"/>
      <c r="E136" s="219"/>
      <c r="F136" s="219"/>
      <c r="G136" s="302"/>
      <c r="H136" s="219"/>
      <c r="I136" s="262"/>
      <c r="J136" s="262"/>
      <c r="K136" s="312"/>
    </row>
    <row r="137" spans="1:11" ht="15.75">
      <c r="A137" s="249"/>
      <c r="B137" s="255"/>
      <c r="C137" s="219"/>
      <c r="D137" s="262"/>
      <c r="E137" s="219"/>
      <c r="F137" s="219"/>
      <c r="G137" s="302"/>
      <c r="H137" s="219"/>
      <c r="I137" s="262"/>
      <c r="J137" s="262"/>
      <c r="K137" s="312"/>
    </row>
    <row r="138" spans="1:11" ht="15.75">
      <c r="A138" s="249"/>
      <c r="B138" s="255"/>
      <c r="C138" s="219"/>
      <c r="D138" s="262"/>
      <c r="E138" s="219"/>
      <c r="F138" s="219"/>
      <c r="G138" s="302"/>
      <c r="H138" s="219"/>
      <c r="I138" s="262"/>
      <c r="J138" s="262"/>
      <c r="K138" s="312"/>
    </row>
    <row r="139" spans="1:11" ht="15.75">
      <c r="A139" s="249"/>
      <c r="B139" s="255"/>
      <c r="C139" s="219"/>
      <c r="D139" s="262"/>
      <c r="E139" s="219"/>
      <c r="F139" s="219"/>
      <c r="G139" s="302"/>
      <c r="H139" s="219"/>
      <c r="I139" s="262"/>
      <c r="J139" s="262"/>
      <c r="K139" s="312"/>
    </row>
    <row r="140" spans="1:11" ht="15.75">
      <c r="A140" s="249"/>
      <c r="B140" s="255"/>
      <c r="C140" s="219"/>
      <c r="D140" s="262"/>
      <c r="E140" s="219"/>
      <c r="F140" s="219"/>
      <c r="G140" s="302"/>
      <c r="H140" s="219"/>
      <c r="I140" s="262"/>
      <c r="J140" s="262"/>
      <c r="K140" s="312"/>
    </row>
    <row r="141" spans="1:11" ht="15.75">
      <c r="A141" s="249"/>
      <c r="B141" s="255"/>
      <c r="C141" s="219"/>
      <c r="D141" s="262"/>
      <c r="E141" s="219"/>
      <c r="F141" s="219"/>
      <c r="G141" s="302"/>
      <c r="H141" s="219"/>
      <c r="I141" s="262"/>
      <c r="J141" s="262"/>
      <c r="K141" s="312"/>
    </row>
    <row r="142" spans="1:11" ht="15.75">
      <c r="A142" s="249"/>
      <c r="B142" s="255"/>
      <c r="C142" s="219"/>
      <c r="D142" s="262"/>
      <c r="E142" s="219"/>
      <c r="F142" s="219"/>
      <c r="G142" s="302"/>
      <c r="H142" s="219"/>
      <c r="I142" s="262"/>
      <c r="J142" s="262"/>
      <c r="K142" s="312"/>
    </row>
    <row r="143" spans="1:11" ht="15.75">
      <c r="A143" s="249"/>
      <c r="B143" s="255"/>
      <c r="C143" s="219"/>
      <c r="D143" s="262"/>
      <c r="E143" s="219"/>
      <c r="F143" s="219"/>
      <c r="G143" s="302"/>
      <c r="H143" s="219"/>
      <c r="I143" s="262"/>
      <c r="J143" s="262"/>
      <c r="K143" s="312"/>
    </row>
    <row r="144" spans="1:11" ht="15.75">
      <c r="A144" s="249"/>
      <c r="B144" s="255"/>
      <c r="C144" s="219"/>
      <c r="D144" s="262"/>
      <c r="E144" s="219"/>
      <c r="F144" s="219"/>
      <c r="G144" s="302"/>
      <c r="H144" s="219"/>
      <c r="I144" s="262"/>
      <c r="J144" s="262"/>
      <c r="K144" s="312"/>
    </row>
    <row r="145" spans="2:11" ht="15.75">
      <c r="B145" s="240"/>
      <c r="C145" s="240"/>
      <c r="D145" s="241"/>
      <c r="E145" s="240"/>
      <c r="F145" s="240"/>
      <c r="G145" s="240"/>
      <c r="H145" s="242"/>
      <c r="I145" s="242"/>
      <c r="J145" s="242"/>
      <c r="K145" s="287" t="s">
        <v>458</v>
      </c>
    </row>
    <row r="146" spans="2:11" ht="15.75">
      <c r="B146" s="240"/>
      <c r="C146" s="240"/>
      <c r="D146" s="241"/>
      <c r="E146" s="240"/>
      <c r="F146" s="240"/>
      <c r="G146" s="240"/>
      <c r="H146" s="242"/>
      <c r="I146" s="242"/>
      <c r="J146" s="242"/>
      <c r="K146" s="288"/>
    </row>
    <row r="147" spans="2:11" ht="15.75">
      <c r="B147" s="240" t="s">
        <v>319</v>
      </c>
      <c r="C147" s="240"/>
      <c r="D147" s="241" t="s">
        <v>320</v>
      </c>
      <c r="E147" s="240"/>
      <c r="F147" s="240"/>
      <c r="G147" s="240"/>
      <c r="H147" s="242"/>
      <c r="K147" s="243" t="str">
        <f>K3</f>
        <v>For the 12 months ended 12/31/12</v>
      </c>
    </row>
    <row r="148" spans="2:11" ht="15.75">
      <c r="B148" s="240"/>
      <c r="C148" s="219" t="s">
        <v>112</v>
      </c>
      <c r="D148" s="219" t="s">
        <v>322</v>
      </c>
      <c r="E148" s="219"/>
      <c r="F148" s="219"/>
      <c r="G148" s="219"/>
      <c r="H148" s="242"/>
      <c r="I148" s="242"/>
      <c r="J148" s="242"/>
      <c r="K148" s="245"/>
    </row>
    <row r="149" spans="2:11" ht="15.75">
      <c r="B149" s="240"/>
      <c r="C149" s="219"/>
      <c r="D149" s="219"/>
      <c r="E149" s="219"/>
      <c r="F149" s="219"/>
      <c r="G149" s="219"/>
      <c r="H149" s="242"/>
      <c r="I149" s="242"/>
      <c r="J149" s="242"/>
      <c r="K149" s="245"/>
    </row>
    <row r="150" spans="1:11" ht="15.75">
      <c r="A150" s="313" t="str">
        <f>A6</f>
        <v>Northern States Power Companies (Rev 1)</v>
      </c>
      <c r="B150" s="313"/>
      <c r="C150" s="313"/>
      <c r="D150" s="313"/>
      <c r="E150" s="313"/>
      <c r="F150" s="313"/>
      <c r="G150" s="313"/>
      <c r="H150" s="313"/>
      <c r="I150" s="313"/>
      <c r="J150" s="313"/>
      <c r="K150" s="313"/>
    </row>
    <row r="151" spans="1:11" ht="15.75">
      <c r="A151" s="249"/>
      <c r="D151" s="246"/>
      <c r="E151" s="246"/>
      <c r="F151" s="246"/>
      <c r="G151" s="246"/>
      <c r="K151" s="256"/>
    </row>
    <row r="152" spans="1:11" ht="15.75">
      <c r="A152" s="249"/>
      <c r="B152" s="290" t="s">
        <v>382</v>
      </c>
      <c r="C152" s="290" t="s">
        <v>383</v>
      </c>
      <c r="D152" s="290" t="s">
        <v>384</v>
      </c>
      <c r="E152" s="219" t="s">
        <v>112</v>
      </c>
      <c r="F152" s="219"/>
      <c r="G152" s="291" t="s">
        <v>385</v>
      </c>
      <c r="H152" s="219"/>
      <c r="I152" s="292" t="s">
        <v>386</v>
      </c>
      <c r="J152" s="292"/>
      <c r="K152" s="256"/>
    </row>
    <row r="153" spans="1:11" ht="15.75">
      <c r="A153" s="249"/>
      <c r="B153" s="290"/>
      <c r="C153" s="242"/>
      <c r="D153" s="242"/>
      <c r="E153" s="242"/>
      <c r="F153" s="242"/>
      <c r="G153" s="242"/>
      <c r="H153" s="242"/>
      <c r="I153" s="242"/>
      <c r="J153" s="242"/>
      <c r="K153" s="314"/>
    </row>
    <row r="154" spans="1:11" ht="15.75">
      <c r="A154" s="249" t="s">
        <v>153</v>
      </c>
      <c r="B154" s="255"/>
      <c r="C154" s="294" t="s">
        <v>387</v>
      </c>
      <c r="D154" s="219"/>
      <c r="E154" s="219"/>
      <c r="F154" s="219"/>
      <c r="G154" s="249"/>
      <c r="H154" s="219"/>
      <c r="I154" s="295" t="s">
        <v>131</v>
      </c>
      <c r="J154" s="295"/>
      <c r="K154" s="314"/>
    </row>
    <row r="155" spans="1:11" ht="16.5" thickBot="1">
      <c r="A155" s="251" t="s">
        <v>129</v>
      </c>
      <c r="B155" s="255"/>
      <c r="C155" s="296" t="s">
        <v>388</v>
      </c>
      <c r="D155" s="297" t="s">
        <v>389</v>
      </c>
      <c r="E155" s="298"/>
      <c r="F155" s="315" t="s">
        <v>329</v>
      </c>
      <c r="G155" s="315"/>
      <c r="H155" s="298"/>
      <c r="I155" s="249" t="s">
        <v>391</v>
      </c>
      <c r="J155" s="249"/>
      <c r="K155" s="314"/>
    </row>
    <row r="156" spans="1:11" ht="15.75">
      <c r="A156" s="249"/>
      <c r="B156" s="255" t="s">
        <v>459</v>
      </c>
      <c r="C156" s="219"/>
      <c r="D156" s="219"/>
      <c r="E156" s="219"/>
      <c r="F156" s="219"/>
      <c r="G156" s="219"/>
      <c r="H156" s="219"/>
      <c r="I156" s="219"/>
      <c r="J156" s="219"/>
      <c r="K156" s="256"/>
    </row>
    <row r="157" spans="1:11" ht="15.75">
      <c r="A157" s="249">
        <v>1</v>
      </c>
      <c r="B157" s="255" t="s">
        <v>460</v>
      </c>
      <c r="C157" s="219" t="s">
        <v>461</v>
      </c>
      <c r="D157" s="260">
        <v>164181353</v>
      </c>
      <c r="E157" s="219"/>
      <c r="F157" s="219" t="s">
        <v>452</v>
      </c>
      <c r="G157" s="301">
        <f>I244</f>
        <v>0.9299327517989326</v>
      </c>
      <c r="H157" s="219"/>
      <c r="I157" s="219">
        <f aca="true" t="shared" si="3" ref="I157:I165">+G157*D157</f>
        <v>152677617.38936195</v>
      </c>
      <c r="J157" s="219"/>
      <c r="K157" s="256"/>
    </row>
    <row r="158" spans="1:11" ht="15.75">
      <c r="A158" s="264" t="s">
        <v>462</v>
      </c>
      <c r="B158" s="272" t="s">
        <v>463</v>
      </c>
      <c r="C158" s="256"/>
      <c r="D158" s="260">
        <v>9740545</v>
      </c>
      <c r="E158" s="219"/>
      <c r="F158" s="316"/>
      <c r="G158" s="301">
        <v>1</v>
      </c>
      <c r="H158" s="219"/>
      <c r="I158" s="219">
        <f t="shared" si="3"/>
        <v>9740545</v>
      </c>
      <c r="J158" s="219"/>
      <c r="K158" s="256"/>
    </row>
    <row r="159" spans="1:11" ht="15.75">
      <c r="A159" s="249">
        <v>2</v>
      </c>
      <c r="B159" s="255" t="s">
        <v>464</v>
      </c>
      <c r="C159" s="219" t="s">
        <v>465</v>
      </c>
      <c r="D159" s="260">
        <v>105372950</v>
      </c>
      <c r="E159" s="219"/>
      <c r="F159" s="219" t="s">
        <v>452</v>
      </c>
      <c r="G159" s="301">
        <f>+G157</f>
        <v>0.9299327517989326</v>
      </c>
      <c r="H159" s="219"/>
      <c r="I159" s="219">
        <f t="shared" si="3"/>
        <v>97989757.35867134</v>
      </c>
      <c r="J159" s="219"/>
      <c r="K159" s="256"/>
    </row>
    <row r="160" spans="1:11" ht="15.75">
      <c r="A160" s="249">
        <v>3</v>
      </c>
      <c r="B160" s="255" t="s">
        <v>466</v>
      </c>
      <c r="C160" s="219" t="s">
        <v>467</v>
      </c>
      <c r="D160" s="260">
        <v>273623575</v>
      </c>
      <c r="E160" s="219"/>
      <c r="F160" s="219" t="s">
        <v>403</v>
      </c>
      <c r="G160" s="301">
        <f>+G96</f>
        <v>0.05266210261454775</v>
      </c>
      <c r="H160" s="219"/>
      <c r="I160" s="219">
        <f t="shared" si="3"/>
        <v>14409592.784409402</v>
      </c>
      <c r="J160" s="219"/>
      <c r="K160" s="256" t="s">
        <v>112</v>
      </c>
    </row>
    <row r="161" spans="1:10" ht="15.75">
      <c r="A161" s="249">
        <v>4</v>
      </c>
      <c r="B161" s="255" t="s">
        <v>468</v>
      </c>
      <c r="D161" s="260">
        <v>40423</v>
      </c>
      <c r="E161" s="219"/>
      <c r="F161" s="219" t="str">
        <f>+F160</f>
        <v>W/S</v>
      </c>
      <c r="G161" s="301">
        <f>+G160</f>
        <v>0.05266210261454775</v>
      </c>
      <c r="H161" s="219"/>
      <c r="I161" s="219">
        <f t="shared" si="3"/>
        <v>2128.7601739878637</v>
      </c>
      <c r="J161" s="219"/>
    </row>
    <row r="162" spans="1:11" ht="15.75">
      <c r="A162" s="249">
        <v>5</v>
      </c>
      <c r="B162" s="272" t="s">
        <v>469</v>
      </c>
      <c r="C162" s="256"/>
      <c r="D162" s="260">
        <v>12433015</v>
      </c>
      <c r="E162" s="219"/>
      <c r="F162" s="219" t="str">
        <f>+F161</f>
        <v>W/S</v>
      </c>
      <c r="G162" s="301">
        <f>+G161</f>
        <v>0.05266210261454775</v>
      </c>
      <c r="H162" s="219"/>
      <c r="I162" s="219">
        <f t="shared" si="3"/>
        <v>654748.7117382113</v>
      </c>
      <c r="J162" s="219"/>
      <c r="K162" s="256"/>
    </row>
    <row r="163" spans="1:11" ht="15.75">
      <c r="A163" s="249" t="s">
        <v>470</v>
      </c>
      <c r="B163" s="272" t="s">
        <v>471</v>
      </c>
      <c r="C163" s="256"/>
      <c r="D163" s="260">
        <v>50070</v>
      </c>
      <c r="E163" s="219"/>
      <c r="F163" s="317" t="str">
        <f>+F157</f>
        <v>TE</v>
      </c>
      <c r="G163" s="307">
        <f>+G157</f>
        <v>0.9299327517989326</v>
      </c>
      <c r="H163" s="219"/>
      <c r="I163" s="219">
        <f t="shared" si="3"/>
        <v>46561.732882572556</v>
      </c>
      <c r="J163" s="219"/>
      <c r="K163" s="256"/>
    </row>
    <row r="164" spans="1:11" s="246" customFormat="1" ht="15.75">
      <c r="A164" s="264">
        <v>6</v>
      </c>
      <c r="B164" s="272" t="s">
        <v>404</v>
      </c>
      <c r="C164" s="256" t="str">
        <f>+C97</f>
        <v>356.1</v>
      </c>
      <c r="D164" s="260">
        <v>0</v>
      </c>
      <c r="E164" s="256"/>
      <c r="F164" s="256" t="s">
        <v>406</v>
      </c>
      <c r="G164" s="307">
        <f>+G97</f>
        <v>0.04821847613667448</v>
      </c>
      <c r="H164" s="256"/>
      <c r="I164" s="256">
        <f t="shared" si="3"/>
        <v>0</v>
      </c>
      <c r="J164" s="256"/>
      <c r="K164" s="256"/>
    </row>
    <row r="165" spans="1:11" ht="16.5" thickBot="1">
      <c r="A165" s="249">
        <v>7</v>
      </c>
      <c r="B165" s="255" t="s">
        <v>472</v>
      </c>
      <c r="C165" s="219"/>
      <c r="D165" s="268">
        <v>0</v>
      </c>
      <c r="E165" s="219"/>
      <c r="F165" s="219" t="s">
        <v>112</v>
      </c>
      <c r="G165" s="301">
        <v>1</v>
      </c>
      <c r="H165" s="219"/>
      <c r="I165" s="261">
        <f t="shared" si="3"/>
        <v>0</v>
      </c>
      <c r="J165" s="262"/>
      <c r="K165" s="256"/>
    </row>
    <row r="166" spans="1:11" ht="15.75">
      <c r="A166" s="249">
        <v>8</v>
      </c>
      <c r="B166" s="255" t="s">
        <v>473</v>
      </c>
      <c r="C166" s="219"/>
      <c r="D166" s="219">
        <f>+D157-D158-D159+D160-D161-D162+D164+D165+D163</f>
        <v>310268065</v>
      </c>
      <c r="E166" s="219"/>
      <c r="F166" s="219"/>
      <c r="G166" s="219"/>
      <c r="H166" s="219"/>
      <c r="I166" s="219">
        <f>+I157-I158-I159+I160-I161-I162+I164+I165+I163</f>
        <v>58746592.07607038</v>
      </c>
      <c r="J166" s="219"/>
      <c r="K166" s="256"/>
    </row>
    <row r="167" spans="1:11" ht="15.75">
      <c r="A167" s="249"/>
      <c r="C167" s="219"/>
      <c r="E167" s="219"/>
      <c r="F167" s="219"/>
      <c r="G167" s="219"/>
      <c r="H167" s="219"/>
      <c r="K167" s="256"/>
    </row>
    <row r="168" spans="1:11" ht="15.75">
      <c r="A168" s="249"/>
      <c r="B168" s="318" t="s">
        <v>474</v>
      </c>
      <c r="C168" s="219"/>
      <c r="D168" s="219"/>
      <c r="E168" s="219"/>
      <c r="F168" s="219"/>
      <c r="G168" s="219"/>
      <c r="H168" s="219"/>
      <c r="I168" s="219"/>
      <c r="J168" s="219"/>
      <c r="K168" s="256"/>
    </row>
    <row r="169" spans="1:11" ht="15.75">
      <c r="A169" s="249">
        <v>9</v>
      </c>
      <c r="B169" s="255" t="str">
        <f>+B157</f>
        <v>  Transmission </v>
      </c>
      <c r="C169" s="256" t="s">
        <v>475</v>
      </c>
      <c r="D169" s="260">
        <v>61217287</v>
      </c>
      <c r="E169" s="219"/>
      <c r="F169" s="219" t="s">
        <v>332</v>
      </c>
      <c r="G169" s="301">
        <f>+G120</f>
        <v>0.9685652310433779</v>
      </c>
      <c r="H169" s="219"/>
      <c r="I169" s="219">
        <f>+G169*D169</f>
        <v>59292935.727003776</v>
      </c>
      <c r="J169" s="219"/>
      <c r="K169" s="303"/>
    </row>
    <row r="170" spans="1:11" ht="15.75">
      <c r="A170" s="249" t="s">
        <v>476</v>
      </c>
      <c r="B170" s="246" t="s">
        <v>477</v>
      </c>
      <c r="C170" s="256" t="s">
        <v>478</v>
      </c>
      <c r="D170" s="260">
        <v>-110029</v>
      </c>
      <c r="E170" s="219"/>
      <c r="F170" s="219" t="s">
        <v>332</v>
      </c>
      <c r="G170" s="301">
        <f>I234</f>
        <v>0.9685652310433779</v>
      </c>
      <c r="H170" s="219"/>
      <c r="I170" s="219">
        <f>+G170*D170</f>
        <v>-106570.26380647182</v>
      </c>
      <c r="J170" s="219"/>
      <c r="K170" s="303"/>
    </row>
    <row r="171" spans="1:11" ht="15.75">
      <c r="A171" s="249" t="s">
        <v>479</v>
      </c>
      <c r="B171" s="246" t="s">
        <v>480</v>
      </c>
      <c r="C171" s="256" t="s">
        <v>478</v>
      </c>
      <c r="D171" s="260">
        <v>0</v>
      </c>
      <c r="E171" s="219"/>
      <c r="F171" s="219" t="s">
        <v>332</v>
      </c>
      <c r="G171" s="301">
        <f>I234</f>
        <v>0.9685652310433779</v>
      </c>
      <c r="H171" s="219"/>
      <c r="I171" s="219">
        <f>+G171*D171</f>
        <v>0</v>
      </c>
      <c r="J171" s="219"/>
      <c r="K171" s="303"/>
    </row>
    <row r="172" spans="1:11" ht="15.75">
      <c r="A172" s="249">
        <v>10</v>
      </c>
      <c r="B172" s="318" t="s">
        <v>401</v>
      </c>
      <c r="C172" s="219" t="s">
        <v>481</v>
      </c>
      <c r="D172" s="260">
        <v>22533629</v>
      </c>
      <c r="E172" s="219"/>
      <c r="F172" s="219" t="s">
        <v>403</v>
      </c>
      <c r="G172" s="301">
        <f>+G160</f>
        <v>0.05266210261454775</v>
      </c>
      <c r="H172" s="219"/>
      <c r="I172" s="219">
        <f>+G172*D172</f>
        <v>1186668.282676149</v>
      </c>
      <c r="J172" s="219"/>
      <c r="K172" s="303"/>
    </row>
    <row r="173" spans="1:11" ht="16.5" thickBot="1">
      <c r="A173" s="249">
        <v>11</v>
      </c>
      <c r="B173" s="272" t="s">
        <v>482</v>
      </c>
      <c r="C173" s="219" t="s">
        <v>483</v>
      </c>
      <c r="D173" s="268">
        <v>32696726</v>
      </c>
      <c r="E173" s="219"/>
      <c r="F173" s="219" t="s">
        <v>406</v>
      </c>
      <c r="G173" s="301">
        <f>+G164</f>
        <v>0.04821847613667448</v>
      </c>
      <c r="H173" s="219"/>
      <c r="I173" s="261">
        <f>+G173*D173</f>
        <v>1576586.302378384</v>
      </c>
      <c r="J173" s="262"/>
      <c r="K173" s="303"/>
    </row>
    <row r="174" spans="1:11" ht="15.75">
      <c r="A174" s="249">
        <v>12</v>
      </c>
      <c r="B174" s="255" t="s">
        <v>484</v>
      </c>
      <c r="C174" s="219"/>
      <c r="D174" s="304">
        <f>SUM(D169:D173)</f>
        <v>116337613</v>
      </c>
      <c r="E174" s="219"/>
      <c r="F174" s="219"/>
      <c r="G174" s="219"/>
      <c r="H174" s="219"/>
      <c r="I174" s="219">
        <f>SUM(I169:I173)</f>
        <v>61949620.04825184</v>
      </c>
      <c r="J174" s="219"/>
      <c r="K174" s="256"/>
    </row>
    <row r="175" spans="1:11" ht="15.75">
      <c r="A175" s="249"/>
      <c r="B175" s="255"/>
      <c r="C175" s="219"/>
      <c r="D175" s="219"/>
      <c r="E175" s="219"/>
      <c r="F175" s="219"/>
      <c r="G175" s="219"/>
      <c r="H175" s="219"/>
      <c r="I175" s="219"/>
      <c r="J175" s="219"/>
      <c r="K175" s="256"/>
    </row>
    <row r="176" spans="1:11" ht="15.75">
      <c r="A176" s="249" t="s">
        <v>112</v>
      </c>
      <c r="B176" s="255" t="s">
        <v>485</v>
      </c>
      <c r="D176" s="219"/>
      <c r="E176" s="219"/>
      <c r="F176" s="219"/>
      <c r="G176" s="219"/>
      <c r="H176" s="219"/>
      <c r="I176" s="219"/>
      <c r="J176" s="219"/>
      <c r="K176" s="256"/>
    </row>
    <row r="177" spans="1:11" ht="15.75">
      <c r="A177" s="249"/>
      <c r="B177" s="255" t="s">
        <v>486</v>
      </c>
      <c r="E177" s="219"/>
      <c r="F177" s="219"/>
      <c r="H177" s="219"/>
      <c r="K177" s="303"/>
    </row>
    <row r="178" spans="1:11" ht="15.75">
      <c r="A178" s="249">
        <v>13</v>
      </c>
      <c r="B178" s="255" t="s">
        <v>487</v>
      </c>
      <c r="C178" s="219" t="s">
        <v>488</v>
      </c>
      <c r="D178" s="260">
        <v>34632096</v>
      </c>
      <c r="E178" s="219"/>
      <c r="F178" s="219" t="s">
        <v>403</v>
      </c>
      <c r="G178" s="258">
        <f>+G172</f>
        <v>0.05266210261454775</v>
      </c>
      <c r="H178" s="219"/>
      <c r="I178" s="219">
        <f>+G178*D178</f>
        <v>1823798.9933088687</v>
      </c>
      <c r="J178" s="219"/>
      <c r="K178" s="303"/>
    </row>
    <row r="179" spans="1:11" ht="15.75">
      <c r="A179" s="249">
        <v>14</v>
      </c>
      <c r="B179" s="255" t="s">
        <v>489</v>
      </c>
      <c r="C179" s="219" t="str">
        <f>+C178</f>
        <v>263.i</v>
      </c>
      <c r="D179" s="260">
        <v>50637</v>
      </c>
      <c r="E179" s="219"/>
      <c r="F179" s="219" t="str">
        <f>+F178</f>
        <v>W/S</v>
      </c>
      <c r="G179" s="258">
        <f>+G178</f>
        <v>0.05266210261454775</v>
      </c>
      <c r="H179" s="219"/>
      <c r="I179" s="219">
        <f>+G179*D179</f>
        <v>2666.6508900928543</v>
      </c>
      <c r="J179" s="219"/>
      <c r="K179" s="303"/>
    </row>
    <row r="180" spans="1:11" ht="15.75">
      <c r="A180" s="249">
        <v>15</v>
      </c>
      <c r="B180" s="255" t="s">
        <v>490</v>
      </c>
      <c r="C180" s="219" t="s">
        <v>112</v>
      </c>
      <c r="D180" s="319"/>
      <c r="E180" s="219"/>
      <c r="F180" s="219"/>
      <c r="H180" s="219"/>
      <c r="K180" s="303"/>
    </row>
    <row r="181" spans="1:11" ht="15.75">
      <c r="A181" s="249">
        <v>16</v>
      </c>
      <c r="B181" s="255" t="s">
        <v>491</v>
      </c>
      <c r="C181" s="219" t="s">
        <v>488</v>
      </c>
      <c r="D181" s="260">
        <v>151999775</v>
      </c>
      <c r="E181" s="219"/>
      <c r="F181" s="219" t="s">
        <v>455</v>
      </c>
      <c r="G181" s="258">
        <f>+G90</f>
        <v>0.17915418086592447</v>
      </c>
      <c r="H181" s="219"/>
      <c r="I181" s="219">
        <f>+G181*D181</f>
        <v>27231395.181929823</v>
      </c>
      <c r="J181" s="219"/>
      <c r="K181" s="303"/>
    </row>
    <row r="182" spans="1:11" ht="15.75">
      <c r="A182" s="249">
        <v>17</v>
      </c>
      <c r="B182" s="255" t="s">
        <v>492</v>
      </c>
      <c r="C182" s="219" t="s">
        <v>488</v>
      </c>
      <c r="D182" s="260">
        <v>18964212</v>
      </c>
      <c r="E182" s="219"/>
      <c r="F182" s="256" t="str">
        <f>+F111</f>
        <v>NA</v>
      </c>
      <c r="G182" s="320" t="s">
        <v>429</v>
      </c>
      <c r="H182" s="219"/>
      <c r="I182" s="219">
        <v>0</v>
      </c>
      <c r="J182" s="219"/>
      <c r="K182" s="303"/>
    </row>
    <row r="183" spans="1:11" ht="15.75">
      <c r="A183" s="249">
        <v>18</v>
      </c>
      <c r="B183" s="255" t="s">
        <v>493</v>
      </c>
      <c r="C183" s="219" t="str">
        <f>+C182</f>
        <v>263.i</v>
      </c>
      <c r="D183" s="260">
        <v>116231</v>
      </c>
      <c r="E183" s="219"/>
      <c r="F183" s="219" t="str">
        <f>+F181</f>
        <v>GP</v>
      </c>
      <c r="G183" s="258">
        <f>+G181</f>
        <v>0.17915418086592447</v>
      </c>
      <c r="H183" s="219"/>
      <c r="I183" s="219">
        <f>+G183*D183</f>
        <v>20823.269596227266</v>
      </c>
      <c r="J183" s="219"/>
      <c r="K183" s="303"/>
    </row>
    <row r="184" spans="1:11" ht="16.5" thickBot="1">
      <c r="A184" s="249">
        <v>19</v>
      </c>
      <c r="B184" s="255" t="s">
        <v>494</v>
      </c>
      <c r="C184" s="219"/>
      <c r="D184" s="268">
        <v>0</v>
      </c>
      <c r="E184" s="219"/>
      <c r="F184" s="219" t="s">
        <v>455</v>
      </c>
      <c r="G184" s="258">
        <f>+G181</f>
        <v>0.17915418086592447</v>
      </c>
      <c r="H184" s="219"/>
      <c r="I184" s="261">
        <f>+G184*D184</f>
        <v>0</v>
      </c>
      <c r="J184" s="262"/>
      <c r="K184" s="303"/>
    </row>
    <row r="185" spans="1:11" ht="15.75">
      <c r="A185" s="249">
        <v>20</v>
      </c>
      <c r="B185" s="255" t="s">
        <v>495</v>
      </c>
      <c r="C185" s="219"/>
      <c r="D185" s="304">
        <f>SUM(D178:D184)</f>
        <v>205762951</v>
      </c>
      <c r="E185" s="219"/>
      <c r="F185" s="219"/>
      <c r="G185" s="258"/>
      <c r="H185" s="219"/>
      <c r="I185" s="219">
        <f>SUM(I178:I184)</f>
        <v>29078684.09572501</v>
      </c>
      <c r="J185" s="219"/>
      <c r="K185" s="256"/>
    </row>
    <row r="186" spans="1:11" ht="15.75">
      <c r="A186" s="249"/>
      <c r="B186" s="255"/>
      <c r="C186" s="219"/>
      <c r="D186" s="219"/>
      <c r="E186" s="219"/>
      <c r="F186" s="219"/>
      <c r="G186" s="258"/>
      <c r="H186" s="219"/>
      <c r="I186" s="219"/>
      <c r="J186" s="219"/>
      <c r="K186" s="256"/>
    </row>
    <row r="187" spans="1:8" ht="15.75">
      <c r="A187" s="249" t="s">
        <v>112</v>
      </c>
      <c r="B187" s="255" t="s">
        <v>496</v>
      </c>
      <c r="C187" s="219" t="s">
        <v>497</v>
      </c>
      <c r="D187" s="219"/>
      <c r="E187" s="219"/>
      <c r="G187" s="321"/>
      <c r="H187" s="219"/>
    </row>
    <row r="188" spans="1:8" ht="15.75">
      <c r="A188" s="249">
        <v>21</v>
      </c>
      <c r="B188" s="322" t="s">
        <v>498</v>
      </c>
      <c r="C188" s="219"/>
      <c r="D188" s="323">
        <f>IF(D327&gt;0,1-(((1-D328)*(1-D327))/(1-D328*D327*D329)),0)</f>
        <v>0.409007</v>
      </c>
      <c r="E188" s="219"/>
      <c r="G188" s="321"/>
      <c r="H188" s="219"/>
    </row>
    <row r="189" spans="1:8" ht="15.75">
      <c r="A189" s="249">
        <v>22</v>
      </c>
      <c r="B189" s="239" t="s">
        <v>499</v>
      </c>
      <c r="C189" s="219"/>
      <c r="D189" s="323">
        <f>IF(I275&gt;0,(D188/(1-D188))*(1-I272/I275),0)</f>
        <v>0.4970144699949104</v>
      </c>
      <c r="E189" s="219"/>
      <c r="G189" s="321"/>
      <c r="H189" s="219"/>
    </row>
    <row r="190" spans="1:8" ht="15.75">
      <c r="A190" s="249"/>
      <c r="B190" s="255" t="s">
        <v>500</v>
      </c>
      <c r="C190" s="219"/>
      <c r="D190" s="219"/>
      <c r="E190" s="219"/>
      <c r="G190" s="321"/>
      <c r="H190" s="219"/>
    </row>
    <row r="191" spans="1:8" ht="15.75">
      <c r="A191" s="249"/>
      <c r="B191" s="255" t="s">
        <v>501</v>
      </c>
      <c r="C191" s="219"/>
      <c r="D191" s="219"/>
      <c r="E191" s="219"/>
      <c r="G191" s="321"/>
      <c r="H191" s="219"/>
    </row>
    <row r="192" spans="1:8" ht="15.75">
      <c r="A192" s="249">
        <v>23</v>
      </c>
      <c r="B192" s="322" t="s">
        <v>502</v>
      </c>
      <c r="C192" s="219"/>
      <c r="D192" s="324">
        <f>IF(D188&gt;0,1/(1-D188),0)</f>
        <v>1.6920674187342322</v>
      </c>
      <c r="E192" s="219"/>
      <c r="G192" s="321"/>
      <c r="H192" s="219"/>
    </row>
    <row r="193" spans="1:8" ht="15.75">
      <c r="A193" s="249">
        <v>24</v>
      </c>
      <c r="B193" s="255" t="s">
        <v>503</v>
      </c>
      <c r="C193" s="219"/>
      <c r="D193" s="260">
        <v>-2954603</v>
      </c>
      <c r="E193" s="219"/>
      <c r="G193" s="321"/>
      <c r="H193" s="219"/>
    </row>
    <row r="194" spans="1:8" ht="15.75">
      <c r="A194" s="249"/>
      <c r="B194" s="255"/>
      <c r="C194" s="219"/>
      <c r="D194" s="219"/>
      <c r="E194" s="219"/>
      <c r="G194" s="321"/>
      <c r="H194" s="219"/>
    </row>
    <row r="195" spans="1:11" ht="15.75">
      <c r="A195" s="249">
        <v>25</v>
      </c>
      <c r="B195" s="322" t="s">
        <v>504</v>
      </c>
      <c r="C195" s="325"/>
      <c r="D195" s="219">
        <f>D189*D199</f>
        <v>297028290.0147937</v>
      </c>
      <c r="E195" s="219"/>
      <c r="F195" s="219" t="s">
        <v>396</v>
      </c>
      <c r="G195" s="258"/>
      <c r="H195" s="219"/>
      <c r="I195" s="219">
        <f>D189*I199</f>
        <v>67116061.59229632</v>
      </c>
      <c r="J195" s="219"/>
      <c r="K195" s="326" t="s">
        <v>112</v>
      </c>
    </row>
    <row r="196" spans="1:11" ht="16.5" thickBot="1">
      <c r="A196" s="249">
        <v>26</v>
      </c>
      <c r="B196" s="239" t="s">
        <v>505</v>
      </c>
      <c r="C196" s="325"/>
      <c r="D196" s="261">
        <f>D192*D193</f>
        <v>-4999387.471594418</v>
      </c>
      <c r="E196" s="219"/>
      <c r="F196" s="239" t="s">
        <v>432</v>
      </c>
      <c r="G196" s="258">
        <f>G106</f>
        <v>0.21279393185439743</v>
      </c>
      <c r="H196" s="219"/>
      <c r="I196" s="261">
        <f>G196*D196</f>
        <v>-1063839.316944191</v>
      </c>
      <c r="J196" s="262"/>
      <c r="K196" s="326"/>
    </row>
    <row r="197" spans="1:11" ht="15.75">
      <c r="A197" s="249">
        <v>27</v>
      </c>
      <c r="B197" s="327" t="s">
        <v>506</v>
      </c>
      <c r="C197" s="239" t="s">
        <v>507</v>
      </c>
      <c r="D197" s="328">
        <f>+D195+D196</f>
        <v>292028902.5431993</v>
      </c>
      <c r="E197" s="219"/>
      <c r="F197" s="219" t="s">
        <v>112</v>
      </c>
      <c r="G197" s="258" t="s">
        <v>112</v>
      </c>
      <c r="H197" s="219"/>
      <c r="I197" s="328">
        <f>+I195+I196</f>
        <v>66052222.27535213</v>
      </c>
      <c r="J197" s="328"/>
      <c r="K197" s="256"/>
    </row>
    <row r="198" spans="1:11" ht="15.75">
      <c r="A198" s="249" t="s">
        <v>112</v>
      </c>
      <c r="C198" s="329"/>
      <c r="D198" s="219"/>
      <c r="E198" s="219"/>
      <c r="F198" s="219"/>
      <c r="G198" s="258"/>
      <c r="H198" s="219"/>
      <c r="I198" s="219"/>
      <c r="J198" s="219"/>
      <c r="K198" s="256"/>
    </row>
    <row r="199" spans="1:10" ht="15.75">
      <c r="A199" s="249">
        <v>28</v>
      </c>
      <c r="B199" s="255" t="s">
        <v>508</v>
      </c>
      <c r="C199" s="302"/>
      <c r="D199" s="219">
        <f>+$I275*D128</f>
        <v>597625034.9770206</v>
      </c>
      <c r="E199" s="219"/>
      <c r="F199" s="219" t="s">
        <v>396</v>
      </c>
      <c r="G199" s="321"/>
      <c r="H199" s="219"/>
      <c r="I199" s="219">
        <f>+$I275*I128</f>
        <v>135038445.84843498</v>
      </c>
      <c r="J199" s="219"/>
    </row>
    <row r="200" spans="1:11" ht="15.75">
      <c r="A200" s="249"/>
      <c r="B200" s="327" t="s">
        <v>509</v>
      </c>
      <c r="D200" s="219"/>
      <c r="E200" s="219"/>
      <c r="F200" s="219"/>
      <c r="G200" s="321"/>
      <c r="H200" s="219"/>
      <c r="I200" s="219"/>
      <c r="J200" s="219"/>
      <c r="K200" s="303"/>
    </row>
    <row r="201" spans="1:11" ht="16.5" thickBot="1">
      <c r="A201" s="249"/>
      <c r="B201" s="255"/>
      <c r="D201" s="261"/>
      <c r="E201" s="219"/>
      <c r="F201" s="219"/>
      <c r="G201" s="321"/>
      <c r="H201" s="219"/>
      <c r="I201" s="261"/>
      <c r="J201" s="262"/>
      <c r="K201" s="303"/>
    </row>
    <row r="202" spans="1:11" ht="15.75">
      <c r="A202" s="249">
        <v>29</v>
      </c>
      <c r="B202" s="255" t="s">
        <v>510</v>
      </c>
      <c r="C202" s="219"/>
      <c r="D202" s="304">
        <f>+D199+D197+D185+D174+D166</f>
        <v>1522022566.5202198</v>
      </c>
      <c r="E202" s="219"/>
      <c r="F202" s="219"/>
      <c r="G202" s="219"/>
      <c r="H202" s="219"/>
      <c r="I202" s="262">
        <f>+I199+I197+I185+I174+I166</f>
        <v>350865564.34383434</v>
      </c>
      <c r="J202" s="262"/>
      <c r="K202" s="245"/>
    </row>
    <row r="203" spans="1:11" ht="15.75">
      <c r="A203" s="249"/>
      <c r="B203" s="255"/>
      <c r="C203" s="219"/>
      <c r="D203" s="262"/>
      <c r="E203" s="219"/>
      <c r="F203" s="219"/>
      <c r="G203" s="219"/>
      <c r="H203" s="219"/>
      <c r="I203" s="262"/>
      <c r="J203" s="262"/>
      <c r="K203" s="245"/>
    </row>
    <row r="204" spans="1:11" ht="15.75">
      <c r="A204" s="249">
        <v>30</v>
      </c>
      <c r="B204" s="255" t="s">
        <v>511</v>
      </c>
      <c r="C204" s="219"/>
      <c r="J204" s="262"/>
      <c r="K204" s="245"/>
    </row>
    <row r="205" spans="1:11" ht="15.75">
      <c r="A205" s="249"/>
      <c r="B205" s="255" t="s">
        <v>512</v>
      </c>
      <c r="C205" s="219"/>
      <c r="D205" s="262"/>
      <c r="E205" s="219"/>
      <c r="F205" s="219"/>
      <c r="G205" s="219"/>
      <c r="H205" s="219"/>
      <c r="I205" s="262"/>
      <c r="J205" s="262"/>
      <c r="K205" s="245"/>
    </row>
    <row r="206" spans="1:11" ht="15.75">
      <c r="A206" s="249"/>
      <c r="B206" s="255" t="s">
        <v>513</v>
      </c>
      <c r="C206" s="219"/>
      <c r="D206" s="266">
        <v>20935696.97407058</v>
      </c>
      <c r="E206" s="219"/>
      <c r="F206" s="219"/>
      <c r="G206" s="219"/>
      <c r="H206" s="219"/>
      <c r="I206" s="266">
        <f>D206</f>
        <v>20935696.97407058</v>
      </c>
      <c r="J206" s="262"/>
      <c r="K206" s="245"/>
    </row>
    <row r="207" spans="1:11" ht="15.75">
      <c r="A207" s="249"/>
      <c r="B207" s="255"/>
      <c r="C207" s="219"/>
      <c r="D207" s="262"/>
      <c r="E207" s="219"/>
      <c r="F207" s="219"/>
      <c r="G207" s="219"/>
      <c r="H207" s="219"/>
      <c r="I207" s="262"/>
      <c r="J207" s="262"/>
      <c r="K207" s="245"/>
    </row>
    <row r="208" spans="1:11" ht="15.75">
      <c r="A208" s="249" t="s">
        <v>514</v>
      </c>
      <c r="B208" s="255" t="s">
        <v>515</v>
      </c>
      <c r="C208" s="219"/>
      <c r="K208" s="245"/>
    </row>
    <row r="209" spans="1:11" ht="15.75">
      <c r="A209" s="249"/>
      <c r="B209" s="255" t="s">
        <v>512</v>
      </c>
      <c r="C209" s="219"/>
      <c r="D209" s="262"/>
      <c r="E209" s="219"/>
      <c r="F209" s="219"/>
      <c r="G209" s="219"/>
      <c r="H209" s="219"/>
      <c r="I209" s="262"/>
      <c r="J209" s="262"/>
      <c r="K209" s="245"/>
    </row>
    <row r="210" spans="1:11" ht="16.5" thickBot="1">
      <c r="A210" s="249"/>
      <c r="B210" s="255" t="s">
        <v>516</v>
      </c>
      <c r="C210" s="219"/>
      <c r="D210" s="268">
        <v>8920845</v>
      </c>
      <c r="E210" s="219"/>
      <c r="F210" s="219"/>
      <c r="G210" s="219"/>
      <c r="H210" s="219"/>
      <c r="I210" s="268">
        <f>D210</f>
        <v>8920845</v>
      </c>
      <c r="J210" s="267"/>
      <c r="K210" s="245"/>
    </row>
    <row r="211" spans="1:11" ht="16.5" thickBot="1">
      <c r="A211" s="249">
        <v>31</v>
      </c>
      <c r="B211" s="255" t="s">
        <v>517</v>
      </c>
      <c r="C211" s="219"/>
      <c r="D211" s="330">
        <f>+D202-D206-D210</f>
        <v>1492166024.5461493</v>
      </c>
      <c r="E211" s="219"/>
      <c r="F211" s="219"/>
      <c r="G211" s="219"/>
      <c r="H211" s="219"/>
      <c r="I211" s="330">
        <f>+I202-I206-I210</f>
        <v>321009022.36976373</v>
      </c>
      <c r="J211" s="262"/>
      <c r="K211" s="245"/>
    </row>
    <row r="212" spans="1:11" ht="16.5" thickTop="1">
      <c r="A212" s="249"/>
      <c r="B212" s="255" t="s">
        <v>518</v>
      </c>
      <c r="C212" s="219"/>
      <c r="D212" s="262"/>
      <c r="E212" s="219"/>
      <c r="F212" s="219"/>
      <c r="G212" s="219"/>
      <c r="H212" s="219"/>
      <c r="I212" s="262"/>
      <c r="J212" s="262"/>
      <c r="K212" s="245"/>
    </row>
    <row r="213" spans="1:11" ht="15.75">
      <c r="A213" s="249"/>
      <c r="B213" s="255"/>
      <c r="C213" s="219"/>
      <c r="D213" s="262"/>
      <c r="E213" s="219"/>
      <c r="F213" s="219"/>
      <c r="G213" s="219"/>
      <c r="H213" s="219"/>
      <c r="I213" s="262"/>
      <c r="J213" s="262"/>
      <c r="K213" s="245"/>
    </row>
    <row r="214" spans="1:11" ht="15.75">
      <c r="A214" s="249"/>
      <c r="B214" s="255"/>
      <c r="C214" s="219"/>
      <c r="D214" s="262"/>
      <c r="E214" s="219"/>
      <c r="F214" s="219"/>
      <c r="G214" s="219"/>
      <c r="H214" s="219"/>
      <c r="I214" s="262"/>
      <c r="J214" s="262"/>
      <c r="K214" s="245"/>
    </row>
    <row r="215" spans="1:11" ht="15.75">
      <c r="A215" s="249"/>
      <c r="B215" s="255"/>
      <c r="C215" s="219"/>
      <c r="D215" s="262"/>
      <c r="E215" s="219"/>
      <c r="F215" s="219"/>
      <c r="G215" s="219"/>
      <c r="H215" s="219"/>
      <c r="I215" s="262"/>
      <c r="J215" s="262"/>
      <c r="K215" s="245"/>
    </row>
    <row r="216" spans="1:11" ht="15.75">
      <c r="A216" s="249"/>
      <c r="B216" s="255"/>
      <c r="C216" s="219"/>
      <c r="D216" s="262"/>
      <c r="E216" s="219"/>
      <c r="F216" s="219"/>
      <c r="G216" s="219"/>
      <c r="H216" s="219"/>
      <c r="I216" s="262"/>
      <c r="J216" s="262"/>
      <c r="K216" s="245"/>
    </row>
    <row r="217" spans="1:11" ht="15.75">
      <c r="A217" s="249"/>
      <c r="B217" s="255"/>
      <c r="C217" s="219"/>
      <c r="D217" s="262"/>
      <c r="E217" s="219"/>
      <c r="F217" s="219"/>
      <c r="G217" s="219"/>
      <c r="H217" s="219"/>
      <c r="I217" s="262"/>
      <c r="J217" s="262"/>
      <c r="K217" s="245"/>
    </row>
    <row r="218" spans="1:11" ht="15.75">
      <c r="A218" s="249"/>
      <c r="B218" s="255"/>
      <c r="C218" s="219"/>
      <c r="D218" s="262"/>
      <c r="E218" s="219"/>
      <c r="F218" s="219"/>
      <c r="G218" s="219"/>
      <c r="H218" s="219"/>
      <c r="I218" s="262"/>
      <c r="J218" s="262"/>
      <c r="K218" s="245"/>
    </row>
    <row r="219" spans="1:11" ht="15.75">
      <c r="A219" s="249"/>
      <c r="B219" s="255"/>
      <c r="C219" s="219"/>
      <c r="D219" s="262"/>
      <c r="E219" s="219"/>
      <c r="F219" s="219"/>
      <c r="G219" s="219"/>
      <c r="H219" s="219"/>
      <c r="I219" s="262"/>
      <c r="J219" s="262"/>
      <c r="K219" s="245"/>
    </row>
    <row r="220" spans="1:11" ht="15.75">
      <c r="A220" s="249"/>
      <c r="B220" s="255"/>
      <c r="C220" s="219"/>
      <c r="D220" s="262"/>
      <c r="E220" s="219"/>
      <c r="F220" s="219"/>
      <c r="G220" s="219"/>
      <c r="H220" s="219"/>
      <c r="I220" s="262"/>
      <c r="J220" s="262"/>
      <c r="K220" s="245"/>
    </row>
    <row r="221" spans="2:11" ht="15.75">
      <c r="B221" s="240"/>
      <c r="C221" s="240"/>
      <c r="D221" s="241"/>
      <c r="E221" s="240"/>
      <c r="F221" s="240"/>
      <c r="G221" s="240"/>
      <c r="H221" s="242"/>
      <c r="I221" s="243"/>
      <c r="J221" s="243"/>
      <c r="K221" s="244" t="s">
        <v>519</v>
      </c>
    </row>
    <row r="222" spans="2:11" ht="15.75">
      <c r="B222" s="240" t="s">
        <v>319</v>
      </c>
      <c r="C222" s="240"/>
      <c r="D222" s="241" t="s">
        <v>320</v>
      </c>
      <c r="E222" s="240"/>
      <c r="F222" s="240"/>
      <c r="G222" s="240"/>
      <c r="H222" s="242"/>
      <c r="K222" s="243" t="str">
        <f>K3</f>
        <v>For the 12 months ended 12/31/12</v>
      </c>
    </row>
    <row r="223" spans="2:11" ht="15.75">
      <c r="B223" s="240"/>
      <c r="C223" s="240"/>
      <c r="D223" s="219" t="s">
        <v>322</v>
      </c>
      <c r="E223" s="240"/>
      <c r="F223" s="240"/>
      <c r="G223" s="240"/>
      <c r="H223" s="242"/>
      <c r="I223" s="242"/>
      <c r="J223" s="242"/>
      <c r="K223" s="288"/>
    </row>
    <row r="224" spans="2:11" ht="11.25" customHeight="1">
      <c r="B224" s="240"/>
      <c r="C224" s="240"/>
      <c r="D224" s="219"/>
      <c r="E224" s="240"/>
      <c r="F224" s="240"/>
      <c r="G224" s="240"/>
      <c r="H224" s="242"/>
      <c r="I224" s="242"/>
      <c r="J224" s="242"/>
      <c r="K224" s="288"/>
    </row>
    <row r="225" spans="1:11" ht="15.75">
      <c r="A225" s="313" t="str">
        <f>A6</f>
        <v>Northern States Power Companies (Rev 1)</v>
      </c>
      <c r="B225" s="313"/>
      <c r="C225" s="313"/>
      <c r="D225" s="313"/>
      <c r="E225" s="313"/>
      <c r="F225" s="313"/>
      <c r="G225" s="313"/>
      <c r="H225" s="313"/>
      <c r="I225" s="313"/>
      <c r="J225" s="313"/>
      <c r="K225" s="313"/>
    </row>
    <row r="226" spans="2:11" ht="15.75">
      <c r="B226" s="240"/>
      <c r="C226" s="240"/>
      <c r="D226" s="246"/>
      <c r="E226" s="308"/>
      <c r="F226" s="308"/>
      <c r="G226" s="308"/>
      <c r="H226" s="242"/>
      <c r="I226" s="242"/>
      <c r="J226" s="242"/>
      <c r="K226" s="245"/>
    </row>
    <row r="227" spans="1:11" ht="15.75">
      <c r="A227" s="249" t="s">
        <v>153</v>
      </c>
      <c r="B227" s="240"/>
      <c r="C227" s="299" t="s">
        <v>520</v>
      </c>
      <c r="E227" s="219"/>
      <c r="F227" s="219"/>
      <c r="G227" s="219"/>
      <c r="H227" s="242"/>
      <c r="I227" s="242"/>
      <c r="J227" s="242"/>
      <c r="K227" s="245"/>
    </row>
    <row r="228" spans="1:11" ht="16.5" thickBot="1">
      <c r="A228" s="251" t="s">
        <v>129</v>
      </c>
      <c r="B228" s="308" t="s">
        <v>521</v>
      </c>
      <c r="C228" s="245"/>
      <c r="D228" s="245"/>
      <c r="E228" s="245"/>
      <c r="F228" s="245"/>
      <c r="G228" s="245"/>
      <c r="H228" s="246"/>
      <c r="I228" s="246"/>
      <c r="J228" s="246"/>
      <c r="K228" s="256"/>
    </row>
    <row r="229" spans="1:11" ht="15.75">
      <c r="A229" s="249">
        <v>1</v>
      </c>
      <c r="B229" s="273" t="s">
        <v>522</v>
      </c>
      <c r="C229" s="245"/>
      <c r="D229" s="256"/>
      <c r="E229" s="256"/>
      <c r="F229" s="256"/>
      <c r="G229" s="256"/>
      <c r="H229" s="256"/>
      <c r="I229" s="256">
        <f>D86</f>
        <v>2580347070.847885</v>
      </c>
      <c r="J229" s="256"/>
      <c r="K229" s="256"/>
    </row>
    <row r="230" spans="1:11" ht="15.75">
      <c r="A230" s="249">
        <v>2</v>
      </c>
      <c r="B230" s="273" t="s">
        <v>523</v>
      </c>
      <c r="C230" s="246"/>
      <c r="D230" s="331"/>
      <c r="E230" s="246"/>
      <c r="F230" s="246"/>
      <c r="G230" s="246"/>
      <c r="H230" s="246"/>
      <c r="I230" s="260">
        <v>0</v>
      </c>
      <c r="J230" s="256"/>
      <c r="K230" s="256"/>
    </row>
    <row r="231" spans="1:11" ht="16.5" thickBot="1">
      <c r="A231" s="249">
        <v>3</v>
      </c>
      <c r="B231" s="332" t="s">
        <v>524</v>
      </c>
      <c r="C231" s="333"/>
      <c r="D231" s="267"/>
      <c r="E231" s="256"/>
      <c r="F231" s="256"/>
      <c r="G231" s="334"/>
      <c r="H231" s="256"/>
      <c r="I231" s="260">
        <v>81112614</v>
      </c>
      <c r="J231" s="256"/>
      <c r="K231" s="256"/>
    </row>
    <row r="232" spans="1:11" ht="15.75">
      <c r="A232" s="249">
        <v>4</v>
      </c>
      <c r="B232" s="273" t="s">
        <v>525</v>
      </c>
      <c r="C232" s="245"/>
      <c r="D232" s="267"/>
      <c r="E232" s="256"/>
      <c r="F232" s="256"/>
      <c r="G232" s="334"/>
      <c r="H232" s="256"/>
      <c r="I232" s="335">
        <f>I229-I230-I231</f>
        <v>2499234456.847885</v>
      </c>
      <c r="J232" s="267"/>
      <c r="K232" s="256"/>
    </row>
    <row r="233" spans="1:11" ht="11.25" customHeight="1">
      <c r="A233" s="249"/>
      <c r="B233" s="246"/>
      <c r="C233" s="245"/>
      <c r="D233" s="267"/>
      <c r="E233" s="256"/>
      <c r="F233" s="256"/>
      <c r="G233" s="334"/>
      <c r="H233" s="256"/>
      <c r="I233" s="246"/>
      <c r="J233" s="246"/>
      <c r="K233" s="256"/>
    </row>
    <row r="234" spans="1:11" ht="15.75">
      <c r="A234" s="249">
        <v>5</v>
      </c>
      <c r="B234" s="273" t="s">
        <v>526</v>
      </c>
      <c r="C234" s="336"/>
      <c r="D234" s="337"/>
      <c r="E234" s="338"/>
      <c r="F234" s="338"/>
      <c r="G234" s="339"/>
      <c r="H234" s="256" t="s">
        <v>527</v>
      </c>
      <c r="I234" s="306">
        <f>IF(I229&gt;0,I232/I229,0)</f>
        <v>0.9685652310433779</v>
      </c>
      <c r="J234" s="306"/>
      <c r="K234" s="256"/>
    </row>
    <row r="235" spans="1:11" ht="11.25" customHeight="1">
      <c r="A235" s="249"/>
      <c r="B235" s="246"/>
      <c r="C235" s="246"/>
      <c r="D235" s="331"/>
      <c r="E235" s="246"/>
      <c r="F235" s="246"/>
      <c r="G235" s="246"/>
      <c r="H235" s="246"/>
      <c r="I235" s="246"/>
      <c r="J235" s="246"/>
      <c r="K235" s="256"/>
    </row>
    <row r="236" spans="1:11" ht="15.75">
      <c r="A236" s="249"/>
      <c r="B236" s="272" t="s">
        <v>528</v>
      </c>
      <c r="C236" s="246"/>
      <c r="D236" s="331"/>
      <c r="E236" s="246"/>
      <c r="F236" s="246"/>
      <c r="G236" s="246"/>
      <c r="H236" s="246"/>
      <c r="I236" s="246"/>
      <c r="J236" s="246"/>
      <c r="K236" s="256"/>
    </row>
    <row r="237" spans="1:11" ht="15.75">
      <c r="A237" s="249"/>
      <c r="B237" s="246"/>
      <c r="C237" s="246"/>
      <c r="D237" s="331"/>
      <c r="E237" s="246"/>
      <c r="F237" s="246"/>
      <c r="G237" s="246"/>
      <c r="H237" s="246"/>
      <c r="I237" s="246"/>
      <c r="J237" s="246"/>
      <c r="K237" s="256"/>
    </row>
    <row r="238" spans="1:11" ht="15.75">
      <c r="A238" s="249">
        <v>6</v>
      </c>
      <c r="B238" s="246" t="s">
        <v>529</v>
      </c>
      <c r="C238" s="246"/>
      <c r="D238" s="340"/>
      <c r="E238" s="245"/>
      <c r="F238" s="245"/>
      <c r="G238" s="293"/>
      <c r="H238" s="245"/>
      <c r="I238" s="256">
        <f>D157</f>
        <v>164181353</v>
      </c>
      <c r="J238" s="256"/>
      <c r="K238" s="256"/>
    </row>
    <row r="239" spans="1:11" ht="16.5" thickBot="1">
      <c r="A239" s="249">
        <v>7</v>
      </c>
      <c r="B239" s="332" t="s">
        <v>530</v>
      </c>
      <c r="C239" s="333"/>
      <c r="D239" s="267"/>
      <c r="E239" s="267"/>
      <c r="F239" s="256"/>
      <c r="G239" s="256"/>
      <c r="H239" s="256"/>
      <c r="I239" s="260">
        <v>6548586</v>
      </c>
      <c r="J239" s="256"/>
      <c r="K239" s="256"/>
    </row>
    <row r="240" spans="1:11" ht="15.75">
      <c r="A240" s="249">
        <v>8</v>
      </c>
      <c r="B240" s="273" t="s">
        <v>531</v>
      </c>
      <c r="C240" s="336"/>
      <c r="D240" s="337"/>
      <c r="E240" s="338"/>
      <c r="F240" s="338"/>
      <c r="G240" s="339"/>
      <c r="H240" s="338"/>
      <c r="I240" s="335">
        <f>+I238-I239</f>
        <v>157632767</v>
      </c>
      <c r="J240" s="267"/>
      <c r="K240" s="256"/>
    </row>
    <row r="241" spans="1:10" ht="15.75">
      <c r="A241" s="249"/>
      <c r="B241" s="273"/>
      <c r="C241" s="245"/>
      <c r="D241" s="256"/>
      <c r="E241" s="256"/>
      <c r="F241" s="256"/>
      <c r="G241" s="256"/>
      <c r="H241" s="246"/>
      <c r="I241" s="246"/>
      <c r="J241" s="246"/>
    </row>
    <row r="242" spans="1:10" ht="15.75">
      <c r="A242" s="249">
        <v>9</v>
      </c>
      <c r="B242" s="273" t="s">
        <v>532</v>
      </c>
      <c r="C242" s="245"/>
      <c r="D242" s="256"/>
      <c r="E242" s="256"/>
      <c r="F242" s="256"/>
      <c r="G242" s="256"/>
      <c r="H242" s="256"/>
      <c r="I242" s="307">
        <f>IF(I238&gt;0,I240/I238,0)</f>
        <v>0.9601137042645762</v>
      </c>
      <c r="J242" s="307"/>
    </row>
    <row r="243" spans="1:10" ht="15.75">
      <c r="A243" s="249">
        <v>10</v>
      </c>
      <c r="B243" s="273" t="s">
        <v>533</v>
      </c>
      <c r="C243" s="245"/>
      <c r="D243" s="256"/>
      <c r="E243" s="256"/>
      <c r="F243" s="256"/>
      <c r="G243" s="256"/>
      <c r="H243" s="245" t="s">
        <v>332</v>
      </c>
      <c r="I243" s="341">
        <f>I234</f>
        <v>0.9685652310433779</v>
      </c>
      <c r="J243" s="341"/>
    </row>
    <row r="244" spans="1:10" ht="15.75">
      <c r="A244" s="249">
        <v>11</v>
      </c>
      <c r="B244" s="273" t="s">
        <v>534</v>
      </c>
      <c r="C244" s="245"/>
      <c r="D244" s="245"/>
      <c r="E244" s="245"/>
      <c r="F244" s="245"/>
      <c r="G244" s="245"/>
      <c r="H244" s="245" t="s">
        <v>535</v>
      </c>
      <c r="I244" s="342">
        <f>+I243*I242</f>
        <v>0.9299327517989326</v>
      </c>
      <c r="J244" s="342"/>
    </row>
    <row r="245" spans="1:8" ht="15.75">
      <c r="A245" s="249"/>
      <c r="C245" s="247"/>
      <c r="D245" s="219"/>
      <c r="E245" s="219"/>
      <c r="F245" s="219"/>
      <c r="G245" s="309"/>
      <c r="H245" s="219"/>
    </row>
    <row r="246" spans="1:10" ht="15.75">
      <c r="A246" s="249" t="s">
        <v>112</v>
      </c>
      <c r="B246" s="255" t="s">
        <v>536</v>
      </c>
      <c r="C246" s="219"/>
      <c r="D246" s="219"/>
      <c r="E246" s="219"/>
      <c r="F246" s="219"/>
      <c r="G246" s="219"/>
      <c r="H246" s="219"/>
      <c r="I246" s="219"/>
      <c r="J246" s="219"/>
    </row>
    <row r="247" spans="1:11" ht="16.5" thickBot="1">
      <c r="A247" s="249" t="s">
        <v>112</v>
      </c>
      <c r="B247" s="255"/>
      <c r="C247" s="261" t="s">
        <v>537</v>
      </c>
      <c r="D247" s="343" t="s">
        <v>538</v>
      </c>
      <c r="E247" s="343" t="s">
        <v>332</v>
      </c>
      <c r="F247" s="219"/>
      <c r="G247" s="343" t="s">
        <v>539</v>
      </c>
      <c r="H247" s="219"/>
      <c r="I247" s="219"/>
      <c r="J247" s="219"/>
      <c r="K247" s="256"/>
    </row>
    <row r="248" spans="1:11" ht="15.75">
      <c r="A248" s="249">
        <v>12</v>
      </c>
      <c r="B248" s="255" t="s">
        <v>394</v>
      </c>
      <c r="C248" s="219" t="s">
        <v>540</v>
      </c>
      <c r="D248" s="260">
        <v>283250521</v>
      </c>
      <c r="E248" s="344">
        <v>0</v>
      </c>
      <c r="F248" s="344"/>
      <c r="G248" s="219">
        <f>D248*E248</f>
        <v>0</v>
      </c>
      <c r="H248" s="219"/>
      <c r="I248" s="219"/>
      <c r="J248" s="219"/>
      <c r="K248" s="256"/>
    </row>
    <row r="249" spans="1:11" ht="15.75">
      <c r="A249" s="249">
        <v>13</v>
      </c>
      <c r="B249" s="255" t="s">
        <v>397</v>
      </c>
      <c r="C249" s="219" t="s">
        <v>541</v>
      </c>
      <c r="D249" s="260">
        <v>21174689</v>
      </c>
      <c r="E249" s="344">
        <f>+I234</f>
        <v>0.9685652310433779</v>
      </c>
      <c r="F249" s="344"/>
      <c r="G249" s="219">
        <f>D249*E249</f>
        <v>20509067.54355667</v>
      </c>
      <c r="H249" s="219"/>
      <c r="I249" s="219"/>
      <c r="J249" s="219"/>
      <c r="K249" s="256"/>
    </row>
    <row r="250" spans="1:11" ht="15.75">
      <c r="A250" s="249">
        <v>14</v>
      </c>
      <c r="B250" s="255" t="s">
        <v>399</v>
      </c>
      <c r="C250" s="219" t="s">
        <v>542</v>
      </c>
      <c r="D250" s="260">
        <v>64547963</v>
      </c>
      <c r="E250" s="344">
        <v>0</v>
      </c>
      <c r="F250" s="344"/>
      <c r="G250" s="219">
        <f>D250*E250</f>
        <v>0</v>
      </c>
      <c r="H250" s="219"/>
      <c r="I250" s="345" t="s">
        <v>543</v>
      </c>
      <c r="J250" s="345"/>
      <c r="K250" s="256"/>
    </row>
    <row r="251" spans="1:11" ht="16.5" thickBot="1">
      <c r="A251" s="249">
        <v>15</v>
      </c>
      <c r="B251" s="255" t="s">
        <v>544</v>
      </c>
      <c r="C251" s="219" t="s">
        <v>545</v>
      </c>
      <c r="D251" s="260">
        <v>20473251</v>
      </c>
      <c r="E251" s="344">
        <v>0</v>
      </c>
      <c r="F251" s="344"/>
      <c r="G251" s="261">
        <f>D251*E251</f>
        <v>0</v>
      </c>
      <c r="H251" s="219"/>
      <c r="I251" s="251" t="s">
        <v>546</v>
      </c>
      <c r="J251" s="252"/>
      <c r="K251" s="256"/>
    </row>
    <row r="252" spans="1:11" ht="15.75">
      <c r="A252" s="249">
        <v>16</v>
      </c>
      <c r="B252" s="255" t="s">
        <v>547</v>
      </c>
      <c r="C252" s="219"/>
      <c r="D252" s="304">
        <f>SUM(D248:D251)</f>
        <v>389446424</v>
      </c>
      <c r="E252" s="219"/>
      <c r="F252" s="219"/>
      <c r="G252" s="219">
        <f>SUM(G248:G251)</f>
        <v>20509067.54355667</v>
      </c>
      <c r="H252" s="290" t="s">
        <v>548</v>
      </c>
      <c r="I252" s="301">
        <f>IF(G252&gt;0,G252/D252,0)</f>
        <v>0.05266210261454775</v>
      </c>
      <c r="J252" s="346" t="s">
        <v>549</v>
      </c>
      <c r="K252" s="256"/>
    </row>
    <row r="253" spans="1:9" ht="15.75">
      <c r="A253" s="249"/>
      <c r="B253" s="255"/>
      <c r="C253" s="219"/>
      <c r="D253" s="219"/>
      <c r="E253" s="219"/>
      <c r="F253" s="219"/>
      <c r="G253" s="219"/>
      <c r="H253" s="219"/>
      <c r="I253" s="219"/>
    </row>
    <row r="254" spans="1:11" ht="15.75">
      <c r="A254" s="249"/>
      <c r="B254" s="255" t="s">
        <v>550</v>
      </c>
      <c r="C254" s="219"/>
      <c r="D254" s="219"/>
      <c r="E254" s="219"/>
      <c r="F254" s="219"/>
      <c r="G254" s="219"/>
      <c r="H254" s="219"/>
      <c r="I254" s="219"/>
      <c r="J254" s="219"/>
      <c r="K254" s="256"/>
    </row>
    <row r="255" spans="1:11" ht="15.75">
      <c r="A255" s="249"/>
      <c r="B255" s="255"/>
      <c r="C255" s="219"/>
      <c r="D255" s="294" t="s">
        <v>538</v>
      </c>
      <c r="E255" s="219"/>
      <c r="F255" s="219"/>
      <c r="G255" s="309" t="s">
        <v>551</v>
      </c>
      <c r="H255" s="321" t="s">
        <v>112</v>
      </c>
      <c r="I255" s="302" t="str">
        <f>+I250</f>
        <v>W&amp;S Allocator</v>
      </c>
      <c r="J255" s="302"/>
      <c r="K255" s="256"/>
    </row>
    <row r="256" spans="1:11" ht="15.75">
      <c r="A256" s="249">
        <v>17</v>
      </c>
      <c r="B256" s="255" t="s">
        <v>552</v>
      </c>
      <c r="C256" s="219" t="s">
        <v>553</v>
      </c>
      <c r="D256" s="260">
        <v>12632516290</v>
      </c>
      <c r="E256" s="219"/>
      <c r="G256" s="249" t="s">
        <v>554</v>
      </c>
      <c r="H256" s="347"/>
      <c r="I256" s="249" t="s">
        <v>555</v>
      </c>
      <c r="J256" s="249"/>
      <c r="K256" s="293" t="s">
        <v>406</v>
      </c>
    </row>
    <row r="257" spans="1:11" ht="15.75">
      <c r="A257" s="249">
        <v>18</v>
      </c>
      <c r="B257" s="255" t="s">
        <v>556</v>
      </c>
      <c r="C257" s="219" t="s">
        <v>557</v>
      </c>
      <c r="D257" s="260">
        <v>1164163374</v>
      </c>
      <c r="E257" s="219"/>
      <c r="G257" s="258">
        <f>IF(D259&gt;0,D256/D259,0)</f>
        <v>0.9156200330549329</v>
      </c>
      <c r="H257" s="309" t="s">
        <v>239</v>
      </c>
      <c r="I257" s="258">
        <f>I252</f>
        <v>0.05266210261454775</v>
      </c>
      <c r="J257" s="348" t="s">
        <v>548</v>
      </c>
      <c r="K257" s="265">
        <f>I257*G257</f>
        <v>0.04821847613667448</v>
      </c>
    </row>
    <row r="258" spans="1:10" ht="16.5" thickBot="1">
      <c r="A258" s="249">
        <v>19</v>
      </c>
      <c r="B258" s="349" t="s">
        <v>558</v>
      </c>
      <c r="C258" s="261" t="s">
        <v>559</v>
      </c>
      <c r="D258" s="260">
        <v>0</v>
      </c>
      <c r="E258" s="219"/>
      <c r="F258" s="219"/>
      <c r="G258" s="219" t="s">
        <v>112</v>
      </c>
      <c r="H258" s="219"/>
      <c r="I258" s="350"/>
      <c r="J258" s="350"/>
    </row>
    <row r="259" spans="1:11" ht="15.75">
      <c r="A259" s="249">
        <v>20</v>
      </c>
      <c r="B259" s="255" t="s">
        <v>560</v>
      </c>
      <c r="C259" s="219"/>
      <c r="D259" s="304">
        <f>D256+D257+D258</f>
        <v>13796679664</v>
      </c>
      <c r="E259" s="219"/>
      <c r="F259" s="219"/>
      <c r="G259" s="219"/>
      <c r="H259" s="219"/>
      <c r="I259" s="219"/>
      <c r="J259" s="219"/>
      <c r="K259" s="256"/>
    </row>
    <row r="260" spans="1:11" ht="11.25" customHeight="1">
      <c r="A260" s="249"/>
      <c r="B260" s="255"/>
      <c r="C260" s="219"/>
      <c r="E260" s="219"/>
      <c r="F260" s="219"/>
      <c r="G260" s="219"/>
      <c r="H260" s="219"/>
      <c r="I260" s="219"/>
      <c r="J260" s="219"/>
      <c r="K260" s="256"/>
    </row>
    <row r="261" spans="1:11" ht="16.5" thickBot="1">
      <c r="A261" s="249"/>
      <c r="B261" s="240" t="s">
        <v>561</v>
      </c>
      <c r="C261" s="219"/>
      <c r="D261" s="219"/>
      <c r="E261" s="219"/>
      <c r="F261" s="219"/>
      <c r="G261" s="219"/>
      <c r="H261" s="219"/>
      <c r="I261" s="343" t="s">
        <v>538</v>
      </c>
      <c r="J261" s="351"/>
      <c r="K261" s="256"/>
    </row>
    <row r="262" spans="1:11" ht="15.75">
      <c r="A262" s="249">
        <v>21</v>
      </c>
      <c r="B262" s="242"/>
      <c r="C262" s="219" t="s">
        <v>562</v>
      </c>
      <c r="D262" s="219"/>
      <c r="E262" s="219"/>
      <c r="F262" s="219"/>
      <c r="G262" s="219"/>
      <c r="H262" s="219"/>
      <c r="I262" s="260">
        <v>221248258</v>
      </c>
      <c r="J262" s="256"/>
      <c r="K262" s="256"/>
    </row>
    <row r="263" spans="1:11" ht="11.25" customHeight="1">
      <c r="A263" s="249"/>
      <c r="B263" s="255"/>
      <c r="C263" s="219"/>
      <c r="D263" s="219"/>
      <c r="E263" s="219"/>
      <c r="F263" s="219"/>
      <c r="G263" s="219"/>
      <c r="H263" s="219"/>
      <c r="I263" s="219"/>
      <c r="J263" s="256"/>
      <c r="K263" s="256"/>
    </row>
    <row r="264" spans="1:11" ht="15.75">
      <c r="A264" s="249">
        <v>22</v>
      </c>
      <c r="B264" s="240"/>
      <c r="C264" s="219" t="s">
        <v>563</v>
      </c>
      <c r="D264" s="219"/>
      <c r="E264" s="219"/>
      <c r="F264" s="219"/>
      <c r="G264" s="219"/>
      <c r="H264" s="256"/>
      <c r="I264" s="352">
        <v>0</v>
      </c>
      <c r="J264" s="353"/>
      <c r="K264" s="256"/>
    </row>
    <row r="265" spans="1:11" ht="11.25" customHeight="1">
      <c r="A265" s="249"/>
      <c r="B265" s="240"/>
      <c r="C265" s="219"/>
      <c r="D265" s="219"/>
      <c r="E265" s="219"/>
      <c r="F265" s="219"/>
      <c r="G265" s="219"/>
      <c r="H265" s="219"/>
      <c r="I265" s="219"/>
      <c r="J265" s="256"/>
      <c r="K265" s="256"/>
    </row>
    <row r="266" spans="1:11" ht="15.75">
      <c r="A266" s="249"/>
      <c r="B266" s="240" t="s">
        <v>564</v>
      </c>
      <c r="C266" s="219"/>
      <c r="D266" s="219"/>
      <c r="E266" s="219"/>
      <c r="F266" s="219"/>
      <c r="G266" s="219"/>
      <c r="H266" s="219"/>
      <c r="I266" s="219"/>
      <c r="J266" s="256"/>
      <c r="K266" s="256"/>
    </row>
    <row r="267" spans="1:11" ht="15.75">
      <c r="A267" s="249">
        <v>23</v>
      </c>
      <c r="B267" s="240"/>
      <c r="C267" s="219" t="s">
        <v>565</v>
      </c>
      <c r="D267" s="242"/>
      <c r="E267" s="219"/>
      <c r="F267" s="219"/>
      <c r="G267" s="219"/>
      <c r="H267" s="219"/>
      <c r="I267" s="260">
        <v>4553475457</v>
      </c>
      <c r="J267" s="256"/>
      <c r="K267" s="256"/>
    </row>
    <row r="268" spans="1:11" ht="15.75">
      <c r="A268" s="249">
        <v>24</v>
      </c>
      <c r="B268" s="240"/>
      <c r="C268" s="219" t="s">
        <v>566</v>
      </c>
      <c r="D268" s="219"/>
      <c r="E268" s="219"/>
      <c r="F268" s="219"/>
      <c r="G268" s="219"/>
      <c r="H268" s="219"/>
      <c r="I268" s="354">
        <v>0</v>
      </c>
      <c r="J268" s="354"/>
      <c r="K268" s="256"/>
    </row>
    <row r="269" spans="1:11" ht="16.5" thickBot="1">
      <c r="A269" s="249">
        <v>25</v>
      </c>
      <c r="B269" s="240"/>
      <c r="C269" s="219" t="s">
        <v>567</v>
      </c>
      <c r="D269" s="219"/>
      <c r="E269" s="219"/>
      <c r="F269" s="219"/>
      <c r="G269" s="219"/>
      <c r="H269" s="219"/>
      <c r="I269" s="268">
        <v>343157</v>
      </c>
      <c r="J269" s="267"/>
      <c r="K269" s="256"/>
    </row>
    <row r="270" spans="1:11" s="275" customFormat="1" ht="15.75">
      <c r="A270" s="252">
        <v>26</v>
      </c>
      <c r="B270" s="355"/>
      <c r="C270" s="262" t="s">
        <v>102</v>
      </c>
      <c r="D270" s="355" t="s">
        <v>568</v>
      </c>
      <c r="E270" s="355"/>
      <c r="F270" s="355"/>
      <c r="G270" s="345" t="s">
        <v>145</v>
      </c>
      <c r="H270" s="355"/>
      <c r="I270" s="262">
        <f>+I267+I268+I269</f>
        <v>4553818614</v>
      </c>
      <c r="J270" s="262"/>
      <c r="K270" s="267"/>
    </row>
    <row r="271" spans="1:11" ht="16.5" thickBot="1">
      <c r="A271" s="249"/>
      <c r="B271" s="255"/>
      <c r="C271" s="219"/>
      <c r="D271" s="251" t="s">
        <v>538</v>
      </c>
      <c r="E271" s="251" t="s">
        <v>569</v>
      </c>
      <c r="F271" s="219"/>
      <c r="G271" s="251" t="s">
        <v>570</v>
      </c>
      <c r="H271" s="219"/>
      <c r="I271" s="251" t="s">
        <v>144</v>
      </c>
      <c r="J271" s="252"/>
      <c r="K271" s="256"/>
    </row>
    <row r="272" spans="1:11" ht="15.75">
      <c r="A272" s="249">
        <v>27</v>
      </c>
      <c r="B272" s="240" t="s">
        <v>571</v>
      </c>
      <c r="D272" s="260">
        <v>3969193650</v>
      </c>
      <c r="E272" s="356">
        <f>IF($D$275&gt;0,D272/$D$275,0)</f>
        <v>0.4657031489635787</v>
      </c>
      <c r="F272" s="357"/>
      <c r="G272" s="357">
        <f>IF(D272&gt;0,I262/D272,0)</f>
        <v>0.05574136147275152</v>
      </c>
      <c r="I272" s="357">
        <f>G272*E272</f>
        <v>0.025958927565377488</v>
      </c>
      <c r="J272" s="358" t="s">
        <v>572</v>
      </c>
      <c r="K272" s="256"/>
    </row>
    <row r="273" spans="1:9" ht="15.75">
      <c r="A273" s="249">
        <v>28</v>
      </c>
      <c r="B273" s="240" t="s">
        <v>573</v>
      </c>
      <c r="D273" s="260">
        <v>0</v>
      </c>
      <c r="E273" s="356">
        <f>IF($D$275&gt;0,D273/$D$275,0)</f>
        <v>0</v>
      </c>
      <c r="F273" s="357"/>
      <c r="G273" s="357">
        <f>IF(D273&gt;0,I264/D273,0)</f>
        <v>0</v>
      </c>
      <c r="I273" s="357">
        <f>G273*E273</f>
        <v>0</v>
      </c>
    </row>
    <row r="274" spans="1:10" ht="16.5" thickBot="1">
      <c r="A274" s="249">
        <v>29</v>
      </c>
      <c r="B274" s="240" t="s">
        <v>574</v>
      </c>
      <c r="D274" s="261">
        <f>I270</f>
        <v>4553818614</v>
      </c>
      <c r="E274" s="356">
        <f>IF($D$275&gt;0,D274/$D$275,0)</f>
        <v>0.5342968510364213</v>
      </c>
      <c r="F274" s="357"/>
      <c r="G274" s="359">
        <v>0.1238</v>
      </c>
      <c r="I274" s="360">
        <f>G274*E274</f>
        <v>0.06614595015830896</v>
      </c>
      <c r="J274" s="361"/>
    </row>
    <row r="275" spans="1:10" ht="15.75">
      <c r="A275" s="249">
        <v>30</v>
      </c>
      <c r="B275" s="255" t="s">
        <v>575</v>
      </c>
      <c r="D275" s="219">
        <f>D274+D273+D272</f>
        <v>8523012264</v>
      </c>
      <c r="E275" s="219" t="s">
        <v>112</v>
      </c>
      <c r="F275" s="219"/>
      <c r="G275" s="219"/>
      <c r="H275" s="219"/>
      <c r="I275" s="357">
        <f>SUM(I272:I274)</f>
        <v>0.09210487772368645</v>
      </c>
      <c r="J275" s="358" t="s">
        <v>576</v>
      </c>
    </row>
    <row r="276" spans="5:8" ht="11.25" customHeight="1">
      <c r="E276" s="219"/>
      <c r="F276" s="219"/>
      <c r="G276" s="219"/>
      <c r="H276" s="219"/>
    </row>
    <row r="277" spans="1:10" ht="16.5" thickBot="1">
      <c r="A277" s="249"/>
      <c r="B277" s="240" t="s">
        <v>577</v>
      </c>
      <c r="C277" s="242"/>
      <c r="D277" s="242"/>
      <c r="E277" s="242"/>
      <c r="F277" s="242"/>
      <c r="G277" s="242"/>
      <c r="H277" s="242"/>
      <c r="I277" s="251" t="s">
        <v>211</v>
      </c>
      <c r="J277" s="362"/>
    </row>
    <row r="278" spans="1:11" s="246" customFormat="1" ht="11.25" customHeight="1">
      <c r="A278" s="264"/>
      <c r="B278" s="308"/>
      <c r="C278" s="308"/>
      <c r="D278" s="308"/>
      <c r="E278" s="308"/>
      <c r="F278" s="308"/>
      <c r="G278" s="308"/>
      <c r="H278" s="308"/>
      <c r="K278" s="273"/>
    </row>
    <row r="279" spans="1:10" ht="15.75">
      <c r="A279" s="249"/>
      <c r="B279" s="240" t="s">
        <v>578</v>
      </c>
      <c r="C279" s="242"/>
      <c r="D279" s="242" t="s">
        <v>579</v>
      </c>
      <c r="E279" s="242" t="s">
        <v>580</v>
      </c>
      <c r="F279" s="242"/>
      <c r="G279" s="363" t="s">
        <v>112</v>
      </c>
      <c r="H279" s="319"/>
      <c r="I279" s="364"/>
      <c r="J279" s="364"/>
    </row>
    <row r="280" spans="1:10" ht="15.75">
      <c r="A280" s="249">
        <v>31</v>
      </c>
      <c r="B280" s="239" t="s">
        <v>581</v>
      </c>
      <c r="C280" s="242"/>
      <c r="D280" s="242"/>
      <c r="F280" s="242"/>
      <c r="H280" s="319"/>
      <c r="I280" s="365">
        <v>937650</v>
      </c>
      <c r="J280" s="366"/>
    </row>
    <row r="281" spans="1:10" ht="16.5" thickBot="1">
      <c r="A281" s="249">
        <v>32</v>
      </c>
      <c r="B281" s="310" t="s">
        <v>582</v>
      </c>
      <c r="C281" s="367"/>
      <c r="D281" s="275"/>
      <c r="E281" s="355"/>
      <c r="F281" s="355"/>
      <c r="G281" s="355"/>
      <c r="H281" s="242"/>
      <c r="I281" s="368">
        <v>937650</v>
      </c>
      <c r="J281" s="366"/>
    </row>
    <row r="282" spans="1:10" ht="15.75">
      <c r="A282" s="249">
        <v>33</v>
      </c>
      <c r="B282" s="239" t="s">
        <v>583</v>
      </c>
      <c r="C282" s="247"/>
      <c r="E282" s="242"/>
      <c r="F282" s="242"/>
      <c r="G282" s="242"/>
      <c r="H282" s="242"/>
      <c r="I282" s="369">
        <f>+I280-I281</f>
        <v>0</v>
      </c>
      <c r="J282" s="369"/>
    </row>
    <row r="283" spans="1:10" s="246" customFormat="1" ht="11.25" customHeight="1">
      <c r="A283" s="264"/>
      <c r="B283" s="246" t="s">
        <v>112</v>
      </c>
      <c r="C283" s="245"/>
      <c r="E283" s="273"/>
      <c r="F283" s="273"/>
      <c r="G283" s="286"/>
      <c r="H283" s="273"/>
      <c r="I283" s="370" t="s">
        <v>112</v>
      </c>
      <c r="J283" s="370"/>
    </row>
    <row r="284" spans="1:11" ht="15.75">
      <c r="A284" s="249">
        <v>34</v>
      </c>
      <c r="B284" s="240" t="s">
        <v>584</v>
      </c>
      <c r="C284" s="247"/>
      <c r="E284" s="242"/>
      <c r="F284" s="242"/>
      <c r="G284" s="371"/>
      <c r="H284" s="242"/>
      <c r="I284" s="372">
        <v>0</v>
      </c>
      <c r="J284" s="373"/>
      <c r="K284" s="374"/>
    </row>
    <row r="285" spans="1:11" s="246" customFormat="1" ht="11.25" customHeight="1">
      <c r="A285" s="264"/>
      <c r="C285" s="273"/>
      <c r="D285" s="273"/>
      <c r="E285" s="273"/>
      <c r="F285" s="273"/>
      <c r="G285" s="273"/>
      <c r="H285" s="273"/>
      <c r="I285" s="370"/>
      <c r="J285" s="370"/>
      <c r="K285" s="374"/>
    </row>
    <row r="286" spans="2:11" ht="15.75">
      <c r="B286" s="240" t="s">
        <v>585</v>
      </c>
      <c r="C286" s="242"/>
      <c r="D286" s="242" t="s">
        <v>586</v>
      </c>
      <c r="E286" s="242"/>
      <c r="F286" s="242"/>
      <c r="G286" s="242"/>
      <c r="H286" s="242"/>
      <c r="J286" s="246"/>
      <c r="K286" s="374"/>
    </row>
    <row r="287" spans="1:11" ht="15.75">
      <c r="A287" s="249">
        <v>35</v>
      </c>
      <c r="B287" s="240" t="s">
        <v>587</v>
      </c>
      <c r="C287" s="219"/>
      <c r="D287" s="219"/>
      <c r="E287" s="219"/>
      <c r="F287" s="219"/>
      <c r="G287" s="219"/>
      <c r="H287" s="219"/>
      <c r="I287" s="375">
        <v>124291070.23407058</v>
      </c>
      <c r="J287" s="376"/>
      <c r="K287" s="377"/>
    </row>
    <row r="288" spans="1:11" ht="15.75">
      <c r="A288" s="249">
        <v>36</v>
      </c>
      <c r="B288" s="378" t="s">
        <v>588</v>
      </c>
      <c r="C288" s="355"/>
      <c r="D288" s="355"/>
      <c r="E288" s="355"/>
      <c r="F288" s="355"/>
      <c r="G288" s="242"/>
      <c r="H288" s="242"/>
      <c r="I288" s="375">
        <v>66986542.35999999</v>
      </c>
      <c r="J288" s="376"/>
      <c r="K288" s="377"/>
    </row>
    <row r="289" spans="1:11" ht="15.75">
      <c r="A289" s="249" t="s">
        <v>589</v>
      </c>
      <c r="B289" s="378" t="s">
        <v>590</v>
      </c>
      <c r="C289" s="355"/>
      <c r="D289" s="355"/>
      <c r="E289" s="355"/>
      <c r="F289" s="355"/>
      <c r="G289" s="242"/>
      <c r="H289" s="242"/>
      <c r="I289" s="375">
        <v>20935696.97407058</v>
      </c>
      <c r="J289" s="376"/>
      <c r="K289" s="377"/>
    </row>
    <row r="290" spans="1:11" ht="16.5" thickBot="1">
      <c r="A290" s="249" t="s">
        <v>591</v>
      </c>
      <c r="B290" s="379" t="s">
        <v>592</v>
      </c>
      <c r="C290" s="380"/>
      <c r="D290" s="355"/>
      <c r="E290" s="355"/>
      <c r="F290" s="355"/>
      <c r="G290" s="242"/>
      <c r="H290" s="242"/>
      <c r="I290" s="381">
        <v>8920845</v>
      </c>
      <c r="J290" s="376"/>
      <c r="K290" s="382"/>
    </row>
    <row r="291" spans="1:11" ht="15.75">
      <c r="A291" s="249">
        <v>37</v>
      </c>
      <c r="B291" s="383" t="s">
        <v>593</v>
      </c>
      <c r="C291" s="249"/>
      <c r="D291" s="219"/>
      <c r="E291" s="219"/>
      <c r="F291" s="219"/>
      <c r="G291" s="219"/>
      <c r="H291" s="242"/>
      <c r="I291" s="384">
        <f>+I287-I288-I289-I290</f>
        <v>27447985.900000013</v>
      </c>
      <c r="J291" s="384"/>
      <c r="K291" s="382"/>
    </row>
    <row r="292" spans="1:11" ht="15.75">
      <c r="A292" s="249"/>
      <c r="B292" s="383"/>
      <c r="C292" s="249"/>
      <c r="D292" s="219"/>
      <c r="E292" s="219"/>
      <c r="F292" s="219"/>
      <c r="G292" s="219"/>
      <c r="H292" s="242"/>
      <c r="I292" s="384"/>
      <c r="J292" s="384"/>
      <c r="K292" s="385"/>
    </row>
    <row r="293" spans="1:11" ht="15.75">
      <c r="A293" s="249"/>
      <c r="B293" s="383"/>
      <c r="C293" s="249"/>
      <c r="D293" s="219"/>
      <c r="E293" s="219"/>
      <c r="F293" s="219"/>
      <c r="G293" s="219"/>
      <c r="H293" s="242"/>
      <c r="I293" s="384"/>
      <c r="J293" s="384"/>
      <c r="K293" s="385"/>
    </row>
    <row r="294" spans="1:11" ht="15.75">
      <c r="A294" s="249"/>
      <c r="B294" s="383"/>
      <c r="C294" s="249"/>
      <c r="D294" s="219"/>
      <c r="E294" s="219"/>
      <c r="F294" s="219"/>
      <c r="G294" s="219"/>
      <c r="H294" s="242"/>
      <c r="I294" s="384"/>
      <c r="J294" s="384"/>
      <c r="K294" s="385"/>
    </row>
    <row r="295" spans="1:11" ht="15.75">
      <c r="A295" s="249"/>
      <c r="B295" s="383"/>
      <c r="C295" s="249"/>
      <c r="D295" s="219"/>
      <c r="E295" s="219"/>
      <c r="F295" s="219"/>
      <c r="G295" s="219"/>
      <c r="H295" s="242"/>
      <c r="I295" s="384"/>
      <c r="J295" s="384"/>
      <c r="K295" s="385"/>
    </row>
    <row r="296" spans="1:11" ht="15.75">
      <c r="A296" s="386"/>
      <c r="B296" s="387"/>
      <c r="C296" s="387"/>
      <c r="D296" s="387"/>
      <c r="E296" s="387"/>
      <c r="F296" s="387"/>
      <c r="G296" s="387"/>
      <c r="H296" s="387"/>
      <c r="I296" s="387"/>
      <c r="J296" s="387"/>
      <c r="K296" s="328"/>
    </row>
    <row r="297" spans="1:11" ht="15.75">
      <c r="A297" s="387"/>
      <c r="B297" s="387"/>
      <c r="C297" s="387"/>
      <c r="D297" s="387"/>
      <c r="E297" s="387"/>
      <c r="F297" s="387"/>
      <c r="G297" s="387"/>
      <c r="H297" s="387"/>
      <c r="I297" s="387"/>
      <c r="J297" s="387"/>
      <c r="K297" s="387"/>
    </row>
    <row r="298" spans="2:11" ht="15.75">
      <c r="B298" s="240"/>
      <c r="C298" s="240"/>
      <c r="D298" s="241"/>
      <c r="E298" s="240"/>
      <c r="F298" s="240"/>
      <c r="G298" s="240"/>
      <c r="H298" s="242"/>
      <c r="I298" s="242"/>
      <c r="J298" s="242"/>
      <c r="K298" s="288" t="s">
        <v>594</v>
      </c>
    </row>
    <row r="299" spans="2:11" ht="15.75">
      <c r="B299" s="240" t="s">
        <v>319</v>
      </c>
      <c r="C299" s="240"/>
      <c r="D299" s="241" t="s">
        <v>320</v>
      </c>
      <c r="E299" s="240"/>
      <c r="F299" s="240"/>
      <c r="G299" s="240"/>
      <c r="H299" s="242"/>
      <c r="K299" s="243" t="s">
        <v>321</v>
      </c>
    </row>
    <row r="300" spans="2:11" ht="15.75">
      <c r="B300" s="240"/>
      <c r="C300" s="219" t="s">
        <v>112</v>
      </c>
      <c r="D300" s="219" t="s">
        <v>322</v>
      </c>
      <c r="E300" s="219"/>
      <c r="F300" s="219"/>
      <c r="G300" s="219"/>
      <c r="H300" s="242"/>
      <c r="I300" s="242"/>
      <c r="J300" s="242"/>
      <c r="K300" s="245"/>
    </row>
    <row r="301" spans="1:11" ht="7.5" customHeight="1">
      <c r="A301" s="249"/>
      <c r="B301" s="383"/>
      <c r="C301" s="249"/>
      <c r="D301" s="219"/>
      <c r="E301" s="219"/>
      <c r="F301" s="219"/>
      <c r="G301" s="219"/>
      <c r="H301" s="242"/>
      <c r="I301" s="388"/>
      <c r="J301" s="388"/>
      <c r="K301" s="245"/>
    </row>
    <row r="302" spans="1:11" ht="15.75">
      <c r="A302" s="289" t="str">
        <f>A6</f>
        <v>Northern States Power Companies (Rev 1)</v>
      </c>
      <c r="B302" s="289"/>
      <c r="C302" s="289"/>
      <c r="D302" s="289"/>
      <c r="E302" s="289"/>
      <c r="F302" s="289"/>
      <c r="G302" s="289"/>
      <c r="H302" s="289"/>
      <c r="I302" s="289"/>
      <c r="J302" s="289"/>
      <c r="K302" s="289"/>
    </row>
    <row r="303" spans="1:11" ht="6" customHeight="1">
      <c r="A303" s="249"/>
      <c r="B303" s="383"/>
      <c r="C303" s="249"/>
      <c r="D303" s="219"/>
      <c r="E303" s="219"/>
      <c r="F303" s="219"/>
      <c r="G303" s="219"/>
      <c r="H303" s="242"/>
      <c r="I303" s="388"/>
      <c r="J303" s="388"/>
      <c r="K303" s="385"/>
    </row>
    <row r="304" spans="1:11" ht="15.75">
      <c r="A304" s="249"/>
      <c r="B304" s="240" t="s">
        <v>595</v>
      </c>
      <c r="C304" s="249"/>
      <c r="D304" s="219"/>
      <c r="E304" s="219"/>
      <c r="F304" s="219"/>
      <c r="G304" s="219"/>
      <c r="H304" s="242"/>
      <c r="I304" s="219"/>
      <c r="J304" s="219"/>
      <c r="K304" s="385"/>
    </row>
    <row r="305" spans="1:11" ht="15.75">
      <c r="A305" s="249"/>
      <c r="B305" s="389" t="s">
        <v>596</v>
      </c>
      <c r="C305" s="249"/>
      <c r="D305" s="219"/>
      <c r="E305" s="219"/>
      <c r="F305" s="219"/>
      <c r="G305" s="219"/>
      <c r="H305" s="242"/>
      <c r="I305" s="219"/>
      <c r="J305" s="219"/>
      <c r="K305" s="256"/>
    </row>
    <row r="306" spans="1:11" ht="15.75">
      <c r="A306" s="249" t="s">
        <v>597</v>
      </c>
      <c r="B306" s="240"/>
      <c r="C306" s="242"/>
      <c r="D306" s="219"/>
      <c r="E306" s="219"/>
      <c r="F306" s="219"/>
      <c r="G306" s="219"/>
      <c r="H306" s="242"/>
      <c r="I306" s="219"/>
      <c r="J306" s="219"/>
      <c r="K306" s="256"/>
    </row>
    <row r="307" spans="1:11" ht="16.5" thickBot="1">
      <c r="A307" s="251" t="s">
        <v>598</v>
      </c>
      <c r="B307" s="240"/>
      <c r="C307" s="242"/>
      <c r="D307" s="219"/>
      <c r="E307" s="219"/>
      <c r="F307" s="219"/>
      <c r="G307" s="219"/>
      <c r="H307" s="242"/>
      <c r="I307" s="219"/>
      <c r="J307" s="219"/>
      <c r="K307" s="256"/>
    </row>
    <row r="308" spans="1:11" ht="15.75">
      <c r="A308" s="249" t="s">
        <v>599</v>
      </c>
      <c r="B308" s="308" t="s">
        <v>600</v>
      </c>
      <c r="C308" s="273"/>
      <c r="D308" s="256"/>
      <c r="E308" s="256"/>
      <c r="F308" s="256"/>
      <c r="G308" s="256"/>
      <c r="H308" s="273"/>
      <c r="I308" s="256"/>
      <c r="J308" s="256"/>
      <c r="K308" s="256"/>
    </row>
    <row r="309" spans="1:11" ht="15.75">
      <c r="A309" s="249" t="s">
        <v>601</v>
      </c>
      <c r="B309" s="308" t="s">
        <v>602</v>
      </c>
      <c r="C309" s="273"/>
      <c r="D309" s="256"/>
      <c r="E309" s="256"/>
      <c r="F309" s="256"/>
      <c r="G309" s="256"/>
      <c r="H309" s="273"/>
      <c r="I309" s="256"/>
      <c r="J309" s="256"/>
      <c r="K309" s="256"/>
    </row>
    <row r="310" spans="1:11" ht="15.75">
      <c r="A310" s="249" t="s">
        <v>603</v>
      </c>
      <c r="B310" s="308" t="s">
        <v>604</v>
      </c>
      <c r="C310" s="273"/>
      <c r="D310" s="273"/>
      <c r="E310" s="273"/>
      <c r="F310" s="273"/>
      <c r="G310" s="273"/>
      <c r="H310" s="273"/>
      <c r="I310" s="256"/>
      <c r="J310" s="256"/>
      <c r="K310" s="256"/>
    </row>
    <row r="311" spans="1:11" ht="15.75">
      <c r="A311" s="249" t="s">
        <v>605</v>
      </c>
      <c r="B311" s="308" t="s">
        <v>606</v>
      </c>
      <c r="C311" s="273"/>
      <c r="D311" s="273"/>
      <c r="E311" s="273"/>
      <c r="F311" s="273"/>
      <c r="G311" s="273"/>
      <c r="H311" s="273"/>
      <c r="I311" s="256"/>
      <c r="J311" s="256"/>
      <c r="K311" s="273"/>
    </row>
    <row r="312" spans="1:11" ht="15.75">
      <c r="A312" s="249" t="s">
        <v>607</v>
      </c>
      <c r="B312" s="273" t="s">
        <v>608</v>
      </c>
      <c r="C312" s="273"/>
      <c r="D312" s="273"/>
      <c r="E312" s="273"/>
      <c r="F312" s="273"/>
      <c r="G312" s="273"/>
      <c r="H312" s="273"/>
      <c r="I312" s="273"/>
      <c r="J312" s="273"/>
      <c r="K312" s="273"/>
    </row>
    <row r="313" spans="1:11" ht="15.75">
      <c r="A313" s="249" t="s">
        <v>609</v>
      </c>
      <c r="B313" s="273" t="s">
        <v>610</v>
      </c>
      <c r="C313" s="273"/>
      <c r="D313" s="273"/>
      <c r="E313" s="273"/>
      <c r="F313" s="273"/>
      <c r="G313" s="273"/>
      <c r="H313" s="273"/>
      <c r="I313" s="273"/>
      <c r="J313" s="273"/>
      <c r="K313" s="273"/>
    </row>
    <row r="314" spans="1:11" ht="15.75">
      <c r="A314" s="249"/>
      <c r="B314" s="273" t="s">
        <v>611</v>
      </c>
      <c r="C314" s="273"/>
      <c r="D314" s="273"/>
      <c r="E314" s="273"/>
      <c r="F314" s="273"/>
      <c r="G314" s="273"/>
      <c r="H314" s="273"/>
      <c r="I314" s="273"/>
      <c r="J314" s="273"/>
      <c r="K314" s="273"/>
    </row>
    <row r="315" spans="1:11" ht="15.75">
      <c r="A315" s="249"/>
      <c r="B315" s="273" t="s">
        <v>612</v>
      </c>
      <c r="C315" s="273"/>
      <c r="D315" s="273"/>
      <c r="E315" s="273"/>
      <c r="F315" s="273"/>
      <c r="G315" s="273"/>
      <c r="H315" s="273"/>
      <c r="I315" s="273"/>
      <c r="J315" s="273"/>
      <c r="K315" s="273"/>
    </row>
    <row r="316" spans="1:11" ht="15.75">
      <c r="A316" s="249" t="s">
        <v>613</v>
      </c>
      <c r="B316" s="273" t="s">
        <v>614</v>
      </c>
      <c r="C316" s="273"/>
      <c r="D316" s="273"/>
      <c r="E316" s="273"/>
      <c r="F316" s="273"/>
      <c r="G316" s="273"/>
      <c r="H316" s="273"/>
      <c r="I316" s="273"/>
      <c r="J316" s="273"/>
      <c r="K316" s="273"/>
    </row>
    <row r="317" spans="1:11" ht="15.75">
      <c r="A317" s="249" t="s">
        <v>615</v>
      </c>
      <c r="B317" s="273" t="s">
        <v>616</v>
      </c>
      <c r="C317" s="273"/>
      <c r="D317" s="273"/>
      <c r="E317" s="273"/>
      <c r="F317" s="273"/>
      <c r="G317" s="273"/>
      <c r="H317" s="273"/>
      <c r="I317" s="273"/>
      <c r="J317" s="273"/>
      <c r="K317" s="273"/>
    </row>
    <row r="318" spans="1:11" ht="15.75">
      <c r="A318" s="249"/>
      <c r="B318" s="273" t="s">
        <v>617</v>
      </c>
      <c r="C318" s="273"/>
      <c r="D318" s="273"/>
      <c r="E318" s="273"/>
      <c r="F318" s="273"/>
      <c r="G318" s="273"/>
      <c r="H318" s="273"/>
      <c r="I318" s="273"/>
      <c r="J318" s="273"/>
      <c r="K318" s="273"/>
    </row>
    <row r="319" spans="1:11" ht="15.75">
      <c r="A319" s="249" t="s">
        <v>618</v>
      </c>
      <c r="B319" s="273" t="s">
        <v>619</v>
      </c>
      <c r="C319" s="273"/>
      <c r="D319" s="273"/>
      <c r="E319" s="273"/>
      <c r="F319" s="273"/>
      <c r="G319" s="273"/>
      <c r="H319" s="273"/>
      <c r="I319" s="273"/>
      <c r="J319" s="273"/>
      <c r="K319" s="273"/>
    </row>
    <row r="320" spans="1:11" ht="15.75">
      <c r="A320" s="249"/>
      <c r="B320" s="246" t="s">
        <v>620</v>
      </c>
      <c r="C320" s="273"/>
      <c r="D320" s="273"/>
      <c r="E320" s="273"/>
      <c r="F320" s="273"/>
      <c r="G320" s="273"/>
      <c r="H320" s="273"/>
      <c r="I320" s="273"/>
      <c r="J320" s="273"/>
      <c r="K320" s="273"/>
    </row>
    <row r="321" spans="1:11" ht="15.75">
      <c r="A321" s="249" t="s">
        <v>621</v>
      </c>
      <c r="B321" s="273" t="s">
        <v>622</v>
      </c>
      <c r="C321" s="273"/>
      <c r="D321" s="273"/>
      <c r="E321" s="273"/>
      <c r="F321" s="273"/>
      <c r="G321" s="273"/>
      <c r="H321" s="273"/>
      <c r="I321" s="273"/>
      <c r="J321" s="273"/>
      <c r="K321" s="273"/>
    </row>
    <row r="322" spans="1:11" ht="15.75">
      <c r="A322" s="249"/>
      <c r="B322" s="273" t="s">
        <v>623</v>
      </c>
      <c r="C322" s="273"/>
      <c r="D322" s="273"/>
      <c r="E322" s="273"/>
      <c r="F322" s="273"/>
      <c r="G322" s="273"/>
      <c r="H322" s="273"/>
      <c r="I322" s="273"/>
      <c r="J322" s="273"/>
      <c r="K322" s="273"/>
    </row>
    <row r="323" spans="1:11" ht="15.75">
      <c r="A323" s="249" t="s">
        <v>624</v>
      </c>
      <c r="B323" s="273" t="s">
        <v>625</v>
      </c>
      <c r="C323" s="273"/>
      <c r="D323" s="273"/>
      <c r="E323" s="273"/>
      <c r="F323" s="273"/>
      <c r="G323" s="273"/>
      <c r="H323" s="273"/>
      <c r="I323" s="273"/>
      <c r="J323" s="273"/>
      <c r="K323" s="273"/>
    </row>
    <row r="324" spans="1:11" ht="15.75">
      <c r="A324" s="249"/>
      <c r="B324" s="273" t="s">
        <v>626</v>
      </c>
      <c r="C324" s="273"/>
      <c r="D324" s="273"/>
      <c r="E324" s="273"/>
      <c r="F324" s="273"/>
      <c r="G324" s="273"/>
      <c r="H324" s="273"/>
      <c r="I324" s="273"/>
      <c r="J324" s="273"/>
      <c r="K324" s="273"/>
    </row>
    <row r="325" spans="1:11" ht="15.75">
      <c r="A325" s="249"/>
      <c r="B325" s="273" t="s">
        <v>627</v>
      </c>
      <c r="C325" s="273"/>
      <c r="D325" s="273"/>
      <c r="E325" s="273"/>
      <c r="F325" s="273"/>
      <c r="G325" s="273"/>
      <c r="H325" s="273"/>
      <c r="I325" s="273"/>
      <c r="J325" s="273"/>
      <c r="K325" s="273"/>
    </row>
    <row r="326" spans="1:11" ht="15.75">
      <c r="A326" s="249"/>
      <c r="B326" s="273" t="s">
        <v>628</v>
      </c>
      <c r="C326" s="273"/>
      <c r="D326" s="273"/>
      <c r="E326" s="273"/>
      <c r="F326" s="273"/>
      <c r="G326" s="273"/>
      <c r="H326" s="273"/>
      <c r="I326" s="273"/>
      <c r="J326" s="273"/>
      <c r="K326" s="273"/>
    </row>
    <row r="327" spans="1:11" ht="15.75">
      <c r="A327" s="249" t="s">
        <v>112</v>
      </c>
      <c r="B327" s="273" t="s">
        <v>629</v>
      </c>
      <c r="C327" s="273" t="s">
        <v>630</v>
      </c>
      <c r="D327" s="390">
        <v>0.35</v>
      </c>
      <c r="E327" s="273"/>
      <c r="F327" s="273"/>
      <c r="G327" s="273"/>
      <c r="H327" s="273"/>
      <c r="I327" s="273"/>
      <c r="J327" s="273"/>
      <c r="K327" s="273"/>
    </row>
    <row r="328" spans="1:11" ht="15.75">
      <c r="A328" s="249"/>
      <c r="B328" s="273"/>
      <c r="C328" s="273" t="s">
        <v>631</v>
      </c>
      <c r="D328" s="390">
        <v>0.09078</v>
      </c>
      <c r="E328" s="273" t="s">
        <v>632</v>
      </c>
      <c r="F328" s="273"/>
      <c r="G328" s="273"/>
      <c r="H328" s="273"/>
      <c r="I328" s="273"/>
      <c r="J328" s="273"/>
      <c r="K328" s="273"/>
    </row>
    <row r="329" spans="1:11" ht="15.75">
      <c r="A329" s="249"/>
      <c r="B329" s="273"/>
      <c r="C329" s="273" t="s">
        <v>633</v>
      </c>
      <c r="D329" s="390">
        <v>0</v>
      </c>
      <c r="E329" s="273" t="s">
        <v>634</v>
      </c>
      <c r="F329" s="273"/>
      <c r="G329" s="273"/>
      <c r="H329" s="273"/>
      <c r="I329" s="273"/>
      <c r="J329" s="273"/>
      <c r="K329" s="273"/>
    </row>
    <row r="330" spans="1:11" ht="15.75">
      <c r="A330" s="249" t="s">
        <v>635</v>
      </c>
      <c r="B330" s="273" t="s">
        <v>636</v>
      </c>
      <c r="C330" s="273"/>
      <c r="D330" s="273"/>
      <c r="E330" s="273"/>
      <c r="F330" s="273"/>
      <c r="G330" s="273"/>
      <c r="H330" s="273"/>
      <c r="I330" s="391"/>
      <c r="J330" s="391"/>
      <c r="K330" s="273"/>
    </row>
    <row r="331" spans="1:11" ht="15.75">
      <c r="A331" s="249" t="s">
        <v>637</v>
      </c>
      <c r="B331" s="273" t="s">
        <v>638</v>
      </c>
      <c r="C331" s="273"/>
      <c r="D331" s="273"/>
      <c r="E331" s="273"/>
      <c r="F331" s="273"/>
      <c r="G331" s="273"/>
      <c r="H331" s="273"/>
      <c r="I331" s="273"/>
      <c r="J331" s="273"/>
      <c r="K331" s="273"/>
    </row>
    <row r="332" spans="1:11" ht="15.75">
      <c r="A332" s="249"/>
      <c r="B332" s="273" t="s">
        <v>639</v>
      </c>
      <c r="C332" s="273"/>
      <c r="D332" s="273"/>
      <c r="E332" s="273"/>
      <c r="F332" s="273"/>
      <c r="G332" s="273"/>
      <c r="H332" s="273"/>
      <c r="I332" s="273"/>
      <c r="J332" s="273"/>
      <c r="K332" s="273"/>
    </row>
    <row r="333" spans="1:11" ht="15.75">
      <c r="A333" s="249" t="s">
        <v>640</v>
      </c>
      <c r="B333" s="273" t="s">
        <v>641</v>
      </c>
      <c r="C333" s="273"/>
      <c r="D333" s="273"/>
      <c r="E333" s="273"/>
      <c r="F333" s="273"/>
      <c r="G333" s="273"/>
      <c r="H333" s="273"/>
      <c r="I333" s="273"/>
      <c r="J333" s="273"/>
      <c r="K333" s="273"/>
    </row>
    <row r="334" spans="1:11" ht="15.75">
      <c r="A334" s="249"/>
      <c r="B334" s="273" t="s">
        <v>642</v>
      </c>
      <c r="C334" s="273"/>
      <c r="D334" s="273"/>
      <c r="E334" s="273"/>
      <c r="F334" s="273"/>
      <c r="G334" s="273"/>
      <c r="H334" s="273"/>
      <c r="I334" s="273"/>
      <c r="J334" s="273"/>
      <c r="K334" s="273"/>
    </row>
    <row r="335" spans="1:11" ht="15.75">
      <c r="A335" s="249"/>
      <c r="B335" s="273" t="s">
        <v>643</v>
      </c>
      <c r="C335" s="273"/>
      <c r="D335" s="273"/>
      <c r="E335" s="273"/>
      <c r="F335" s="273"/>
      <c r="G335" s="273"/>
      <c r="H335" s="273"/>
      <c r="I335" s="273"/>
      <c r="J335" s="273"/>
      <c r="K335" s="273"/>
    </row>
    <row r="336" spans="1:11" ht="15.75">
      <c r="A336" s="249" t="s">
        <v>644</v>
      </c>
      <c r="B336" s="273" t="s">
        <v>645</v>
      </c>
      <c r="C336" s="273"/>
      <c r="D336" s="273"/>
      <c r="E336" s="273"/>
      <c r="F336" s="273"/>
      <c r="G336" s="273"/>
      <c r="H336" s="273"/>
      <c r="I336" s="273"/>
      <c r="J336" s="273"/>
      <c r="K336" s="273"/>
    </row>
    <row r="337" spans="1:11" ht="15.75">
      <c r="A337" s="249" t="s">
        <v>646</v>
      </c>
      <c r="B337" s="273" t="s">
        <v>647</v>
      </c>
      <c r="C337" s="273"/>
      <c r="D337" s="273"/>
      <c r="E337" s="273"/>
      <c r="F337" s="273"/>
      <c r="G337" s="273"/>
      <c r="H337" s="273"/>
      <c r="I337" s="273"/>
      <c r="J337" s="273"/>
      <c r="K337" s="273"/>
    </row>
    <row r="338" spans="1:11" ht="15.75">
      <c r="A338" s="249"/>
      <c r="B338" s="273" t="s">
        <v>648</v>
      </c>
      <c r="C338" s="273"/>
      <c r="D338" s="273"/>
      <c r="E338" s="273"/>
      <c r="F338" s="273"/>
      <c r="G338" s="273"/>
      <c r="H338" s="273"/>
      <c r="I338" s="273"/>
      <c r="J338" s="273"/>
      <c r="K338" s="273"/>
    </row>
    <row r="339" spans="1:11" ht="15.75">
      <c r="A339" s="249" t="s">
        <v>649</v>
      </c>
      <c r="B339" s="273" t="s">
        <v>650</v>
      </c>
      <c r="C339" s="273"/>
      <c r="D339" s="273"/>
      <c r="E339" s="273"/>
      <c r="F339" s="273"/>
      <c r="G339" s="273"/>
      <c r="H339" s="273"/>
      <c r="I339" s="273"/>
      <c r="J339" s="273"/>
      <c r="K339" s="273"/>
    </row>
    <row r="340" spans="1:11" ht="15.75">
      <c r="A340" s="249"/>
      <c r="B340" s="273" t="s">
        <v>651</v>
      </c>
      <c r="C340" s="273"/>
      <c r="D340" s="273"/>
      <c r="E340" s="273"/>
      <c r="F340" s="273"/>
      <c r="G340" s="273"/>
      <c r="H340" s="273"/>
      <c r="I340" s="273"/>
      <c r="J340" s="273"/>
      <c r="K340" s="273"/>
    </row>
    <row r="341" spans="1:11" ht="15.75">
      <c r="A341" s="249" t="s">
        <v>652</v>
      </c>
      <c r="B341" s="273" t="s">
        <v>653</v>
      </c>
      <c r="C341" s="273"/>
      <c r="D341" s="273"/>
      <c r="E341" s="273"/>
      <c r="F341" s="273"/>
      <c r="G341" s="273"/>
      <c r="H341" s="273"/>
      <c r="I341" s="273"/>
      <c r="J341" s="273"/>
      <c r="K341" s="273"/>
    </row>
    <row r="342" spans="1:11" ht="15.75">
      <c r="A342" s="249" t="s">
        <v>654</v>
      </c>
      <c r="B342" s="273" t="s">
        <v>655</v>
      </c>
      <c r="C342" s="273"/>
      <c r="D342" s="273"/>
      <c r="E342" s="273"/>
      <c r="F342" s="273"/>
      <c r="G342" s="273"/>
      <c r="H342" s="273"/>
      <c r="I342" s="273"/>
      <c r="J342" s="273"/>
      <c r="K342" s="273"/>
    </row>
    <row r="343" spans="2:11" ht="15.75">
      <c r="B343" s="273" t="s">
        <v>656</v>
      </c>
      <c r="C343" s="273"/>
      <c r="D343" s="273"/>
      <c r="E343" s="273"/>
      <c r="F343" s="273"/>
      <c r="G343" s="273"/>
      <c r="H343" s="273"/>
      <c r="I343" s="273"/>
      <c r="J343" s="273"/>
      <c r="K343" s="273"/>
    </row>
    <row r="344" spans="2:11" ht="15.75">
      <c r="B344" s="245" t="s">
        <v>657</v>
      </c>
      <c r="C344" s="245"/>
      <c r="D344" s="245"/>
      <c r="E344" s="245"/>
      <c r="F344" s="245"/>
      <c r="G344" s="245"/>
      <c r="H344" s="245"/>
      <c r="I344" s="245"/>
      <c r="J344" s="245"/>
      <c r="K344" s="273"/>
    </row>
    <row r="345" spans="1:11" ht="15.75">
      <c r="A345" s="281" t="s">
        <v>658</v>
      </c>
      <c r="B345" s="245" t="s">
        <v>659</v>
      </c>
      <c r="C345" s="245"/>
      <c r="D345" s="245"/>
      <c r="E345" s="245"/>
      <c r="F345" s="245"/>
      <c r="G345" s="245"/>
      <c r="H345" s="245"/>
      <c r="I345" s="245"/>
      <c r="J345" s="245"/>
      <c r="K345" s="245"/>
    </row>
    <row r="346" spans="2:11" ht="15.75">
      <c r="B346" s="245" t="s">
        <v>660</v>
      </c>
      <c r="C346" s="392"/>
      <c r="D346" s="245"/>
      <c r="E346" s="245"/>
      <c r="F346" s="245"/>
      <c r="G346" s="245"/>
      <c r="H346" s="245"/>
      <c r="I346" s="245"/>
      <c r="J346" s="245"/>
      <c r="K346" s="245"/>
    </row>
    <row r="347" spans="2:11" ht="15.75">
      <c r="B347" s="245" t="s">
        <v>661</v>
      </c>
      <c r="C347" s="245"/>
      <c r="D347" s="245"/>
      <c r="E347" s="245"/>
      <c r="F347" s="245"/>
      <c r="G347" s="245"/>
      <c r="H347" s="245"/>
      <c r="I347" s="245"/>
      <c r="J347" s="245"/>
      <c r="K347" s="245"/>
    </row>
    <row r="348" spans="1:11" ht="15.75">
      <c r="A348" s="281" t="s">
        <v>662</v>
      </c>
      <c r="B348" s="245" t="s">
        <v>663</v>
      </c>
      <c r="C348" s="247"/>
      <c r="D348" s="247"/>
      <c r="E348" s="247"/>
      <c r="F348" s="247"/>
      <c r="G348" s="247"/>
      <c r="H348" s="247"/>
      <c r="I348" s="245"/>
      <c r="J348" s="245"/>
      <c r="K348" s="245"/>
    </row>
    <row r="349" spans="1:11" ht="15.75">
      <c r="A349" s="393" t="s">
        <v>664</v>
      </c>
      <c r="B349" s="245" t="s">
        <v>665</v>
      </c>
      <c r="C349" s="245"/>
      <c r="D349" s="245"/>
      <c r="E349" s="245"/>
      <c r="F349" s="245"/>
      <c r="G349" s="245"/>
      <c r="H349" s="245"/>
      <c r="I349" s="245"/>
      <c r="J349" s="245"/>
      <c r="K349" s="245"/>
    </row>
    <row r="350" spans="1:11" s="246" customFormat="1" ht="15.75">
      <c r="A350" s="393" t="s">
        <v>666</v>
      </c>
      <c r="B350" s="247" t="s">
        <v>667</v>
      </c>
      <c r="C350" s="245"/>
      <c r="D350" s="245"/>
      <c r="E350" s="245"/>
      <c r="F350" s="245"/>
      <c r="G350" s="245"/>
      <c r="H350" s="245"/>
      <c r="I350" s="245"/>
      <c r="J350" s="245"/>
      <c r="K350" s="245"/>
    </row>
    <row r="351" spans="1:11" s="246" customFormat="1" ht="15.75">
      <c r="A351" s="393"/>
      <c r="B351" s="245" t="s">
        <v>668</v>
      </c>
      <c r="C351" s="245"/>
      <c r="D351" s="245"/>
      <c r="E351" s="245"/>
      <c r="F351" s="245"/>
      <c r="G351" s="247"/>
      <c r="H351" s="239"/>
      <c r="I351" s="245"/>
      <c r="J351" s="245"/>
      <c r="K351" s="245"/>
    </row>
    <row r="352" spans="1:11" ht="15.75">
      <c r="A352" s="393"/>
      <c r="B352" s="245" t="s">
        <v>669</v>
      </c>
      <c r="C352" s="245"/>
      <c r="D352" s="245"/>
      <c r="E352" s="245"/>
      <c r="F352" s="245"/>
      <c r="G352" s="247"/>
      <c r="H352" s="247"/>
      <c r="I352" s="245"/>
      <c r="J352" s="245"/>
      <c r="K352" s="245"/>
    </row>
    <row r="353" spans="1:11" ht="15.75">
      <c r="A353" s="393"/>
      <c r="B353" s="245" t="s">
        <v>670</v>
      </c>
      <c r="C353" s="245"/>
      <c r="D353" s="245"/>
      <c r="E353" s="245"/>
      <c r="F353" s="245"/>
      <c r="G353" s="247"/>
      <c r="H353" s="247"/>
      <c r="I353" s="245"/>
      <c r="J353" s="245"/>
      <c r="K353" s="245"/>
    </row>
    <row r="354" spans="1:11" ht="15.75">
      <c r="A354" s="393"/>
      <c r="B354" s="245" t="s">
        <v>671</v>
      </c>
      <c r="C354" s="245"/>
      <c r="D354" s="245"/>
      <c r="E354" s="245"/>
      <c r="F354" s="245"/>
      <c r="G354" s="247"/>
      <c r="H354" s="247"/>
      <c r="I354" s="245"/>
      <c r="J354" s="245"/>
      <c r="K354" s="245"/>
    </row>
    <row r="355" spans="1:11" ht="15.75">
      <c r="A355" s="393"/>
      <c r="B355" s="245" t="s">
        <v>672</v>
      </c>
      <c r="C355" s="245"/>
      <c r="D355" s="245"/>
      <c r="E355" s="245"/>
      <c r="F355" s="245"/>
      <c r="G355" s="247"/>
      <c r="H355" s="247"/>
      <c r="I355" s="245"/>
      <c r="J355" s="245"/>
      <c r="K355" s="245"/>
    </row>
    <row r="356" spans="1:11" ht="15.75">
      <c r="A356" s="281" t="s">
        <v>673</v>
      </c>
      <c r="B356" s="245" t="s">
        <v>674</v>
      </c>
      <c r="C356" s="245"/>
      <c r="D356" s="245"/>
      <c r="E356" s="245"/>
      <c r="F356" s="245"/>
      <c r="G356" s="245"/>
      <c r="H356" s="247"/>
      <c r="I356" s="245"/>
      <c r="J356" s="245"/>
      <c r="K356" s="245"/>
    </row>
    <row r="357" spans="1:11" ht="15.75">
      <c r="A357" s="281" t="s">
        <v>675</v>
      </c>
      <c r="B357" s="245" t="s">
        <v>676</v>
      </c>
      <c r="C357" s="245"/>
      <c r="D357" s="245"/>
      <c r="E357" s="245"/>
      <c r="F357" s="245"/>
      <c r="G357" s="245"/>
      <c r="H357" s="247"/>
      <c r="I357" s="245"/>
      <c r="J357" s="245"/>
      <c r="K357" s="245"/>
    </row>
    <row r="358" spans="1:11" ht="15.75">
      <c r="A358" s="281"/>
      <c r="B358" s="245" t="s">
        <v>677</v>
      </c>
      <c r="C358" s="245"/>
      <c r="D358" s="245"/>
      <c r="E358" s="245"/>
      <c r="F358" s="245"/>
      <c r="G358" s="245"/>
      <c r="H358" s="247"/>
      <c r="I358" s="245"/>
      <c r="J358" s="245"/>
      <c r="K358" s="245"/>
    </row>
    <row r="359" spans="1:11" ht="15.75">
      <c r="A359" s="281" t="s">
        <v>678</v>
      </c>
      <c r="B359" s="245" t="s">
        <v>679</v>
      </c>
      <c r="C359" s="246"/>
      <c r="D359" s="246"/>
      <c r="E359" s="246"/>
      <c r="F359" s="245"/>
      <c r="G359" s="245"/>
      <c r="H359" s="247"/>
      <c r="I359" s="245"/>
      <c r="J359" s="245"/>
      <c r="K359" s="245"/>
    </row>
    <row r="360" spans="1:11" ht="15.75">
      <c r="A360" s="281"/>
      <c r="B360" s="394" t="s">
        <v>251</v>
      </c>
      <c r="C360" s="245" t="s">
        <v>680</v>
      </c>
      <c r="D360" s="246"/>
      <c r="E360" s="246"/>
      <c r="F360" s="245"/>
      <c r="G360" s="245"/>
      <c r="H360" s="247"/>
      <c r="I360" s="245"/>
      <c r="J360" s="245"/>
      <c r="K360" s="245"/>
    </row>
    <row r="361" spans="1:11" ht="15.75">
      <c r="A361" s="281"/>
      <c r="B361" s="394" t="s">
        <v>252</v>
      </c>
      <c r="C361" s="245" t="s">
        <v>680</v>
      </c>
      <c r="D361" s="331"/>
      <c r="E361" s="246"/>
      <c r="F361" s="245"/>
      <c r="G361" s="245"/>
      <c r="H361" s="247"/>
      <c r="I361" s="245"/>
      <c r="J361" s="245"/>
      <c r="K361" s="245"/>
    </row>
    <row r="362" spans="1:11" ht="15.75">
      <c r="A362" s="281"/>
      <c r="B362" s="395" t="s">
        <v>253</v>
      </c>
      <c r="C362" s="245"/>
      <c r="D362" s="246"/>
      <c r="E362" s="246"/>
      <c r="F362" s="245"/>
      <c r="G362" s="245"/>
      <c r="H362" s="247"/>
      <c r="I362" s="245"/>
      <c r="J362" s="245"/>
      <c r="K362" s="245"/>
    </row>
    <row r="363" spans="1:11" ht="15.75">
      <c r="A363" s="281"/>
      <c r="B363" s="394" t="s">
        <v>254</v>
      </c>
      <c r="C363" s="245" t="s">
        <v>681</v>
      </c>
      <c r="D363" s="246"/>
      <c r="E363" s="246"/>
      <c r="F363" s="245"/>
      <c r="G363" s="245"/>
      <c r="H363" s="247"/>
      <c r="I363" s="245"/>
      <c r="J363" s="245"/>
      <c r="K363" s="245"/>
    </row>
    <row r="364" spans="1:11" ht="15.75">
      <c r="A364" s="281"/>
      <c r="B364" s="394" t="s">
        <v>255</v>
      </c>
      <c r="C364" s="245"/>
      <c r="D364" s="246"/>
      <c r="E364" s="245"/>
      <c r="F364" s="245"/>
      <c r="G364" s="245"/>
      <c r="H364" s="247"/>
      <c r="I364" s="245"/>
      <c r="J364" s="245"/>
      <c r="K364" s="245"/>
    </row>
    <row r="365" spans="1:11" ht="15.75">
      <c r="A365" s="281" t="s">
        <v>682</v>
      </c>
      <c r="B365" s="396" t="s">
        <v>683</v>
      </c>
      <c r="C365" s="245"/>
      <c r="D365" s="246"/>
      <c r="E365" s="245"/>
      <c r="F365" s="245"/>
      <c r="G365" s="245"/>
      <c r="H365" s="247"/>
      <c r="I365" s="245"/>
      <c r="J365" s="245"/>
      <c r="K365" s="245"/>
    </row>
    <row r="366" spans="1:11" ht="15.75">
      <c r="A366" s="281"/>
      <c r="B366" s="396" t="s">
        <v>684</v>
      </c>
      <c r="C366" s="245"/>
      <c r="D366" s="246"/>
      <c r="E366" s="245"/>
      <c r="F366" s="245"/>
      <c r="G366" s="245"/>
      <c r="H366" s="247"/>
      <c r="I366" s="245"/>
      <c r="J366" s="245"/>
      <c r="K366" s="245"/>
    </row>
    <row r="367" spans="1:11" ht="15.75">
      <c r="A367" s="281" t="s">
        <v>685</v>
      </c>
      <c r="B367" s="396" t="s">
        <v>686</v>
      </c>
      <c r="C367" s="245"/>
      <c r="D367" s="246"/>
      <c r="E367" s="245"/>
      <c r="F367" s="245"/>
      <c r="G367" s="245"/>
      <c r="H367" s="247"/>
      <c r="I367" s="245"/>
      <c r="J367" s="245"/>
      <c r="K367" s="245"/>
    </row>
    <row r="368" spans="1:11" ht="15.75">
      <c r="A368" s="281"/>
      <c r="B368" s="396" t="s">
        <v>687</v>
      </c>
      <c r="C368" s="245"/>
      <c r="D368" s="246"/>
      <c r="E368" s="245"/>
      <c r="F368" s="245"/>
      <c r="G368" s="245"/>
      <c r="H368" s="247"/>
      <c r="I368" s="245"/>
      <c r="J368" s="245"/>
      <c r="K368" s="245"/>
    </row>
    <row r="369" spans="1:2" ht="15.75">
      <c r="A369" s="281" t="s">
        <v>688</v>
      </c>
      <c r="B369" s="396" t="s">
        <v>689</v>
      </c>
    </row>
    <row r="370" spans="1:2" ht="15.75">
      <c r="A370" s="281"/>
      <c r="B370" s="396" t="s">
        <v>690</v>
      </c>
    </row>
    <row r="371" spans="1:11" ht="15.75">
      <c r="A371" s="281" t="s">
        <v>691</v>
      </c>
      <c r="B371" s="396" t="s">
        <v>692</v>
      </c>
      <c r="C371" s="247"/>
      <c r="D371" s="247"/>
      <c r="E371" s="247"/>
      <c r="F371" s="247"/>
      <c r="G371" s="247"/>
      <c r="H371" s="247"/>
      <c r="I371" s="247"/>
      <c r="J371" s="247"/>
      <c r="K371" s="245"/>
    </row>
    <row r="372" spans="1:11" ht="15.75">
      <c r="A372" s="281"/>
      <c r="B372" s="396" t="s">
        <v>693</v>
      </c>
      <c r="C372" s="247"/>
      <c r="D372" s="247"/>
      <c r="E372" s="247"/>
      <c r="F372" s="247"/>
      <c r="G372" s="247"/>
      <c r="H372" s="247"/>
      <c r="I372" s="247"/>
      <c r="J372" s="247"/>
      <c r="K372" s="245"/>
    </row>
    <row r="373" spans="1:11" ht="15.75">
      <c r="A373" s="281" t="s">
        <v>694</v>
      </c>
      <c r="B373" s="397" t="s">
        <v>695</v>
      </c>
      <c r="K373" s="245"/>
    </row>
    <row r="374" spans="1:2" ht="15.75">
      <c r="A374" s="281" t="s">
        <v>696</v>
      </c>
      <c r="B374" s="397" t="s">
        <v>697</v>
      </c>
    </row>
  </sheetData>
  <mergeCells count="6">
    <mergeCell ref="F155:G155"/>
    <mergeCell ref="A225:K225"/>
    <mergeCell ref="A302:K302"/>
    <mergeCell ref="A6:K6"/>
    <mergeCell ref="A78:K78"/>
    <mergeCell ref="A150:K15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42"/>
  </sheetPr>
  <dimension ref="A1:M35"/>
  <sheetViews>
    <sheetView showGridLines="0" workbookViewId="0" topLeftCell="A1">
      <selection activeCell="A4" sqref="A4"/>
    </sheetView>
  </sheetViews>
  <sheetFormatPr defaultColWidth="8.88671875" defaultRowHeight="15"/>
  <cols>
    <col min="1" max="1" width="5.6640625" style="5" customWidth="1"/>
    <col min="2" max="2" width="36.10546875" style="5" customWidth="1"/>
    <col min="3" max="3" width="13.99609375" style="5" bestFit="1" customWidth="1"/>
    <col min="4" max="4" width="11.77734375" style="5" bestFit="1" customWidth="1"/>
    <col min="5" max="16384" width="8.88671875" style="5" customWidth="1"/>
  </cols>
  <sheetData>
    <row r="1" spans="1:11" s="64" customFormat="1" ht="12.75">
      <c r="A1" s="85" t="s">
        <v>15</v>
      </c>
      <c r="C1" s="86"/>
      <c r="D1" s="86"/>
      <c r="E1" s="72" t="s">
        <v>285</v>
      </c>
      <c r="F1" s="86"/>
      <c r="G1" s="86"/>
      <c r="H1" s="86"/>
      <c r="J1" s="86"/>
      <c r="K1" s="86"/>
    </row>
    <row r="2" spans="1:13" s="64" customFormat="1" ht="12.75">
      <c r="A2" s="185" t="s">
        <v>283</v>
      </c>
      <c r="C2" s="86"/>
      <c r="D2" s="86"/>
      <c r="E2" s="86"/>
      <c r="F2" s="86"/>
      <c r="G2" s="86"/>
      <c r="H2" s="86"/>
      <c r="I2" s="86"/>
      <c r="J2" s="86"/>
      <c r="K2" s="86"/>
      <c r="L2" s="86"/>
      <c r="M2" s="87"/>
    </row>
    <row r="3" spans="1:12" s="64" customFormat="1" ht="12.75">
      <c r="A3" s="85" t="s">
        <v>286</v>
      </c>
      <c r="C3" s="86"/>
      <c r="D3" s="86"/>
      <c r="E3" s="86" t="s">
        <v>112</v>
      </c>
      <c r="F3" s="86"/>
      <c r="G3" s="86"/>
      <c r="H3" s="86"/>
      <c r="I3" s="86"/>
      <c r="J3" s="86"/>
      <c r="K3" s="86"/>
      <c r="L3" s="86"/>
    </row>
    <row r="4" s="64" customFormat="1" ht="12.75">
      <c r="C4" s="86"/>
    </row>
    <row r="5" ht="12.75">
      <c r="B5" s="64"/>
    </row>
    <row r="6" ht="12.75"/>
    <row r="7" ht="12.75"/>
    <row r="8" spans="2:3" ht="12.75">
      <c r="B8" s="9" t="s">
        <v>260</v>
      </c>
      <c r="C8" s="65">
        <f>'Refund Calc in 2012 Formula'!H10</f>
        <v>20626092</v>
      </c>
    </row>
    <row r="9" spans="2:3" ht="12.75">
      <c r="B9" s="9" t="s">
        <v>261</v>
      </c>
      <c r="C9" s="65">
        <f>-'Refund Calc in 2012 Formula'!H26</f>
        <v>507332.30439383996</v>
      </c>
    </row>
    <row r="10" spans="2:3" ht="12.75">
      <c r="B10" s="8"/>
      <c r="C10" s="65"/>
    </row>
    <row r="11" spans="2:3" ht="12.75">
      <c r="B11" s="8" t="s">
        <v>256</v>
      </c>
      <c r="C11" s="65">
        <f>SUM(C8:C10)</f>
        <v>21133424.30439384</v>
      </c>
    </row>
    <row r="12" spans="2:3" ht="12.75">
      <c r="B12" s="8"/>
      <c r="C12" s="65"/>
    </row>
    <row r="13" spans="2:3" ht="12.75">
      <c r="B13" s="8" t="s">
        <v>262</v>
      </c>
      <c r="C13" s="25">
        <v>0.0035105263157894744</v>
      </c>
    </row>
    <row r="15" spans="2:3" ht="13.5" thickBot="1">
      <c r="B15" s="5" t="s">
        <v>291</v>
      </c>
      <c r="C15" s="66">
        <f>D31</f>
        <v>148835.46219430817</v>
      </c>
    </row>
    <row r="16" ht="13.5" thickTop="1"/>
    <row r="21" ht="12.75">
      <c r="B21" s="5" t="s">
        <v>263</v>
      </c>
    </row>
    <row r="22" spans="3:4" ht="12.75">
      <c r="C22" s="67" t="s">
        <v>264</v>
      </c>
      <c r="D22" s="67" t="s">
        <v>265</v>
      </c>
    </row>
    <row r="23" spans="2:4" ht="12.75">
      <c r="B23" s="5" t="s">
        <v>278</v>
      </c>
      <c r="C23" s="12">
        <f>C11</f>
        <v>21133424.30439384</v>
      </c>
      <c r="D23" s="12">
        <f>C23*C13/4</f>
        <v>18547.36054082986</v>
      </c>
    </row>
    <row r="24" spans="2:4" ht="12.75">
      <c r="B24" s="5" t="s">
        <v>279</v>
      </c>
      <c r="C24" s="12">
        <f aca="true" t="shared" si="0" ref="C24:C30">C23+D23</f>
        <v>21151971.66493467</v>
      </c>
      <c r="D24" s="12">
        <f>C24*C13/4</f>
        <v>18563.638290146613</v>
      </c>
    </row>
    <row r="25" spans="2:4" ht="12.75">
      <c r="B25" s="5" t="s">
        <v>280</v>
      </c>
      <c r="C25" s="12">
        <f t="shared" si="0"/>
        <v>21170535.303224817</v>
      </c>
      <c r="D25" s="12">
        <f>C25*C13/4</f>
        <v>18579.930325330206</v>
      </c>
    </row>
    <row r="26" spans="2:4" ht="12.75">
      <c r="B26" s="5" t="s">
        <v>281</v>
      </c>
      <c r="C26" s="12">
        <f t="shared" si="0"/>
        <v>21189115.233550146</v>
      </c>
      <c r="D26" s="12">
        <f>C26*C13/4</f>
        <v>18596.236658918355</v>
      </c>
    </row>
    <row r="27" spans="2:4" ht="12.75">
      <c r="B27" s="5" t="s">
        <v>292</v>
      </c>
      <c r="C27" s="12">
        <f t="shared" si="0"/>
        <v>21207711.470209066</v>
      </c>
      <c r="D27" s="12">
        <f>C27*C13/4</f>
        <v>18612.557303459802</v>
      </c>
    </row>
    <row r="28" spans="2:4" ht="12.75">
      <c r="B28" s="5" t="s">
        <v>293</v>
      </c>
      <c r="C28" s="12">
        <f t="shared" si="0"/>
        <v>21226324.027512524</v>
      </c>
      <c r="D28" s="12">
        <f>C28*C13/4</f>
        <v>18628.892271514283</v>
      </c>
    </row>
    <row r="29" spans="2:4" ht="12.75">
      <c r="B29" s="5" t="s">
        <v>294</v>
      </c>
      <c r="C29" s="12">
        <f t="shared" si="0"/>
        <v>21244952.91978404</v>
      </c>
      <c r="D29" s="12">
        <f>C29*C13/4</f>
        <v>18645.241575652573</v>
      </c>
    </row>
    <row r="30" spans="2:4" ht="12.75">
      <c r="B30" s="5" t="s">
        <v>295</v>
      </c>
      <c r="C30" s="12">
        <f t="shared" si="0"/>
        <v>21263598.16135969</v>
      </c>
      <c r="D30" s="12">
        <f>C30*C13/4</f>
        <v>18661.60522845647</v>
      </c>
    </row>
    <row r="31" spans="2:4" ht="12.75">
      <c r="B31" s="5" t="s">
        <v>266</v>
      </c>
      <c r="C31" s="68"/>
      <c r="D31" s="15">
        <f>SUM(D23:D30)</f>
        <v>148835.46219430817</v>
      </c>
    </row>
    <row r="34" ht="13.5" customHeight="1"/>
    <row r="35" ht="12.75">
      <c r="B35" s="8" t="s">
        <v>267</v>
      </c>
    </row>
  </sheetData>
  <printOptions/>
  <pageMargins left="0.5" right="0.5" top="1" bottom="1" header="0.5" footer="0.5"/>
  <pageSetup horizontalDpi="600" verticalDpi="600" orientation="portrait" r:id="rId3"/>
  <headerFooter alignWithMargins="0">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sheetPr>
  <dimension ref="A1:A17"/>
  <sheetViews>
    <sheetView showGridLines="0" workbookViewId="0" topLeftCell="A1">
      <selection activeCell="A1" sqref="A1"/>
    </sheetView>
  </sheetViews>
  <sheetFormatPr defaultColWidth="8.88671875" defaultRowHeight="15"/>
  <cols>
    <col min="1" max="1" width="80.77734375" style="0" customWidth="1"/>
  </cols>
  <sheetData>
    <row r="1" ht="15.75">
      <c r="A1" s="398" t="s">
        <v>698</v>
      </c>
    </row>
    <row r="2" ht="15.75">
      <c r="A2" s="398" t="s">
        <v>699</v>
      </c>
    </row>
    <row r="3" ht="15.75">
      <c r="A3" s="398" t="s">
        <v>700</v>
      </c>
    </row>
    <row r="4" ht="15.75">
      <c r="A4" s="18"/>
    </row>
    <row r="5" s="400" customFormat="1" ht="47.25">
      <c r="A5" s="399" t="s">
        <v>701</v>
      </c>
    </row>
    <row r="6" s="400" customFormat="1" ht="12" customHeight="1">
      <c r="A6" s="399"/>
    </row>
    <row r="7" s="400" customFormat="1" ht="47.25">
      <c r="A7" s="399" t="s">
        <v>0</v>
      </c>
    </row>
    <row r="8" s="400" customFormat="1" ht="12" customHeight="1">
      <c r="A8" s="399"/>
    </row>
    <row r="9" s="400" customFormat="1" ht="63">
      <c r="A9" s="399" t="s">
        <v>1</v>
      </c>
    </row>
    <row r="10" s="400" customFormat="1" ht="12" customHeight="1">
      <c r="A10" s="399"/>
    </row>
    <row r="11" s="400" customFormat="1" ht="63">
      <c r="A11" s="399" t="s">
        <v>2</v>
      </c>
    </row>
    <row r="12" s="400" customFormat="1" ht="12" customHeight="1">
      <c r="A12" s="399"/>
    </row>
    <row r="13" s="400" customFormat="1" ht="47.25">
      <c r="A13" s="399" t="s">
        <v>3</v>
      </c>
    </row>
    <row r="14" s="400" customFormat="1" ht="12" customHeight="1">
      <c r="A14" s="399"/>
    </row>
    <row r="15" s="400" customFormat="1" ht="47.25">
      <c r="A15" s="399" t="s">
        <v>4</v>
      </c>
    </row>
    <row r="16" s="400" customFormat="1" ht="15.75">
      <c r="A16" s="399"/>
    </row>
    <row r="17" s="400" customFormat="1" ht="31.5">
      <c r="A17" s="399" t="s">
        <v>5</v>
      </c>
    </row>
    <row r="18" s="400" customFormat="1" ht="15"/>
    <row r="19" s="400" customFormat="1" ht="15"/>
    <row r="20" s="400" customFormat="1" ht="15"/>
    <row r="21" s="400" customFormat="1" ht="1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2"/>
  </sheetPr>
  <dimension ref="A11:C16"/>
  <sheetViews>
    <sheetView showGridLines="0" workbookViewId="0" topLeftCell="A1">
      <selection activeCell="B13" sqref="B13"/>
    </sheetView>
  </sheetViews>
  <sheetFormatPr defaultColWidth="8.88671875" defaultRowHeight="15"/>
  <cols>
    <col min="1" max="1" width="13.5546875" style="0" customWidth="1"/>
    <col min="2" max="2" width="54.5546875" style="0" bestFit="1" customWidth="1"/>
  </cols>
  <sheetData>
    <row r="11" spans="1:3" ht="23.25">
      <c r="A11" s="232" t="s">
        <v>284</v>
      </c>
      <c r="B11" s="233"/>
      <c r="C11" s="233"/>
    </row>
    <row r="12" spans="1:3" ht="24" thickBot="1">
      <c r="A12" s="232" t="s">
        <v>244</v>
      </c>
      <c r="B12" s="233"/>
      <c r="C12" s="233"/>
    </row>
    <row r="13" ht="24" thickBot="1">
      <c r="B13" s="30" t="s">
        <v>316</v>
      </c>
    </row>
    <row r="15" ht="15.75">
      <c r="B15" s="1"/>
    </row>
    <row r="16" ht="15.75">
      <c r="B16" s="1"/>
    </row>
  </sheetData>
  <mergeCells count="2">
    <mergeCell ref="A11:C11"/>
    <mergeCell ref="A12:C12"/>
  </mergeCells>
  <printOptions/>
  <pageMargins left="0.75" right="0.75" top="1" bottom="1" header="0.5" footer="0.5"/>
  <pageSetup horizontalDpi="600" verticalDpi="600" orientation="portrait" scale="92"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N68"/>
  <sheetViews>
    <sheetView showGridLines="0" workbookViewId="0" topLeftCell="C1">
      <selection activeCell="C28" sqref="C28"/>
    </sheetView>
  </sheetViews>
  <sheetFormatPr defaultColWidth="14.4453125" defaultRowHeight="15"/>
  <cols>
    <col min="1" max="1" width="4.77734375" style="73" customWidth="1"/>
    <col min="2" max="2" width="1.77734375" style="2" customWidth="1"/>
    <col min="3" max="3" width="28.99609375" style="2" customWidth="1"/>
    <col min="4" max="4" width="14.4453125" style="2" bestFit="1" customWidth="1"/>
    <col min="5" max="5" width="0.88671875" style="2" customWidth="1"/>
    <col min="6" max="6" width="14.4453125" style="2" bestFit="1" customWidth="1"/>
    <col min="7" max="7" width="0.88671875" style="2" customWidth="1"/>
    <col min="8" max="8" width="14.4453125" style="2" bestFit="1" customWidth="1"/>
    <col min="9" max="9" width="0.88671875" style="2" customWidth="1"/>
    <col min="10" max="10" width="12.88671875" style="2" bestFit="1" customWidth="1"/>
    <col min="11" max="11" width="0.88671875" style="2" customWidth="1"/>
    <col min="12" max="12" width="14.4453125" style="2" customWidth="1"/>
    <col min="13" max="13" width="0.78125" style="2" customWidth="1"/>
    <col min="14" max="14" width="16.5546875" style="2" bestFit="1" customWidth="1"/>
    <col min="15" max="15" width="14.4453125" style="2" customWidth="1"/>
    <col min="16" max="16" width="0.9921875" style="2" customWidth="1"/>
    <col min="17" max="16384" width="14.4453125" style="2" customWidth="1"/>
  </cols>
  <sheetData>
    <row r="1" spans="1:14" ht="12.75">
      <c r="A1" s="70" t="s">
        <v>15</v>
      </c>
      <c r="B1" s="71"/>
      <c r="C1" s="71"/>
      <c r="D1" s="71"/>
      <c r="E1" s="71"/>
      <c r="F1" s="71"/>
      <c r="G1" s="71"/>
      <c r="H1" s="71"/>
      <c r="I1" s="71"/>
      <c r="J1" s="71"/>
      <c r="K1" s="71"/>
      <c r="L1" s="71"/>
      <c r="M1" s="71"/>
      <c r="N1" s="72" t="s">
        <v>285</v>
      </c>
    </row>
    <row r="2" spans="1:14" ht="12.75">
      <c r="A2" s="70" t="s">
        <v>134</v>
      </c>
      <c r="B2" s="71"/>
      <c r="C2" s="71"/>
      <c r="D2" s="71"/>
      <c r="E2" s="71"/>
      <c r="F2" s="71"/>
      <c r="G2" s="71"/>
      <c r="H2" s="71"/>
      <c r="I2" s="71"/>
      <c r="J2" s="71"/>
      <c r="K2" s="71"/>
      <c r="L2" s="71"/>
      <c r="M2" s="71"/>
      <c r="N2" s="72"/>
    </row>
    <row r="3" spans="1:13" ht="12.75">
      <c r="A3" s="70" t="s">
        <v>286</v>
      </c>
      <c r="B3" s="71"/>
      <c r="C3" s="71"/>
      <c r="D3" s="71"/>
      <c r="E3" s="71"/>
      <c r="F3" s="71"/>
      <c r="G3" s="71"/>
      <c r="H3" s="71"/>
      <c r="I3" s="71"/>
      <c r="J3" s="71"/>
      <c r="K3" s="71"/>
      <c r="L3" s="71"/>
      <c r="M3" s="71"/>
    </row>
    <row r="4" ht="12.75"/>
    <row r="5" ht="12.75"/>
    <row r="6" spans="4:14" ht="12.75">
      <c r="D6" s="76"/>
      <c r="E6" s="28"/>
      <c r="I6" s="75"/>
      <c r="K6" s="75"/>
      <c r="L6" s="75"/>
      <c r="M6" s="75"/>
      <c r="N6" s="76" t="s">
        <v>136</v>
      </c>
    </row>
    <row r="7" spans="1:14" ht="12.75">
      <c r="A7" s="73" t="s">
        <v>153</v>
      </c>
      <c r="D7" s="75"/>
      <c r="E7" s="28"/>
      <c r="H7" s="184"/>
      <c r="J7" s="77" t="s">
        <v>191</v>
      </c>
      <c r="L7" s="77" t="s">
        <v>130</v>
      </c>
      <c r="N7" s="76" t="s">
        <v>137</v>
      </c>
    </row>
    <row r="8" spans="1:14" ht="12.75">
      <c r="A8" s="78" t="s">
        <v>129</v>
      </c>
      <c r="D8" s="75" t="s">
        <v>111</v>
      </c>
      <c r="F8" s="75" t="s">
        <v>131</v>
      </c>
      <c r="H8" s="75" t="s">
        <v>132</v>
      </c>
      <c r="J8" s="75" t="s">
        <v>164</v>
      </c>
      <c r="L8" s="168" t="s">
        <v>17</v>
      </c>
      <c r="M8" s="76"/>
      <c r="N8" s="168" t="s">
        <v>138</v>
      </c>
    </row>
    <row r="9" spans="1:14" ht="12.75">
      <c r="A9" s="79" t="s">
        <v>133</v>
      </c>
      <c r="B9" s="80" t="s">
        <v>16</v>
      </c>
      <c r="C9" s="81"/>
      <c r="D9" s="32"/>
      <c r="F9" s="32"/>
      <c r="H9" s="32"/>
      <c r="J9" s="32"/>
      <c r="N9" s="32"/>
    </row>
    <row r="10" spans="1:14" ht="12.75">
      <c r="A10" s="82">
        <f>+A9+1</f>
        <v>2</v>
      </c>
      <c r="C10" s="83" t="s">
        <v>268</v>
      </c>
      <c r="D10" s="27">
        <f aca="true" t="shared" si="0" ref="D10:D22">+D32+D54</f>
        <v>6695031872.2</v>
      </c>
      <c r="E10" s="28"/>
      <c r="F10" s="27">
        <f aca="true" t="shared" si="1" ref="F10:F22">+F32+F54</f>
        <v>2483677173.2400002</v>
      </c>
      <c r="G10" s="27">
        <f>+G32+G54</f>
        <v>0</v>
      </c>
      <c r="H10" s="27">
        <f aca="true" t="shared" si="2" ref="H10:H22">+H32+H54</f>
        <v>3817776533.33</v>
      </c>
      <c r="I10" s="27">
        <f>+I32+I54</f>
        <v>0</v>
      </c>
      <c r="J10" s="27">
        <f aca="true" t="shared" si="3" ref="J10:J22">+J32+J54</f>
        <v>488551473.41999996</v>
      </c>
      <c r="K10" s="27">
        <f aca="true" t="shared" si="4" ref="K10:L13">+K32+K54</f>
        <v>0</v>
      </c>
      <c r="L10" s="28">
        <f t="shared" si="4"/>
        <v>623732846.9300001</v>
      </c>
      <c r="M10" s="27"/>
      <c r="N10" s="27">
        <f>SUM(D10:L10)</f>
        <v>14108769899.12</v>
      </c>
    </row>
    <row r="11" spans="1:14" ht="12.75">
      <c r="A11" s="82">
        <f aca="true" t="shared" si="5" ref="A11:A68">+A10+1</f>
        <v>3</v>
      </c>
      <c r="C11" s="83" t="s">
        <v>287</v>
      </c>
      <c r="D11" s="28">
        <f t="shared" si="0"/>
        <v>6698551818.259301</v>
      </c>
      <c r="E11" s="28"/>
      <c r="F11" s="28">
        <f t="shared" si="1"/>
        <v>2494508591.2228003</v>
      </c>
      <c r="G11" s="28">
        <f>+G33+G55</f>
        <v>0</v>
      </c>
      <c r="H11" s="28">
        <f t="shared" si="2"/>
        <v>3825000795.6401997</v>
      </c>
      <c r="I11" s="28">
        <f>+I33+I55</f>
        <v>0</v>
      </c>
      <c r="J11" s="28">
        <f t="shared" si="3"/>
        <v>492039715.27009994</v>
      </c>
      <c r="K11" s="28">
        <f t="shared" si="4"/>
        <v>0</v>
      </c>
      <c r="L11" s="28">
        <f t="shared" si="4"/>
        <v>624030723.0604</v>
      </c>
      <c r="M11" s="105"/>
      <c r="N11" s="19">
        <f>SUM(D11:L11)</f>
        <v>14134131643.4528</v>
      </c>
    </row>
    <row r="12" spans="1:14" ht="12.75">
      <c r="A12" s="82">
        <f t="shared" si="5"/>
        <v>4</v>
      </c>
      <c r="C12" s="83" t="s">
        <v>270</v>
      </c>
      <c r="D12" s="28">
        <f t="shared" si="0"/>
        <v>6702763304.739499</v>
      </c>
      <c r="E12" s="28"/>
      <c r="F12" s="28">
        <f t="shared" si="1"/>
        <v>2509601872.7539</v>
      </c>
      <c r="G12" s="28">
        <f>+G34+G56</f>
        <v>0</v>
      </c>
      <c r="H12" s="28">
        <f t="shared" si="2"/>
        <v>3834762195.0302</v>
      </c>
      <c r="I12" s="28">
        <f>+I34+I56</f>
        <v>0</v>
      </c>
      <c r="J12" s="28">
        <f t="shared" si="3"/>
        <v>494901198.14989996</v>
      </c>
      <c r="K12" s="28">
        <f t="shared" si="4"/>
        <v>0</v>
      </c>
      <c r="L12" s="28">
        <f t="shared" si="4"/>
        <v>611800222.0909</v>
      </c>
      <c r="M12" s="105"/>
      <c r="N12" s="19">
        <f aca="true" t="shared" si="6" ref="N12:N22">SUM(D12:L12)</f>
        <v>14153828792.764399</v>
      </c>
    </row>
    <row r="13" spans="1:14" ht="12.75">
      <c r="A13" s="82">
        <f t="shared" si="5"/>
        <v>5</v>
      </c>
      <c r="C13" s="83" t="s">
        <v>271</v>
      </c>
      <c r="D13" s="28">
        <f t="shared" si="0"/>
        <v>6695292678.0304</v>
      </c>
      <c r="E13" s="28"/>
      <c r="F13" s="28">
        <f t="shared" si="1"/>
        <v>2528517976.4028</v>
      </c>
      <c r="G13" s="28">
        <f>+G35+G57</f>
        <v>0</v>
      </c>
      <c r="H13" s="28">
        <f t="shared" si="2"/>
        <v>3843552882.7702</v>
      </c>
      <c r="I13" s="28">
        <f>+I35+I57</f>
        <v>0</v>
      </c>
      <c r="J13" s="28">
        <f t="shared" si="3"/>
        <v>495454947.7007</v>
      </c>
      <c r="K13" s="28">
        <f t="shared" si="4"/>
        <v>0</v>
      </c>
      <c r="L13" s="28">
        <f t="shared" si="4"/>
        <v>572637049.6205999</v>
      </c>
      <c r="M13" s="105"/>
      <c r="N13" s="19">
        <f t="shared" si="6"/>
        <v>14135455534.5247</v>
      </c>
    </row>
    <row r="14" spans="1:14" ht="12.75">
      <c r="A14" s="82">
        <f t="shared" si="5"/>
        <v>6</v>
      </c>
      <c r="C14" s="83" t="s">
        <v>156</v>
      </c>
      <c r="D14" s="28">
        <f t="shared" si="0"/>
        <v>6695060501.629499</v>
      </c>
      <c r="E14" s="28"/>
      <c r="F14" s="28">
        <f t="shared" si="1"/>
        <v>2557767254.6624002</v>
      </c>
      <c r="G14" s="28">
        <f aca="true" t="shared" si="7" ref="G14:L14">+G36+G58</f>
        <v>0</v>
      </c>
      <c r="H14" s="28">
        <f t="shared" si="2"/>
        <v>3856990698.6302</v>
      </c>
      <c r="I14" s="28">
        <f t="shared" si="7"/>
        <v>0</v>
      </c>
      <c r="J14" s="28">
        <f t="shared" si="3"/>
        <v>498135617.22999996</v>
      </c>
      <c r="K14" s="28">
        <f t="shared" si="7"/>
        <v>0</v>
      </c>
      <c r="L14" s="28">
        <f t="shared" si="7"/>
        <v>578905662.6205</v>
      </c>
      <c r="M14" s="105"/>
      <c r="N14" s="19">
        <f t="shared" si="6"/>
        <v>14186859734.7726</v>
      </c>
    </row>
    <row r="15" spans="1:14" ht="12.75">
      <c r="A15" s="82">
        <f t="shared" si="5"/>
        <v>7</v>
      </c>
      <c r="C15" s="83" t="s">
        <v>272</v>
      </c>
      <c r="D15" s="28">
        <f t="shared" si="0"/>
        <v>6696377776.7302</v>
      </c>
      <c r="E15" s="28"/>
      <c r="F15" s="28">
        <f t="shared" si="1"/>
        <v>2563061954.9118004</v>
      </c>
      <c r="G15" s="28">
        <f aca="true" t="shared" si="8" ref="G15:L15">+G37+G59</f>
        <v>0</v>
      </c>
      <c r="H15" s="28">
        <f t="shared" si="2"/>
        <v>3833691291.0402</v>
      </c>
      <c r="I15" s="28">
        <f t="shared" si="8"/>
        <v>0</v>
      </c>
      <c r="J15" s="28">
        <f t="shared" si="3"/>
        <v>493160468.82119995</v>
      </c>
      <c r="K15" s="28">
        <f t="shared" si="8"/>
        <v>0</v>
      </c>
      <c r="L15" s="28">
        <f t="shared" si="8"/>
        <v>555006663.5711999</v>
      </c>
      <c r="M15" s="105"/>
      <c r="N15" s="19">
        <f t="shared" si="6"/>
        <v>14141298155.0746</v>
      </c>
    </row>
    <row r="16" spans="1:14" ht="12.75">
      <c r="A16" s="82">
        <f t="shared" si="5"/>
        <v>8</v>
      </c>
      <c r="C16" s="83" t="s">
        <v>273</v>
      </c>
      <c r="D16" s="28">
        <f t="shared" si="0"/>
        <v>6700873589.570002</v>
      </c>
      <c r="E16" s="28"/>
      <c r="F16" s="28">
        <f t="shared" si="1"/>
        <v>2577321777.7920003</v>
      </c>
      <c r="G16" s="28">
        <f aca="true" t="shared" si="9" ref="G16:L16">+G38+G60</f>
        <v>0</v>
      </c>
      <c r="H16" s="28">
        <f t="shared" si="2"/>
        <v>3834926511.9302006</v>
      </c>
      <c r="I16" s="28">
        <f t="shared" si="9"/>
        <v>0</v>
      </c>
      <c r="J16" s="28">
        <f t="shared" si="3"/>
        <v>487742319.05050004</v>
      </c>
      <c r="K16" s="28">
        <f t="shared" si="9"/>
        <v>0</v>
      </c>
      <c r="L16" s="28">
        <f t="shared" si="9"/>
        <v>560416400.4613</v>
      </c>
      <c r="M16" s="105"/>
      <c r="N16" s="19">
        <f t="shared" si="6"/>
        <v>14161280598.804003</v>
      </c>
    </row>
    <row r="17" spans="1:14" ht="12.75">
      <c r="A17" s="82">
        <f t="shared" si="5"/>
        <v>9</v>
      </c>
      <c r="C17" s="83" t="s">
        <v>158</v>
      </c>
      <c r="D17" s="28">
        <f t="shared" si="0"/>
        <v>6722941615.2707</v>
      </c>
      <c r="E17" s="28"/>
      <c r="F17" s="28">
        <f t="shared" si="1"/>
        <v>2590129548.6326003</v>
      </c>
      <c r="G17" s="28">
        <f aca="true" t="shared" si="10" ref="G17:L17">+G39+G61</f>
        <v>0</v>
      </c>
      <c r="H17" s="28">
        <f t="shared" si="2"/>
        <v>3844273548.2502</v>
      </c>
      <c r="I17" s="28">
        <f t="shared" si="10"/>
        <v>0</v>
      </c>
      <c r="J17" s="28">
        <f t="shared" si="3"/>
        <v>490209093.7702</v>
      </c>
      <c r="K17" s="28">
        <f t="shared" si="10"/>
        <v>0</v>
      </c>
      <c r="L17" s="28">
        <f t="shared" si="10"/>
        <v>564644316.0211</v>
      </c>
      <c r="M17" s="105"/>
      <c r="N17" s="19">
        <f t="shared" si="6"/>
        <v>14212198121.944801</v>
      </c>
    </row>
    <row r="18" spans="1:14" ht="12.75">
      <c r="A18" s="82">
        <f t="shared" si="5"/>
        <v>10</v>
      </c>
      <c r="C18" s="83" t="s">
        <v>274</v>
      </c>
      <c r="D18" s="28">
        <f t="shared" si="0"/>
        <v>6748223128.551001</v>
      </c>
      <c r="E18" s="28"/>
      <c r="F18" s="28">
        <f t="shared" si="1"/>
        <v>2599255357.0616</v>
      </c>
      <c r="G18" s="28">
        <f aca="true" t="shared" si="11" ref="G18:L18">+G40+G62</f>
        <v>0</v>
      </c>
      <c r="H18" s="28">
        <f t="shared" si="2"/>
        <v>3859557309.190199</v>
      </c>
      <c r="I18" s="28">
        <f t="shared" si="11"/>
        <v>0</v>
      </c>
      <c r="J18" s="28">
        <f t="shared" si="3"/>
        <v>492931738.7195</v>
      </c>
      <c r="K18" s="28">
        <f t="shared" si="11"/>
        <v>0</v>
      </c>
      <c r="L18" s="28">
        <f t="shared" si="11"/>
        <v>568272059.2012001</v>
      </c>
      <c r="M18" s="105"/>
      <c r="N18" s="19">
        <f t="shared" si="6"/>
        <v>14268239592.7235</v>
      </c>
    </row>
    <row r="19" spans="1:14" ht="12.75">
      <c r="A19" s="82">
        <f t="shared" si="5"/>
        <v>11</v>
      </c>
      <c r="C19" s="83" t="s">
        <v>275</v>
      </c>
      <c r="D19" s="28">
        <f t="shared" si="0"/>
        <v>6754886368.8116</v>
      </c>
      <c r="E19" s="28"/>
      <c r="F19" s="28">
        <f t="shared" si="1"/>
        <v>2641549549.0710998</v>
      </c>
      <c r="G19" s="28">
        <f aca="true" t="shared" si="12" ref="G19:L19">+G41+G63</f>
        <v>0</v>
      </c>
      <c r="H19" s="28">
        <f t="shared" si="2"/>
        <v>3874577978.0502</v>
      </c>
      <c r="I19" s="28">
        <f t="shared" si="12"/>
        <v>0</v>
      </c>
      <c r="J19" s="28">
        <f t="shared" si="3"/>
        <v>519372705.9999</v>
      </c>
      <c r="K19" s="28">
        <f t="shared" si="12"/>
        <v>0</v>
      </c>
      <c r="L19" s="28">
        <f t="shared" si="12"/>
        <v>570485148.2805002</v>
      </c>
      <c r="M19" s="105"/>
      <c r="N19" s="19">
        <f t="shared" si="6"/>
        <v>14360871750.2133</v>
      </c>
    </row>
    <row r="20" spans="1:14" ht="12.75">
      <c r="A20" s="82">
        <f t="shared" si="5"/>
        <v>12</v>
      </c>
      <c r="C20" s="83" t="s">
        <v>276</v>
      </c>
      <c r="D20" s="28">
        <f t="shared" si="0"/>
        <v>6758464215.9509</v>
      </c>
      <c r="E20" s="28"/>
      <c r="F20" s="28">
        <f t="shared" si="1"/>
        <v>2652181271.1203003</v>
      </c>
      <c r="G20" s="28">
        <f aca="true" t="shared" si="13" ref="G20:L20">+G42+G64</f>
        <v>0</v>
      </c>
      <c r="H20" s="28">
        <f t="shared" si="2"/>
        <v>3892165909.0202</v>
      </c>
      <c r="I20" s="28">
        <f t="shared" si="13"/>
        <v>0</v>
      </c>
      <c r="J20" s="28">
        <f t="shared" si="3"/>
        <v>548807672.5797</v>
      </c>
      <c r="K20" s="28">
        <f t="shared" si="13"/>
        <v>0</v>
      </c>
      <c r="L20" s="28">
        <f t="shared" si="13"/>
        <v>574949493.4404</v>
      </c>
      <c r="M20" s="105"/>
      <c r="N20" s="19">
        <f t="shared" si="6"/>
        <v>14426568562.1115</v>
      </c>
    </row>
    <row r="21" spans="1:14" ht="12.75">
      <c r="A21" s="82">
        <f t="shared" si="5"/>
        <v>13</v>
      </c>
      <c r="C21" s="83" t="s">
        <v>277</v>
      </c>
      <c r="D21" s="28">
        <f t="shared" si="0"/>
        <v>6780235995.950601</v>
      </c>
      <c r="E21" s="28"/>
      <c r="F21" s="28">
        <f t="shared" si="1"/>
        <v>2662314219.4611998</v>
      </c>
      <c r="G21" s="28">
        <f aca="true" t="shared" si="14" ref="G21:L21">+G43+G65</f>
        <v>0</v>
      </c>
      <c r="H21" s="28">
        <f t="shared" si="2"/>
        <v>3903916123.4002</v>
      </c>
      <c r="I21" s="28">
        <f t="shared" si="14"/>
        <v>0</v>
      </c>
      <c r="J21" s="28">
        <f t="shared" si="3"/>
        <v>568985357.8596</v>
      </c>
      <c r="K21" s="28">
        <f t="shared" si="14"/>
        <v>0</v>
      </c>
      <c r="L21" s="28">
        <f t="shared" si="14"/>
        <v>574346019.4405</v>
      </c>
      <c r="M21" s="105"/>
      <c r="N21" s="19">
        <f t="shared" si="6"/>
        <v>14489797716.1121</v>
      </c>
    </row>
    <row r="22" spans="1:14" ht="12.75">
      <c r="A22" s="82">
        <f t="shared" si="5"/>
        <v>14</v>
      </c>
      <c r="C22" s="83" t="s">
        <v>187</v>
      </c>
      <c r="D22" s="28">
        <f t="shared" si="0"/>
        <v>6796210576.07</v>
      </c>
      <c r="E22" s="28"/>
      <c r="F22" s="28">
        <f t="shared" si="1"/>
        <v>2684625374.69</v>
      </c>
      <c r="G22" s="28">
        <f aca="true" t="shared" si="15" ref="G22:L22">+G44+G66</f>
        <v>0</v>
      </c>
      <c r="H22" s="28">
        <f t="shared" si="2"/>
        <v>3919006720.66</v>
      </c>
      <c r="I22" s="28">
        <f t="shared" si="15"/>
        <v>0</v>
      </c>
      <c r="J22" s="28">
        <f t="shared" si="3"/>
        <v>574439224.47</v>
      </c>
      <c r="K22" s="28">
        <f t="shared" si="15"/>
        <v>0</v>
      </c>
      <c r="L22" s="28">
        <f t="shared" si="15"/>
        <v>589025733.7</v>
      </c>
      <c r="M22" s="105"/>
      <c r="N22" s="19">
        <f t="shared" si="6"/>
        <v>14563307629.59</v>
      </c>
    </row>
    <row r="23" spans="1:14" ht="12.75">
      <c r="A23" s="82">
        <f t="shared" si="5"/>
        <v>15</v>
      </c>
      <c r="C23" s="83"/>
      <c r="D23" s="31"/>
      <c r="F23" s="31"/>
      <c r="H23" s="31"/>
      <c r="I23" s="19"/>
      <c r="J23" s="31"/>
      <c r="K23" s="19"/>
      <c r="L23" s="169"/>
      <c r="M23" s="105"/>
      <c r="N23" s="31"/>
    </row>
    <row r="24" spans="1:14" ht="13.5" thickBot="1">
      <c r="A24" s="82">
        <f t="shared" si="5"/>
        <v>16</v>
      </c>
      <c r="C24" s="177" t="s">
        <v>135</v>
      </c>
      <c r="D24" s="33">
        <f>D46+D68</f>
        <v>6726531803.212593</v>
      </c>
      <c r="F24" s="33">
        <f>F46+F68</f>
        <v>2580347070.847885</v>
      </c>
      <c r="G24" s="71"/>
      <c r="H24" s="33">
        <f>H46+H68</f>
        <v>3856938345.9186296</v>
      </c>
      <c r="I24" s="172"/>
      <c r="J24" s="33">
        <f>J46+J68</f>
        <v>511133194.8493308</v>
      </c>
      <c r="K24" s="27"/>
      <c r="L24" s="33">
        <f>L46+L68</f>
        <v>582173256.8029692</v>
      </c>
      <c r="M24" s="108"/>
      <c r="N24" s="33">
        <f>N46+N68</f>
        <v>14257123671.631407</v>
      </c>
    </row>
    <row r="25" spans="1:14" ht="13.5" thickTop="1">
      <c r="A25" s="82">
        <f t="shared" si="5"/>
        <v>17</v>
      </c>
      <c r="D25" s="19"/>
      <c r="F25" s="19"/>
      <c r="H25" s="19"/>
      <c r="I25" s="19"/>
      <c r="J25" s="19"/>
      <c r="K25" s="19"/>
      <c r="L25" s="19"/>
      <c r="M25" s="19"/>
      <c r="N25" s="19"/>
    </row>
    <row r="26" spans="1:14" ht="12.75">
      <c r="A26" s="82">
        <f t="shared" si="5"/>
        <v>18</v>
      </c>
      <c r="D26" s="19"/>
      <c r="F26" s="19"/>
      <c r="H26" s="19"/>
      <c r="I26" s="19"/>
      <c r="J26" s="19"/>
      <c r="K26" s="19"/>
      <c r="L26" s="19"/>
      <c r="M26" s="19"/>
      <c r="N26" s="19"/>
    </row>
    <row r="27" spans="1:13" ht="12.75">
      <c r="A27" s="82">
        <f t="shared" si="5"/>
        <v>19</v>
      </c>
      <c r="E27" s="28"/>
      <c r="I27" s="75"/>
      <c r="K27" s="75"/>
      <c r="L27" s="75"/>
      <c r="M27" s="75"/>
    </row>
    <row r="28" spans="1:14" ht="12.75">
      <c r="A28" s="82">
        <f t="shared" si="5"/>
        <v>20</v>
      </c>
      <c r="D28" s="76"/>
      <c r="E28" s="28"/>
      <c r="I28" s="75"/>
      <c r="K28" s="75"/>
      <c r="L28" s="75"/>
      <c r="M28" s="75"/>
      <c r="N28" s="76" t="s">
        <v>136</v>
      </c>
    </row>
    <row r="29" spans="1:14" ht="12.75">
      <c r="A29" s="82">
        <f t="shared" si="5"/>
        <v>21</v>
      </c>
      <c r="D29" s="75"/>
      <c r="E29" s="28"/>
      <c r="H29" s="184"/>
      <c r="J29" s="77" t="s">
        <v>191</v>
      </c>
      <c r="L29" s="77" t="s">
        <v>130</v>
      </c>
      <c r="N29" s="76" t="s">
        <v>137</v>
      </c>
    </row>
    <row r="30" spans="1:14" ht="12.75">
      <c r="A30" s="82">
        <f t="shared" si="5"/>
        <v>22</v>
      </c>
      <c r="C30" s="5"/>
      <c r="D30" s="75" t="s">
        <v>111</v>
      </c>
      <c r="F30" s="75" t="s">
        <v>131</v>
      </c>
      <c r="H30" s="75" t="s">
        <v>132</v>
      </c>
      <c r="J30" s="75" t="s">
        <v>164</v>
      </c>
      <c r="L30" s="168" t="s">
        <v>17</v>
      </c>
      <c r="M30" s="76"/>
      <c r="N30" s="168" t="s">
        <v>138</v>
      </c>
    </row>
    <row r="31" spans="1:14" ht="12.75">
      <c r="A31" s="82">
        <f t="shared" si="5"/>
        <v>23</v>
      </c>
      <c r="B31" s="80" t="s">
        <v>18</v>
      </c>
      <c r="C31" s="81"/>
      <c r="D31" s="32"/>
      <c r="F31" s="32"/>
      <c r="H31" s="32"/>
      <c r="J31" s="32"/>
      <c r="N31" s="32"/>
    </row>
    <row r="32" spans="1:14" ht="13.5" customHeight="1">
      <c r="A32" s="82">
        <f t="shared" si="5"/>
        <v>24</v>
      </c>
      <c r="C32" s="83" t="s">
        <v>268</v>
      </c>
      <c r="D32" s="28">
        <v>6271558924</v>
      </c>
      <c r="E32" s="28"/>
      <c r="F32" s="28">
        <v>1979213495</v>
      </c>
      <c r="G32" s="28"/>
      <c r="H32" s="28">
        <v>3153187045</v>
      </c>
      <c r="I32" s="28"/>
      <c r="J32" s="28">
        <v>409358028</v>
      </c>
      <c r="K32" s="19"/>
      <c r="L32" s="28">
        <v>518894155</v>
      </c>
      <c r="M32" s="27"/>
      <c r="N32" s="27">
        <f>SUM(D32:L32)</f>
        <v>12332211647</v>
      </c>
    </row>
    <row r="33" spans="1:14" ht="12.75">
      <c r="A33" s="82">
        <f t="shared" si="5"/>
        <v>25</v>
      </c>
      <c r="C33" s="83" t="s">
        <v>287</v>
      </c>
      <c r="D33" s="28">
        <v>6274773007.489301</v>
      </c>
      <c r="E33" s="28"/>
      <c r="F33" s="28">
        <v>1986469973.3928</v>
      </c>
      <c r="G33" s="28"/>
      <c r="H33" s="28">
        <v>3158995254.5401998</v>
      </c>
      <c r="I33" s="28"/>
      <c r="J33" s="28">
        <v>412761568.45009995</v>
      </c>
      <c r="K33" s="19"/>
      <c r="L33" s="28">
        <v>519296350.2804</v>
      </c>
      <c r="M33" s="105"/>
      <c r="N33" s="19">
        <f>SUM(D33:L33)</f>
        <v>12352296154.1528</v>
      </c>
    </row>
    <row r="34" spans="1:14" ht="12.75">
      <c r="A34" s="82">
        <f t="shared" si="5"/>
        <v>26</v>
      </c>
      <c r="C34" s="83" t="s">
        <v>270</v>
      </c>
      <c r="D34" s="28">
        <v>6278788494.539499</v>
      </c>
      <c r="E34" s="28"/>
      <c r="F34" s="28">
        <v>1994583284.3139</v>
      </c>
      <c r="G34" s="28"/>
      <c r="H34" s="28">
        <v>3166321550.8402</v>
      </c>
      <c r="I34" s="28"/>
      <c r="J34" s="28">
        <v>415322954.59989995</v>
      </c>
      <c r="K34" s="19"/>
      <c r="L34" s="28">
        <v>506618935.22089994</v>
      </c>
      <c r="M34" s="105"/>
      <c r="N34" s="19">
        <f aca="true" t="shared" si="16" ref="N34:N44">SUM(D34:L34)</f>
        <v>12361635219.514399</v>
      </c>
    </row>
    <row r="35" spans="1:14" ht="12.75">
      <c r="A35" s="82">
        <f t="shared" si="5"/>
        <v>27</v>
      </c>
      <c r="C35" s="83" t="s">
        <v>271</v>
      </c>
      <c r="D35" s="28">
        <v>6271019843.7204</v>
      </c>
      <c r="E35" s="28"/>
      <c r="F35" s="28">
        <v>2012153035.3328</v>
      </c>
      <c r="G35" s="28"/>
      <c r="H35" s="28">
        <v>3172619262.7702</v>
      </c>
      <c r="I35" s="28"/>
      <c r="J35" s="28">
        <v>415805635.3907</v>
      </c>
      <c r="K35" s="19"/>
      <c r="L35" s="28">
        <v>469193929.6705999</v>
      </c>
      <c r="M35" s="105"/>
      <c r="N35" s="19">
        <f t="shared" si="16"/>
        <v>12340791706.884697</v>
      </c>
    </row>
    <row r="36" spans="1:14" ht="12.75">
      <c r="A36" s="82">
        <f t="shared" si="5"/>
        <v>28</v>
      </c>
      <c r="C36" s="83" t="s">
        <v>156</v>
      </c>
      <c r="D36" s="28">
        <v>6271004379.9295</v>
      </c>
      <c r="E36" s="28"/>
      <c r="F36" s="28">
        <v>2029627962.9124</v>
      </c>
      <c r="G36" s="28"/>
      <c r="H36" s="28">
        <v>3183187767.0202</v>
      </c>
      <c r="I36" s="28"/>
      <c r="J36" s="28">
        <v>418393021.34</v>
      </c>
      <c r="K36" s="19"/>
      <c r="L36" s="28">
        <v>475111451.9905</v>
      </c>
      <c r="M36" s="105"/>
      <c r="N36" s="19">
        <f t="shared" si="16"/>
        <v>12377324583.192598</v>
      </c>
    </row>
    <row r="37" spans="1:14" ht="12.75">
      <c r="A37" s="82">
        <f t="shared" si="5"/>
        <v>29</v>
      </c>
      <c r="C37" s="83" t="s">
        <v>272</v>
      </c>
      <c r="D37" s="28">
        <v>6272911485.090199</v>
      </c>
      <c r="E37" s="28"/>
      <c r="F37" s="28">
        <v>2032925116.4518003</v>
      </c>
      <c r="G37" s="28"/>
      <c r="H37" s="28">
        <v>3156261449.1802</v>
      </c>
      <c r="I37" s="28"/>
      <c r="J37" s="28">
        <v>413127713.65119994</v>
      </c>
      <c r="K37" s="19"/>
      <c r="L37" s="28">
        <v>453591309.1711999</v>
      </c>
      <c r="M37" s="105"/>
      <c r="N37" s="19">
        <f t="shared" si="16"/>
        <v>12328817073.5446</v>
      </c>
    </row>
    <row r="38" spans="1:14" ht="12.75">
      <c r="A38" s="82">
        <f t="shared" si="5"/>
        <v>30</v>
      </c>
      <c r="C38" s="83" t="s">
        <v>273</v>
      </c>
      <c r="D38" s="28">
        <v>6276230761.510001</v>
      </c>
      <c r="E38" s="28"/>
      <c r="F38" s="28">
        <v>2042761624.9220002</v>
      </c>
      <c r="G38" s="28"/>
      <c r="H38" s="28">
        <v>3154207674.9202003</v>
      </c>
      <c r="I38" s="28"/>
      <c r="J38" s="28">
        <v>414575376.7205</v>
      </c>
      <c r="K38" s="19"/>
      <c r="L38" s="28">
        <v>459641426.6713</v>
      </c>
      <c r="M38" s="105"/>
      <c r="N38" s="19">
        <f t="shared" si="16"/>
        <v>12347416864.744001</v>
      </c>
    </row>
    <row r="39" spans="1:14" ht="12.75">
      <c r="A39" s="82">
        <f t="shared" si="5"/>
        <v>31</v>
      </c>
      <c r="C39" s="83" t="s">
        <v>158</v>
      </c>
      <c r="D39" s="28">
        <v>6297838443.3307</v>
      </c>
      <c r="E39" s="28"/>
      <c r="F39" s="28">
        <v>2055122317.7226002</v>
      </c>
      <c r="G39" s="28"/>
      <c r="H39" s="28">
        <v>3161753189.1302</v>
      </c>
      <c r="I39" s="28"/>
      <c r="J39" s="28">
        <v>416507672.4102</v>
      </c>
      <c r="K39" s="19"/>
      <c r="L39" s="28">
        <v>463142902.06110007</v>
      </c>
      <c r="M39" s="105"/>
      <c r="N39" s="19">
        <f t="shared" si="16"/>
        <v>12394364524.6548</v>
      </c>
    </row>
    <row r="40" spans="1:14" ht="12.75">
      <c r="A40" s="82">
        <f t="shared" si="5"/>
        <v>32</v>
      </c>
      <c r="C40" s="83" t="s">
        <v>274</v>
      </c>
      <c r="D40" s="28">
        <v>6321783697.621</v>
      </c>
      <c r="E40" s="28"/>
      <c r="F40" s="28">
        <v>2061314899.7916002</v>
      </c>
      <c r="G40" s="28"/>
      <c r="H40" s="28">
        <v>3174554117.030199</v>
      </c>
      <c r="I40" s="28"/>
      <c r="J40" s="28">
        <v>418546123.0695</v>
      </c>
      <c r="K40" s="19"/>
      <c r="L40" s="28">
        <v>466207179.16120005</v>
      </c>
      <c r="M40" s="105"/>
      <c r="N40" s="19">
        <f t="shared" si="16"/>
        <v>12442406016.673498</v>
      </c>
    </row>
    <row r="41" spans="1:14" ht="12.75">
      <c r="A41" s="82">
        <f t="shared" si="5"/>
        <v>33</v>
      </c>
      <c r="C41" s="83" t="s">
        <v>275</v>
      </c>
      <c r="D41" s="28">
        <v>6327525356.9516</v>
      </c>
      <c r="E41" s="28"/>
      <c r="F41" s="28">
        <v>2102677092.9211</v>
      </c>
      <c r="G41" s="28"/>
      <c r="H41" s="28">
        <v>3184173662.0902</v>
      </c>
      <c r="I41" s="28"/>
      <c r="J41" s="28">
        <v>444760463.5599</v>
      </c>
      <c r="K41" s="19"/>
      <c r="L41" s="28">
        <v>468805677.33050007</v>
      </c>
      <c r="M41" s="105"/>
      <c r="N41" s="19">
        <f t="shared" si="16"/>
        <v>12527942252.8533</v>
      </c>
    </row>
    <row r="42" spans="1:14" ht="12.75">
      <c r="A42" s="82">
        <f t="shared" si="5"/>
        <v>34</v>
      </c>
      <c r="C42" s="83" t="s">
        <v>276</v>
      </c>
      <c r="D42" s="28">
        <v>6330375710.3809</v>
      </c>
      <c r="E42" s="28"/>
      <c r="F42" s="28">
        <v>2106497314.6403</v>
      </c>
      <c r="G42" s="28"/>
      <c r="H42" s="28">
        <v>3197036517.9902</v>
      </c>
      <c r="I42" s="28"/>
      <c r="J42" s="28">
        <v>468769340.6097</v>
      </c>
      <c r="K42" s="19"/>
      <c r="L42" s="28">
        <v>472520913.8704</v>
      </c>
      <c r="M42" s="105"/>
      <c r="N42" s="19">
        <f t="shared" si="16"/>
        <v>12575199797.491499</v>
      </c>
    </row>
    <row r="43" spans="1:14" ht="12.75">
      <c r="A43" s="82">
        <f t="shared" si="5"/>
        <v>35</v>
      </c>
      <c r="C43" s="83" t="s">
        <v>277</v>
      </c>
      <c r="D43" s="28">
        <v>6349915845.250601</v>
      </c>
      <c r="E43" s="28"/>
      <c r="F43" s="28">
        <v>2111069663.7712</v>
      </c>
      <c r="G43" s="28"/>
      <c r="H43" s="28">
        <v>3207184566.4202</v>
      </c>
      <c r="I43" s="28"/>
      <c r="J43" s="28">
        <v>488066536.3196</v>
      </c>
      <c r="K43" s="19"/>
      <c r="L43" s="28">
        <v>472143178.9305</v>
      </c>
      <c r="M43" s="105"/>
      <c r="N43" s="19">
        <f t="shared" si="16"/>
        <v>12628379790.6921</v>
      </c>
    </row>
    <row r="44" spans="1:14" ht="12.75">
      <c r="A44" s="82">
        <f t="shared" si="5"/>
        <v>36</v>
      </c>
      <c r="C44" s="83" t="s">
        <v>187</v>
      </c>
      <c r="D44" s="28">
        <v>6361945290</v>
      </c>
      <c r="E44" s="28"/>
      <c r="F44" s="28">
        <v>2119572239</v>
      </c>
      <c r="G44" s="28"/>
      <c r="H44" s="28">
        <v>3220149917</v>
      </c>
      <c r="I44" s="28"/>
      <c r="J44" s="28">
        <v>492786855</v>
      </c>
      <c r="K44" s="19"/>
      <c r="L44" s="28">
        <v>486535741</v>
      </c>
      <c r="M44" s="105"/>
      <c r="N44" s="19">
        <f t="shared" si="16"/>
        <v>12680990042</v>
      </c>
    </row>
    <row r="45" spans="1:14" ht="12.75">
      <c r="A45" s="82">
        <f t="shared" si="5"/>
        <v>37</v>
      </c>
      <c r="C45" s="83"/>
      <c r="D45" s="31"/>
      <c r="F45" s="31"/>
      <c r="H45" s="31"/>
      <c r="I45" s="19"/>
      <c r="J45" s="31"/>
      <c r="K45" s="19"/>
      <c r="L45" s="169"/>
      <c r="M45" s="105"/>
      <c r="N45" s="31"/>
    </row>
    <row r="46" spans="1:14" ht="13.5" thickBot="1">
      <c r="A46" s="82">
        <f t="shared" si="5"/>
        <v>38</v>
      </c>
      <c r="C46" s="177" t="s">
        <v>135</v>
      </c>
      <c r="D46" s="33">
        <f>SUM(D32:D44)/13</f>
        <v>6300436249.216439</v>
      </c>
      <c r="F46" s="33">
        <f>SUM(F32:F44)/13</f>
        <v>2048768309.2440388</v>
      </c>
      <c r="H46" s="33">
        <f>SUM(H32:H44)/13</f>
        <v>3176125536.456322</v>
      </c>
      <c r="I46" s="172"/>
      <c r="J46" s="33">
        <f>SUM(J32:J44)/13</f>
        <v>432983176.0862538</v>
      </c>
      <c r="K46" s="27"/>
      <c r="L46" s="33">
        <f>SUM(L32:L44)/13</f>
        <v>479361780.79681534</v>
      </c>
      <c r="M46" s="108"/>
      <c r="N46" s="33">
        <f>SUM(N32:N44)/13</f>
        <v>12437675051.799868</v>
      </c>
    </row>
    <row r="47" spans="1:14" ht="13.5" thickTop="1">
      <c r="A47" s="82">
        <f t="shared" si="5"/>
        <v>39</v>
      </c>
      <c r="C47" s="5"/>
      <c r="D47" s="5"/>
      <c r="E47" s="5"/>
      <c r="F47" s="5"/>
      <c r="G47" s="5"/>
      <c r="H47" s="5"/>
      <c r="I47" s="5"/>
      <c r="J47" s="5"/>
      <c r="K47" s="5"/>
      <c r="L47" s="5"/>
      <c r="M47" s="5"/>
      <c r="N47" s="5"/>
    </row>
    <row r="48" spans="1:14" ht="12.75">
      <c r="A48" s="82">
        <f t="shared" si="5"/>
        <v>40</v>
      </c>
      <c r="C48" s="5"/>
      <c r="D48" s="5"/>
      <c r="E48" s="5"/>
      <c r="F48" s="5"/>
      <c r="G48" s="5"/>
      <c r="H48" s="5"/>
      <c r="I48" s="5"/>
      <c r="J48" s="5"/>
      <c r="K48" s="5"/>
      <c r="L48" s="5"/>
      <c r="M48" s="5"/>
      <c r="N48" s="5"/>
    </row>
    <row r="49" spans="1:13" ht="12.75">
      <c r="A49" s="82">
        <f t="shared" si="5"/>
        <v>41</v>
      </c>
      <c r="C49" s="5"/>
      <c r="E49" s="28"/>
      <c r="I49" s="75"/>
      <c r="K49" s="75"/>
      <c r="L49" s="75"/>
      <c r="M49" s="75"/>
    </row>
    <row r="50" spans="1:14" ht="12.75">
      <c r="A50" s="82">
        <f t="shared" si="5"/>
        <v>42</v>
      </c>
      <c r="C50" s="5"/>
      <c r="D50" s="76"/>
      <c r="E50" s="28"/>
      <c r="I50" s="75"/>
      <c r="K50" s="75"/>
      <c r="L50" s="75"/>
      <c r="M50" s="75"/>
      <c r="N50" s="76" t="s">
        <v>136</v>
      </c>
    </row>
    <row r="51" spans="1:14" ht="12.75">
      <c r="A51" s="82">
        <f t="shared" si="5"/>
        <v>43</v>
      </c>
      <c r="C51" s="5"/>
      <c r="D51" s="75"/>
      <c r="E51" s="28"/>
      <c r="H51" s="184"/>
      <c r="J51" s="77" t="s">
        <v>191</v>
      </c>
      <c r="L51" s="77" t="s">
        <v>130</v>
      </c>
      <c r="N51" s="76" t="s">
        <v>137</v>
      </c>
    </row>
    <row r="52" spans="1:14" ht="12.75">
      <c r="A52" s="82">
        <f t="shared" si="5"/>
        <v>44</v>
      </c>
      <c r="C52" s="5"/>
      <c r="D52" s="75" t="s">
        <v>111</v>
      </c>
      <c r="F52" s="75" t="s">
        <v>131</v>
      </c>
      <c r="H52" s="75" t="s">
        <v>132</v>
      </c>
      <c r="J52" s="75" t="s">
        <v>164</v>
      </c>
      <c r="L52" s="168" t="s">
        <v>17</v>
      </c>
      <c r="M52" s="76"/>
      <c r="N52" s="168" t="s">
        <v>138</v>
      </c>
    </row>
    <row r="53" spans="1:14" ht="12.75">
      <c r="A53" s="82">
        <f t="shared" si="5"/>
        <v>45</v>
      </c>
      <c r="B53" s="80" t="s">
        <v>19</v>
      </c>
      <c r="C53" s="81"/>
      <c r="D53" s="32"/>
      <c r="F53" s="32"/>
      <c r="H53" s="32"/>
      <c r="J53" s="32"/>
      <c r="N53" s="32"/>
    </row>
    <row r="54" spans="1:14" ht="12.75">
      <c r="A54" s="82">
        <f t="shared" si="5"/>
        <v>46</v>
      </c>
      <c r="C54" s="83" t="s">
        <v>268</v>
      </c>
      <c r="D54" s="28">
        <v>423472948.20000005</v>
      </c>
      <c r="E54" s="28"/>
      <c r="F54" s="28">
        <v>504463678.24000007</v>
      </c>
      <c r="G54" s="28"/>
      <c r="H54" s="28">
        <f>664927989.33-338501</f>
        <v>664589488.33</v>
      </c>
      <c r="I54" s="28"/>
      <c r="J54" s="28">
        <v>79193445.41999999</v>
      </c>
      <c r="K54" s="19"/>
      <c r="L54" s="28">
        <v>104838691.93000002</v>
      </c>
      <c r="M54" s="27"/>
      <c r="N54" s="27">
        <f>SUM(D54:L54)</f>
        <v>1776558252.1200001</v>
      </c>
    </row>
    <row r="55" spans="1:14" ht="12.75">
      <c r="A55" s="82">
        <f t="shared" si="5"/>
        <v>47</v>
      </c>
      <c r="C55" s="83" t="s">
        <v>287</v>
      </c>
      <c r="D55" s="28">
        <v>423778810.77000004</v>
      </c>
      <c r="E55" s="28"/>
      <c r="F55" s="28">
        <v>508038617.83000004</v>
      </c>
      <c r="G55" s="28"/>
      <c r="H55" s="28">
        <f>666344042.1-338501</f>
        <v>666005541.1</v>
      </c>
      <c r="I55" s="28"/>
      <c r="J55" s="28">
        <v>79278146.82</v>
      </c>
      <c r="K55" s="19"/>
      <c r="L55" s="28">
        <v>104734372.78000002</v>
      </c>
      <c r="M55" s="105"/>
      <c r="N55" s="19">
        <f>SUM(D55:L55)</f>
        <v>1781835489.3000002</v>
      </c>
    </row>
    <row r="56" spans="1:14" ht="12.75">
      <c r="A56" s="82">
        <f t="shared" si="5"/>
        <v>48</v>
      </c>
      <c r="C56" s="83" t="s">
        <v>270</v>
      </c>
      <c r="D56" s="28">
        <v>423974810.2</v>
      </c>
      <c r="E56" s="28"/>
      <c r="F56" s="28">
        <v>515018588.44</v>
      </c>
      <c r="G56" s="28"/>
      <c r="H56" s="28">
        <f>668779145.19-338501</f>
        <v>668440644.19</v>
      </c>
      <c r="I56" s="28"/>
      <c r="J56" s="28">
        <v>79578243.55000001</v>
      </c>
      <c r="K56" s="19"/>
      <c r="L56" s="28">
        <v>105181286.87000002</v>
      </c>
      <c r="M56" s="105"/>
      <c r="N56" s="19">
        <f aca="true" t="shared" si="17" ref="N56:N66">SUM(D56:L56)</f>
        <v>1792193573.25</v>
      </c>
    </row>
    <row r="57" spans="1:14" ht="12.75">
      <c r="A57" s="82">
        <f t="shared" si="5"/>
        <v>49</v>
      </c>
      <c r="C57" s="83" t="s">
        <v>271</v>
      </c>
      <c r="D57" s="28">
        <v>424272834.31</v>
      </c>
      <c r="E57" s="28"/>
      <c r="F57" s="28">
        <v>516364941.07000005</v>
      </c>
      <c r="G57" s="28"/>
      <c r="H57" s="28">
        <f>671272121-338501</f>
        <v>670933620</v>
      </c>
      <c r="I57" s="28"/>
      <c r="J57" s="28">
        <v>79649312.30999999</v>
      </c>
      <c r="K57" s="19"/>
      <c r="L57" s="28">
        <v>103443119.95000002</v>
      </c>
      <c r="M57" s="105"/>
      <c r="N57" s="19">
        <f t="shared" si="17"/>
        <v>1794663827.64</v>
      </c>
    </row>
    <row r="58" spans="1:14" ht="12.75">
      <c r="A58" s="82">
        <f t="shared" si="5"/>
        <v>50</v>
      </c>
      <c r="C58" s="83" t="s">
        <v>156</v>
      </c>
      <c r="D58" s="28">
        <v>424056121.7</v>
      </c>
      <c r="E58" s="28"/>
      <c r="F58" s="28">
        <v>528139291.7500001</v>
      </c>
      <c r="G58" s="28"/>
      <c r="H58" s="28">
        <f>674141432.61-338501</f>
        <v>673802931.61</v>
      </c>
      <c r="I58" s="28"/>
      <c r="J58" s="28">
        <v>79742595.89</v>
      </c>
      <c r="K58" s="19"/>
      <c r="L58" s="28">
        <v>103794210.63000003</v>
      </c>
      <c r="M58" s="105"/>
      <c r="N58" s="19">
        <f t="shared" si="17"/>
        <v>1809535151.5800002</v>
      </c>
    </row>
    <row r="59" spans="1:14" ht="12.75">
      <c r="A59" s="82">
        <f t="shared" si="5"/>
        <v>51</v>
      </c>
      <c r="C59" s="83" t="s">
        <v>272</v>
      </c>
      <c r="D59" s="28">
        <v>423466291.64000005</v>
      </c>
      <c r="E59" s="28"/>
      <c r="F59" s="28">
        <v>530136838.46000004</v>
      </c>
      <c r="G59" s="28"/>
      <c r="H59" s="28">
        <f>677768342.86-338501</f>
        <v>677429841.86</v>
      </c>
      <c r="I59" s="28"/>
      <c r="J59" s="28">
        <v>80032755.17</v>
      </c>
      <c r="K59" s="19"/>
      <c r="L59" s="28">
        <v>101415354.40000002</v>
      </c>
      <c r="M59" s="105"/>
      <c r="N59" s="19">
        <f t="shared" si="17"/>
        <v>1812481081.5300002</v>
      </c>
    </row>
    <row r="60" spans="1:14" ht="12.75">
      <c r="A60" s="82">
        <f t="shared" si="5"/>
        <v>52</v>
      </c>
      <c r="C60" s="83" t="s">
        <v>273</v>
      </c>
      <c r="D60" s="28">
        <v>424642828.06000006</v>
      </c>
      <c r="E60" s="28"/>
      <c r="F60" s="28">
        <v>534560152.87</v>
      </c>
      <c r="G60" s="28"/>
      <c r="H60" s="28">
        <f>681057338.01-338501</f>
        <v>680718837.01</v>
      </c>
      <c r="I60" s="28"/>
      <c r="J60" s="28">
        <v>73166942.33000001</v>
      </c>
      <c r="K60" s="19"/>
      <c r="L60" s="28">
        <v>100774973.79000004</v>
      </c>
      <c r="M60" s="105"/>
      <c r="N60" s="19">
        <f t="shared" si="17"/>
        <v>1813863734.06</v>
      </c>
    </row>
    <row r="61" spans="1:14" ht="12.75">
      <c r="A61" s="82">
        <f t="shared" si="5"/>
        <v>53</v>
      </c>
      <c r="C61" s="83" t="s">
        <v>158</v>
      </c>
      <c r="D61" s="28">
        <v>425103171.94000006</v>
      </c>
      <c r="E61" s="28"/>
      <c r="F61" s="28">
        <v>535007230.90999997</v>
      </c>
      <c r="G61" s="28"/>
      <c r="H61" s="28">
        <f>682858860.12-338501</f>
        <v>682520359.12</v>
      </c>
      <c r="I61" s="28"/>
      <c r="J61" s="28">
        <v>73701421.35999998</v>
      </c>
      <c r="K61" s="19"/>
      <c r="L61" s="28">
        <v>101501413.96000002</v>
      </c>
      <c r="M61" s="105"/>
      <c r="N61" s="19">
        <f t="shared" si="17"/>
        <v>1817833597.29</v>
      </c>
    </row>
    <row r="62" spans="1:14" ht="12.75">
      <c r="A62" s="82">
        <f t="shared" si="5"/>
        <v>54</v>
      </c>
      <c r="C62" s="83" t="s">
        <v>274</v>
      </c>
      <c r="D62" s="28">
        <v>426439430.93</v>
      </c>
      <c r="E62" s="28"/>
      <c r="F62" s="28">
        <v>537940457.27</v>
      </c>
      <c r="G62" s="28"/>
      <c r="H62" s="28">
        <f>685341693.16-338501</f>
        <v>685003192.16</v>
      </c>
      <c r="I62" s="28"/>
      <c r="J62" s="28">
        <v>74385615.64999999</v>
      </c>
      <c r="K62" s="19"/>
      <c r="L62" s="28">
        <v>102064880.04000004</v>
      </c>
      <c r="M62" s="105"/>
      <c r="N62" s="19">
        <f t="shared" si="17"/>
        <v>1825833576.0500002</v>
      </c>
    </row>
    <row r="63" spans="1:14" ht="12.75">
      <c r="A63" s="82">
        <f t="shared" si="5"/>
        <v>55</v>
      </c>
      <c r="C63" s="83" t="s">
        <v>275</v>
      </c>
      <c r="D63" s="28">
        <v>427361011.86</v>
      </c>
      <c r="E63" s="28"/>
      <c r="F63" s="28">
        <v>538872456.15</v>
      </c>
      <c r="G63" s="28"/>
      <c r="H63" s="28">
        <f>690742816.96-338501</f>
        <v>690404315.96</v>
      </c>
      <c r="I63" s="28"/>
      <c r="J63" s="28">
        <v>74612242.44</v>
      </c>
      <c r="K63" s="19"/>
      <c r="L63" s="28">
        <v>101679470.95000005</v>
      </c>
      <c r="M63" s="105"/>
      <c r="N63" s="19">
        <f t="shared" si="17"/>
        <v>1832929497.3600001</v>
      </c>
    </row>
    <row r="64" spans="1:14" ht="12.75">
      <c r="A64" s="82">
        <f t="shared" si="5"/>
        <v>56</v>
      </c>
      <c r="C64" s="83" t="s">
        <v>276</v>
      </c>
      <c r="D64" s="28">
        <v>428088505.57</v>
      </c>
      <c r="E64" s="28"/>
      <c r="F64" s="28">
        <v>545683956.48</v>
      </c>
      <c r="G64" s="28"/>
      <c r="H64" s="28">
        <f>695467892.03-338501</f>
        <v>695129391.03</v>
      </c>
      <c r="I64" s="28"/>
      <c r="J64" s="28">
        <v>80038331.97000001</v>
      </c>
      <c r="K64" s="19"/>
      <c r="L64" s="28">
        <v>102428579.57000004</v>
      </c>
      <c r="M64" s="105"/>
      <c r="N64" s="19">
        <f t="shared" si="17"/>
        <v>1851368764.62</v>
      </c>
    </row>
    <row r="65" spans="1:14" ht="12.75">
      <c r="A65" s="82">
        <f t="shared" si="5"/>
        <v>57</v>
      </c>
      <c r="C65" s="83" t="s">
        <v>277</v>
      </c>
      <c r="D65" s="28">
        <v>430320150.7</v>
      </c>
      <c r="E65" s="28"/>
      <c r="F65" s="28">
        <v>551244555.69</v>
      </c>
      <c r="G65" s="28"/>
      <c r="H65" s="28">
        <f>697070057.98-338501</f>
        <v>696731556.98</v>
      </c>
      <c r="I65" s="28"/>
      <c r="J65" s="28">
        <v>80918821.53999999</v>
      </c>
      <c r="K65" s="19"/>
      <c r="L65" s="28">
        <v>102202840.51000005</v>
      </c>
      <c r="M65" s="105"/>
      <c r="N65" s="19">
        <f t="shared" si="17"/>
        <v>1861417925.42</v>
      </c>
    </row>
    <row r="66" spans="1:14" ht="12.75">
      <c r="A66" s="82">
        <f t="shared" si="5"/>
        <v>58</v>
      </c>
      <c r="C66" s="83" t="s">
        <v>187</v>
      </c>
      <c r="D66" s="28">
        <f>436227149.07-1961863</f>
        <v>434265286.07</v>
      </c>
      <c r="E66" s="28"/>
      <c r="F66" s="28">
        <v>565053135.69</v>
      </c>
      <c r="G66" s="28"/>
      <c r="H66" s="28">
        <f>699828856.66-972053</f>
        <v>698856803.66</v>
      </c>
      <c r="I66" s="28"/>
      <c r="J66" s="28">
        <v>81652369.46999998</v>
      </c>
      <c r="K66" s="19"/>
      <c r="L66" s="28">
        <v>102489992.70000003</v>
      </c>
      <c r="M66" s="105"/>
      <c r="N66" s="19">
        <f t="shared" si="17"/>
        <v>1882317587.5900002</v>
      </c>
    </row>
    <row r="67" spans="1:14" ht="12.75">
      <c r="A67" s="82">
        <f t="shared" si="5"/>
        <v>59</v>
      </c>
      <c r="C67" s="83"/>
      <c r="D67" s="31"/>
      <c r="F67" s="31"/>
      <c r="H67" s="31"/>
      <c r="I67" s="19"/>
      <c r="J67" s="31"/>
      <c r="K67" s="19"/>
      <c r="L67" s="169"/>
      <c r="M67" s="105"/>
      <c r="N67" s="31"/>
    </row>
    <row r="68" spans="1:14" ht="13.5" thickBot="1">
      <c r="A68" s="82">
        <f t="shared" si="5"/>
        <v>60</v>
      </c>
      <c r="C68" s="177" t="s">
        <v>135</v>
      </c>
      <c r="D68" s="33">
        <f>SUM(D54:D66)/13</f>
        <v>426095553.99615383</v>
      </c>
      <c r="F68" s="33">
        <f>SUM(F54:F66)/13</f>
        <v>531578761.6038462</v>
      </c>
      <c r="G68" s="71"/>
      <c r="H68" s="33">
        <f>SUM(H54:H66)/13</f>
        <v>680812809.4623077</v>
      </c>
      <c r="I68" s="172"/>
      <c r="J68" s="33">
        <f>SUM(J54:J66)/13</f>
        <v>78150018.76307693</v>
      </c>
      <c r="K68" s="27"/>
      <c r="L68" s="33">
        <f>SUM(L54:L66)/13</f>
        <v>102811476.00615388</v>
      </c>
      <c r="M68" s="108"/>
      <c r="N68" s="33">
        <f>SUM(N54:N66)/13</f>
        <v>1819448619.8315387</v>
      </c>
    </row>
    <row r="69" ht="13.5" thickTop="1"/>
  </sheetData>
  <printOptions horizontalCentered="1"/>
  <pageMargins left="0.75" right="0.25" top="0.75" bottom="0.4" header="0" footer="0.25"/>
  <pageSetup fitToHeight="1" fitToWidth="1" horizontalDpi="600" verticalDpi="600" orientation="portrait" scale="63" r:id="rId3"/>
  <headerFooter alignWithMargins="0">
    <oddFooter>&amp;CPage &amp;P of &amp;N</oddFooter>
  </headerFooter>
  <legacyDrawing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A1:N72"/>
  <sheetViews>
    <sheetView showGridLines="0" workbookViewId="0" topLeftCell="A1">
      <selection activeCell="A4" sqref="A4"/>
    </sheetView>
  </sheetViews>
  <sheetFormatPr defaultColWidth="14.4453125" defaultRowHeight="15"/>
  <cols>
    <col min="1" max="1" width="4.99609375" style="73" customWidth="1"/>
    <col min="2" max="2" width="2.99609375" style="2" customWidth="1"/>
    <col min="3" max="3" width="29.4453125" style="2" customWidth="1"/>
    <col min="4" max="4" width="14.4453125" style="2" customWidth="1"/>
    <col min="5" max="5" width="0.88671875" style="2" customWidth="1"/>
    <col min="6" max="6" width="13.3359375" style="2" bestFit="1" customWidth="1"/>
    <col min="7" max="7" width="0.88671875" style="2" customWidth="1"/>
    <col min="8" max="8" width="15.5546875" style="2" bestFit="1" customWidth="1"/>
    <col min="9" max="9" width="0.88671875" style="2" customWidth="1"/>
    <col min="10" max="10" width="12.88671875" style="2" customWidth="1"/>
    <col min="11" max="11" width="0.88671875" style="2" customWidth="1"/>
    <col min="12" max="12" width="14.4453125" style="2" customWidth="1"/>
    <col min="13" max="13" width="0.78125" style="2" customWidth="1"/>
    <col min="14" max="14" width="14.4453125" style="2" bestFit="1" customWidth="1"/>
    <col min="15" max="16384" width="14.4453125" style="2" customWidth="1"/>
  </cols>
  <sheetData>
    <row r="1" spans="1:14" ht="12.75">
      <c r="A1" s="70" t="s">
        <v>15</v>
      </c>
      <c r="B1" s="71"/>
      <c r="C1" s="71"/>
      <c r="D1" s="71"/>
      <c r="E1" s="71"/>
      <c r="F1" s="71"/>
      <c r="G1" s="71"/>
      <c r="H1" s="71"/>
      <c r="I1" s="71"/>
      <c r="J1" s="71"/>
      <c r="K1" s="71"/>
      <c r="L1" s="71"/>
      <c r="M1" s="71"/>
      <c r="N1" s="72" t="s">
        <v>285</v>
      </c>
    </row>
    <row r="2" spans="1:14" ht="12.75">
      <c r="A2" s="70" t="s">
        <v>20</v>
      </c>
      <c r="B2" s="71"/>
      <c r="C2" s="71"/>
      <c r="D2" s="71"/>
      <c r="E2" s="71"/>
      <c r="F2" s="71"/>
      <c r="G2" s="71"/>
      <c r="H2" s="71"/>
      <c r="I2" s="71"/>
      <c r="J2" s="71"/>
      <c r="K2" s="71"/>
      <c r="L2" s="71"/>
      <c r="M2" s="71"/>
      <c r="N2" s="72"/>
    </row>
    <row r="3" spans="1:13" ht="12.75">
      <c r="A3" s="70" t="s">
        <v>286</v>
      </c>
      <c r="B3" s="71"/>
      <c r="C3" s="71"/>
      <c r="D3" s="71"/>
      <c r="E3" s="71"/>
      <c r="F3" s="71"/>
      <c r="G3" s="71"/>
      <c r="H3" s="71"/>
      <c r="I3" s="71"/>
      <c r="J3" s="71"/>
      <c r="K3" s="71"/>
      <c r="L3" s="71"/>
      <c r="M3" s="71"/>
    </row>
    <row r="4" ht="12.75"/>
    <row r="5" spans="1:14" ht="12.75">
      <c r="A5" s="5"/>
      <c r="B5" s="5"/>
      <c r="C5" s="5"/>
      <c r="E5" s="28"/>
      <c r="I5" s="75"/>
      <c r="K5" s="75"/>
      <c r="L5" s="75"/>
      <c r="M5" s="75"/>
      <c r="N5" s="76" t="s">
        <v>136</v>
      </c>
    </row>
    <row r="6" spans="4:14" ht="12.75">
      <c r="D6" s="76"/>
      <c r="E6" s="28"/>
      <c r="I6" s="75"/>
      <c r="K6" s="75"/>
      <c r="L6" s="75"/>
      <c r="M6" s="75"/>
      <c r="N6" s="76" t="s">
        <v>21</v>
      </c>
    </row>
    <row r="7" spans="1:14" ht="12.75">
      <c r="A7" s="73" t="s">
        <v>153</v>
      </c>
      <c r="D7" s="75"/>
      <c r="E7" s="28"/>
      <c r="H7" s="184"/>
      <c r="J7" s="77" t="s">
        <v>192</v>
      </c>
      <c r="L7" s="77" t="s">
        <v>130</v>
      </c>
      <c r="N7" s="76" t="s">
        <v>113</v>
      </c>
    </row>
    <row r="8" spans="1:14" ht="12.75">
      <c r="A8" s="78" t="s">
        <v>129</v>
      </c>
      <c r="D8" s="75" t="s">
        <v>111</v>
      </c>
      <c r="F8" s="75" t="s">
        <v>131</v>
      </c>
      <c r="H8" s="75" t="s">
        <v>132</v>
      </c>
      <c r="J8" s="75" t="s">
        <v>164</v>
      </c>
      <c r="L8" s="168" t="s">
        <v>17</v>
      </c>
      <c r="M8" s="76"/>
      <c r="N8" s="168" t="s">
        <v>114</v>
      </c>
    </row>
    <row r="9" spans="1:14" ht="12.75">
      <c r="A9" s="79" t="s">
        <v>133</v>
      </c>
      <c r="B9" s="80" t="s">
        <v>16</v>
      </c>
      <c r="C9" s="81"/>
      <c r="D9" s="32"/>
      <c r="F9" s="32"/>
      <c r="H9" s="32"/>
      <c r="J9" s="32"/>
      <c r="N9" s="32"/>
    </row>
    <row r="10" spans="1:14" ht="12.75">
      <c r="A10" s="82">
        <f aca="true" t="shared" si="0" ref="A10:A41">+A9+1</f>
        <v>2</v>
      </c>
      <c r="C10" s="83" t="s">
        <v>268</v>
      </c>
      <c r="D10" s="27">
        <f aca="true" t="shared" si="1" ref="D10:D21">+D32+D54</f>
        <v>3121221867.2187</v>
      </c>
      <c r="E10" s="28"/>
      <c r="F10" s="27">
        <f aca="true" t="shared" si="2" ref="F10:L10">+F32+F54</f>
        <v>804964467.3293</v>
      </c>
      <c r="G10" s="27">
        <f t="shared" si="2"/>
        <v>0</v>
      </c>
      <c r="H10" s="27">
        <f t="shared" si="2"/>
        <v>1605793258.9604</v>
      </c>
      <c r="I10" s="27">
        <f t="shared" si="2"/>
        <v>0</v>
      </c>
      <c r="J10" s="27">
        <f t="shared" si="2"/>
        <v>174170840.2192</v>
      </c>
      <c r="K10" s="27">
        <f t="shared" si="2"/>
        <v>0</v>
      </c>
      <c r="L10" s="27">
        <f t="shared" si="2"/>
        <v>375957796.54089993</v>
      </c>
      <c r="M10" s="27"/>
      <c r="N10" s="27">
        <f aca="true" t="shared" si="3" ref="N10:N22">SUM(D10:L10)</f>
        <v>6082108230.2685</v>
      </c>
    </row>
    <row r="11" spans="1:14" ht="12.75">
      <c r="A11" s="82">
        <f t="shared" si="0"/>
        <v>3</v>
      </c>
      <c r="C11" s="83" t="s">
        <v>287</v>
      </c>
      <c r="D11" s="28">
        <f t="shared" si="1"/>
        <v>3135112344.0315</v>
      </c>
      <c r="E11" s="28"/>
      <c r="F11" s="28">
        <f aca="true" t="shared" si="4" ref="F11:L11">+F33+F55</f>
        <v>809858119.0926</v>
      </c>
      <c r="G11" s="28">
        <f t="shared" si="4"/>
        <v>0</v>
      </c>
      <c r="H11" s="28">
        <f t="shared" si="4"/>
        <v>1612026431.8202</v>
      </c>
      <c r="I11" s="28">
        <f t="shared" si="4"/>
        <v>0</v>
      </c>
      <c r="J11" s="28">
        <f t="shared" si="4"/>
        <v>176657111.92009997</v>
      </c>
      <c r="K11" s="28">
        <f t="shared" si="4"/>
        <v>0</v>
      </c>
      <c r="L11" s="28">
        <f t="shared" si="4"/>
        <v>379068966.81999993</v>
      </c>
      <c r="M11" s="105"/>
      <c r="N11" s="19">
        <f t="shared" si="3"/>
        <v>6112722973.6844</v>
      </c>
    </row>
    <row r="12" spans="1:14" ht="12.75">
      <c r="A12" s="82">
        <f t="shared" si="0"/>
        <v>4</v>
      </c>
      <c r="C12" s="83" t="s">
        <v>270</v>
      </c>
      <c r="D12" s="28">
        <f t="shared" si="1"/>
        <v>3150113147.6804</v>
      </c>
      <c r="E12" s="28"/>
      <c r="F12" s="28">
        <f aca="true" t="shared" si="5" ref="F12:L12">+F34+F56</f>
        <v>814308079.9496999</v>
      </c>
      <c r="G12" s="28">
        <f t="shared" si="5"/>
        <v>0</v>
      </c>
      <c r="H12" s="28">
        <f t="shared" si="5"/>
        <v>1618810042.99</v>
      </c>
      <c r="I12" s="28">
        <f t="shared" si="5"/>
        <v>0</v>
      </c>
      <c r="J12" s="28">
        <f t="shared" si="5"/>
        <v>178540321.6394</v>
      </c>
      <c r="K12" s="28">
        <f t="shared" si="5"/>
        <v>0</v>
      </c>
      <c r="L12" s="28">
        <f t="shared" si="5"/>
        <v>366667703.6312999</v>
      </c>
      <c r="M12" s="105"/>
      <c r="N12" s="19">
        <f t="shared" si="3"/>
        <v>6128439295.8908</v>
      </c>
    </row>
    <row r="13" spans="1:14" ht="12.75">
      <c r="A13" s="82">
        <f t="shared" si="0"/>
        <v>5</v>
      </c>
      <c r="C13" s="83" t="s">
        <v>271</v>
      </c>
      <c r="D13" s="28">
        <f t="shared" si="1"/>
        <v>3163445723.7095</v>
      </c>
      <c r="E13" s="28"/>
      <c r="F13" s="28">
        <f aca="true" t="shared" si="6" ref="F13:L13">+F35+F57</f>
        <v>817850289.4493</v>
      </c>
      <c r="G13" s="28">
        <f t="shared" si="6"/>
        <v>0</v>
      </c>
      <c r="H13" s="28">
        <f t="shared" si="6"/>
        <v>1625151566.3299003</v>
      </c>
      <c r="I13" s="28">
        <f t="shared" si="6"/>
        <v>0</v>
      </c>
      <c r="J13" s="28">
        <f t="shared" si="6"/>
        <v>178223685.25800002</v>
      </c>
      <c r="K13" s="28">
        <f t="shared" si="6"/>
        <v>0</v>
      </c>
      <c r="L13" s="28">
        <f t="shared" si="6"/>
        <v>330022341.17859995</v>
      </c>
      <c r="M13" s="105"/>
      <c r="N13" s="19">
        <f t="shared" si="3"/>
        <v>6114693605.925302</v>
      </c>
    </row>
    <row r="14" spans="1:14" ht="12.75">
      <c r="A14" s="82">
        <f t="shared" si="0"/>
        <v>6</v>
      </c>
      <c r="C14" s="83" t="s">
        <v>156</v>
      </c>
      <c r="D14" s="28">
        <f t="shared" si="1"/>
        <v>3176850628.6897</v>
      </c>
      <c r="E14" s="28"/>
      <c r="F14" s="28">
        <f aca="true" t="shared" si="7" ref="F14:L14">+F36+F58</f>
        <v>821838457.5030999</v>
      </c>
      <c r="G14" s="28">
        <f t="shared" si="7"/>
        <v>0</v>
      </c>
      <c r="H14" s="28">
        <f t="shared" si="7"/>
        <v>1631209079.6000001</v>
      </c>
      <c r="I14" s="28">
        <f t="shared" si="7"/>
        <v>0</v>
      </c>
      <c r="J14" s="28">
        <f t="shared" si="7"/>
        <v>181082667.16019997</v>
      </c>
      <c r="K14" s="28">
        <f t="shared" si="7"/>
        <v>0</v>
      </c>
      <c r="L14" s="28">
        <f t="shared" si="7"/>
        <v>335647756.5498001</v>
      </c>
      <c r="M14" s="105"/>
      <c r="N14" s="19">
        <f t="shared" si="3"/>
        <v>6146628589.5028</v>
      </c>
    </row>
    <row r="15" spans="1:14" ht="12.75">
      <c r="A15" s="82">
        <f t="shared" si="0"/>
        <v>7</v>
      </c>
      <c r="C15" s="83" t="s">
        <v>272</v>
      </c>
      <c r="D15" s="28">
        <f t="shared" si="1"/>
        <v>3174810810.1498003</v>
      </c>
      <c r="E15" s="28"/>
      <c r="F15" s="28">
        <f aca="true" t="shared" si="8" ref="F15:L15">+F37+F59</f>
        <v>824631445.7499001</v>
      </c>
      <c r="G15" s="28">
        <f t="shared" si="8"/>
        <v>0</v>
      </c>
      <c r="H15" s="28">
        <f t="shared" si="8"/>
        <v>1600820570.3500001</v>
      </c>
      <c r="I15" s="28">
        <f t="shared" si="8"/>
        <v>0</v>
      </c>
      <c r="J15" s="28">
        <f t="shared" si="8"/>
        <v>175646906.14090002</v>
      </c>
      <c r="K15" s="28">
        <f t="shared" si="8"/>
        <v>0</v>
      </c>
      <c r="L15" s="28">
        <f t="shared" si="8"/>
        <v>311133065.9303</v>
      </c>
      <c r="M15" s="105"/>
      <c r="N15" s="19">
        <f t="shared" si="3"/>
        <v>6087042798.3209</v>
      </c>
    </row>
    <row r="16" spans="1:14" ht="12.75">
      <c r="A16" s="82">
        <f t="shared" si="0"/>
        <v>8</v>
      </c>
      <c r="C16" s="83" t="s">
        <v>273</v>
      </c>
      <c r="D16" s="28">
        <f t="shared" si="1"/>
        <v>3187904754.8905</v>
      </c>
      <c r="E16" s="28"/>
      <c r="F16" s="28">
        <f aca="true" t="shared" si="9" ref="F16:L16">+F38+F60</f>
        <v>830270158.4034</v>
      </c>
      <c r="G16" s="28">
        <f t="shared" si="9"/>
        <v>0</v>
      </c>
      <c r="H16" s="28">
        <f t="shared" si="9"/>
        <v>1600758802.8600998</v>
      </c>
      <c r="I16" s="28">
        <f t="shared" si="9"/>
        <v>0</v>
      </c>
      <c r="J16" s="28">
        <f t="shared" si="9"/>
        <v>170927938.21960002</v>
      </c>
      <c r="K16" s="28">
        <f t="shared" si="9"/>
        <v>0</v>
      </c>
      <c r="L16" s="28">
        <f t="shared" si="9"/>
        <v>312821050.9409001</v>
      </c>
      <c r="M16" s="105"/>
      <c r="N16" s="19">
        <f t="shared" si="3"/>
        <v>6102682705.314499</v>
      </c>
    </row>
    <row r="17" spans="1:14" ht="12.75">
      <c r="A17" s="82">
        <f t="shared" si="0"/>
        <v>9</v>
      </c>
      <c r="C17" s="83" t="s">
        <v>158</v>
      </c>
      <c r="D17" s="28">
        <f t="shared" si="1"/>
        <v>3203062386.3594995</v>
      </c>
      <c r="E17" s="28"/>
      <c r="F17" s="28">
        <f aca="true" t="shared" si="10" ref="F17:L17">+F39+F61</f>
        <v>834206096.8276002</v>
      </c>
      <c r="G17" s="28">
        <f t="shared" si="10"/>
        <v>0</v>
      </c>
      <c r="H17" s="28">
        <f t="shared" si="10"/>
        <v>1607469994.4601</v>
      </c>
      <c r="I17" s="28">
        <f t="shared" si="10"/>
        <v>0</v>
      </c>
      <c r="J17" s="28">
        <f t="shared" si="10"/>
        <v>173533168.8905</v>
      </c>
      <c r="K17" s="28">
        <f t="shared" si="10"/>
        <v>0</v>
      </c>
      <c r="L17" s="28">
        <f t="shared" si="10"/>
        <v>316124455.47179997</v>
      </c>
      <c r="M17" s="105"/>
      <c r="N17" s="19">
        <f t="shared" si="3"/>
        <v>6134396102.0095</v>
      </c>
    </row>
    <row r="18" spans="1:14" ht="12.75">
      <c r="A18" s="82">
        <f t="shared" si="0"/>
        <v>10</v>
      </c>
      <c r="C18" s="83" t="s">
        <v>274</v>
      </c>
      <c r="D18" s="28">
        <f t="shared" si="1"/>
        <v>3215394380.4317</v>
      </c>
      <c r="E18" s="28"/>
      <c r="F18" s="28">
        <f aca="true" t="shared" si="11" ref="F18:L18">+F40+F62</f>
        <v>838262614.8502998</v>
      </c>
      <c r="G18" s="28">
        <f t="shared" si="11"/>
        <v>0</v>
      </c>
      <c r="H18" s="28">
        <f t="shared" si="11"/>
        <v>1612536778.07</v>
      </c>
      <c r="I18" s="28">
        <f t="shared" si="11"/>
        <v>0</v>
      </c>
      <c r="J18" s="28">
        <f t="shared" si="11"/>
        <v>176167828.1907</v>
      </c>
      <c r="K18" s="28">
        <f t="shared" si="11"/>
        <v>0</v>
      </c>
      <c r="L18" s="28">
        <f t="shared" si="11"/>
        <v>319397496.45140004</v>
      </c>
      <c r="M18" s="105"/>
      <c r="N18" s="19">
        <f t="shared" si="3"/>
        <v>6161759097.9941</v>
      </c>
    </row>
    <row r="19" spans="1:14" ht="12.75">
      <c r="A19" s="82">
        <f t="shared" si="0"/>
        <v>11</v>
      </c>
      <c r="C19" s="83" t="s">
        <v>275</v>
      </c>
      <c r="D19" s="28">
        <f t="shared" si="1"/>
        <v>3230303854.7401996</v>
      </c>
      <c r="E19" s="28"/>
      <c r="F19" s="28">
        <f aca="true" t="shared" si="12" ref="F19:L19">+F41+F63</f>
        <v>842434891.483</v>
      </c>
      <c r="G19" s="28">
        <f t="shared" si="12"/>
        <v>0</v>
      </c>
      <c r="H19" s="28">
        <f t="shared" si="12"/>
        <v>1617732409.9102998</v>
      </c>
      <c r="I19" s="28">
        <f t="shared" si="12"/>
        <v>0</v>
      </c>
      <c r="J19" s="28">
        <f t="shared" si="12"/>
        <v>177838911.9514</v>
      </c>
      <c r="K19" s="28">
        <f t="shared" si="12"/>
        <v>0</v>
      </c>
      <c r="L19" s="28">
        <f t="shared" si="12"/>
        <v>316968554.68050003</v>
      </c>
      <c r="M19" s="105"/>
      <c r="N19" s="19">
        <f t="shared" si="3"/>
        <v>6185278622.765399</v>
      </c>
    </row>
    <row r="20" spans="1:14" ht="12.75">
      <c r="A20" s="82">
        <f t="shared" si="0"/>
        <v>12</v>
      </c>
      <c r="C20" s="83" t="s">
        <v>276</v>
      </c>
      <c r="D20" s="28">
        <f t="shared" si="1"/>
        <v>3240820540.7992</v>
      </c>
      <c r="E20" s="28"/>
      <c r="F20" s="28">
        <f aca="true" t="shared" si="13" ref="F20:L20">+F42+F64</f>
        <v>846153950.5983001</v>
      </c>
      <c r="G20" s="28">
        <f t="shared" si="13"/>
        <v>0</v>
      </c>
      <c r="H20" s="28">
        <f t="shared" si="13"/>
        <v>1624216811.8901</v>
      </c>
      <c r="I20" s="28">
        <f t="shared" si="13"/>
        <v>0</v>
      </c>
      <c r="J20" s="28">
        <f t="shared" si="13"/>
        <v>181004602.2505</v>
      </c>
      <c r="K20" s="28">
        <f t="shared" si="13"/>
        <v>0</v>
      </c>
      <c r="L20" s="28">
        <f t="shared" si="13"/>
        <v>320349587.8898999</v>
      </c>
      <c r="M20" s="105"/>
      <c r="N20" s="19">
        <f t="shared" si="3"/>
        <v>6212545493.4279995</v>
      </c>
    </row>
    <row r="21" spans="1:14" ht="12.75">
      <c r="A21" s="82">
        <f t="shared" si="0"/>
        <v>13</v>
      </c>
      <c r="C21" s="83" t="s">
        <v>277</v>
      </c>
      <c r="D21" s="28">
        <f t="shared" si="1"/>
        <v>3249325576.4506006</v>
      </c>
      <c r="E21" s="28"/>
      <c r="F21" s="28">
        <f aca="true" t="shared" si="14" ref="F21:L21">+F43+F65</f>
        <v>849995324.7987998</v>
      </c>
      <c r="G21" s="28">
        <f t="shared" si="14"/>
        <v>0</v>
      </c>
      <c r="H21" s="28">
        <f t="shared" si="14"/>
        <v>1630275325.9999</v>
      </c>
      <c r="I21" s="28">
        <f t="shared" si="14"/>
        <v>0</v>
      </c>
      <c r="J21" s="28">
        <f t="shared" si="14"/>
        <v>183165620.96129996</v>
      </c>
      <c r="K21" s="28">
        <f t="shared" si="14"/>
        <v>0</v>
      </c>
      <c r="L21" s="28">
        <f t="shared" si="14"/>
        <v>322185885.16969997</v>
      </c>
      <c r="M21" s="105"/>
      <c r="N21" s="19">
        <f t="shared" si="3"/>
        <v>6234947733.3803</v>
      </c>
    </row>
    <row r="22" spans="1:14" ht="12.75">
      <c r="A22" s="82">
        <f t="shared" si="0"/>
        <v>14</v>
      </c>
      <c r="C22" s="83" t="s">
        <v>187</v>
      </c>
      <c r="D22" s="28">
        <f aca="true" t="shared" si="15" ref="D22:L22">+D44+D66</f>
        <v>3250517986.8</v>
      </c>
      <c r="E22" s="28"/>
      <c r="F22" s="28">
        <f t="shared" si="15"/>
        <v>852717673.05</v>
      </c>
      <c r="G22" s="28">
        <f t="shared" si="15"/>
        <v>0</v>
      </c>
      <c r="H22" s="28">
        <f t="shared" si="15"/>
        <v>1638111281.97</v>
      </c>
      <c r="I22" s="28">
        <f t="shared" si="15"/>
        <v>0</v>
      </c>
      <c r="J22" s="28">
        <f t="shared" si="15"/>
        <v>185315586.79009998</v>
      </c>
      <c r="K22" s="28">
        <f t="shared" si="15"/>
        <v>0</v>
      </c>
      <c r="L22" s="28">
        <f t="shared" si="15"/>
        <v>324813770.37</v>
      </c>
      <c r="M22" s="105"/>
      <c r="N22" s="19">
        <f t="shared" si="3"/>
        <v>6251476298.980101</v>
      </c>
    </row>
    <row r="23" spans="1:14" ht="12.75">
      <c r="A23" s="82">
        <f t="shared" si="0"/>
        <v>15</v>
      </c>
      <c r="C23" s="83"/>
      <c r="D23" s="31"/>
      <c r="F23" s="31"/>
      <c r="H23" s="31"/>
      <c r="I23" s="19"/>
      <c r="J23" s="31"/>
      <c r="K23" s="19"/>
      <c r="L23" s="169"/>
      <c r="M23" s="105"/>
      <c r="N23" s="31"/>
    </row>
    <row r="24" spans="1:14" ht="13.5" thickBot="1">
      <c r="A24" s="82">
        <f t="shared" si="0"/>
        <v>16</v>
      </c>
      <c r="C24" s="177" t="s">
        <v>135</v>
      </c>
      <c r="D24" s="33">
        <f>D46+D68</f>
        <v>3192221846.303946</v>
      </c>
      <c r="F24" s="33">
        <f>F46+F68</f>
        <v>829807043.7757924</v>
      </c>
      <c r="G24" s="71"/>
      <c r="H24" s="33">
        <f>H46+H68</f>
        <v>1617300950.400846</v>
      </c>
      <c r="I24" s="172"/>
      <c r="J24" s="33">
        <f>J46+J68</f>
        <v>177867322.27629998</v>
      </c>
      <c r="K24" s="27"/>
      <c r="L24" s="33">
        <f>L46+L68</f>
        <v>333166033.2019307</v>
      </c>
      <c r="M24" s="108"/>
      <c r="N24" s="33">
        <f>N46+N68</f>
        <v>6150363195.958816</v>
      </c>
    </row>
    <row r="25" spans="1:14" ht="13.5" thickTop="1">
      <c r="A25" s="82">
        <f t="shared" si="0"/>
        <v>17</v>
      </c>
      <c r="D25" s="19"/>
      <c r="F25" s="19"/>
      <c r="H25" s="19"/>
      <c r="I25" s="19"/>
      <c r="J25" s="19"/>
      <c r="K25" s="19"/>
      <c r="L25" s="19"/>
      <c r="M25" s="19"/>
      <c r="N25" s="19"/>
    </row>
    <row r="26" spans="1:14" ht="12.75">
      <c r="A26" s="82">
        <f t="shared" si="0"/>
        <v>18</v>
      </c>
      <c r="D26" s="19"/>
      <c r="F26" s="19"/>
      <c r="H26" s="19"/>
      <c r="I26" s="19"/>
      <c r="J26" s="19"/>
      <c r="K26" s="19"/>
      <c r="L26" s="19"/>
      <c r="M26" s="19"/>
      <c r="N26" s="19"/>
    </row>
    <row r="27" spans="1:14" ht="12.75">
      <c r="A27" s="82">
        <f t="shared" si="0"/>
        <v>19</v>
      </c>
      <c r="E27" s="28"/>
      <c r="I27" s="75"/>
      <c r="K27" s="75"/>
      <c r="L27" s="75"/>
      <c r="M27" s="75"/>
      <c r="N27" s="76" t="s">
        <v>136</v>
      </c>
    </row>
    <row r="28" spans="1:14" ht="12.75">
      <c r="A28" s="82">
        <f t="shared" si="0"/>
        <v>20</v>
      </c>
      <c r="D28" s="76"/>
      <c r="E28" s="28"/>
      <c r="I28" s="75"/>
      <c r="K28" s="75"/>
      <c r="L28" s="75"/>
      <c r="M28" s="75"/>
      <c r="N28" s="76" t="s">
        <v>21</v>
      </c>
    </row>
    <row r="29" spans="1:14" ht="12.75">
      <c r="A29" s="82">
        <f t="shared" si="0"/>
        <v>21</v>
      </c>
      <c r="D29" s="75"/>
      <c r="E29" s="28"/>
      <c r="H29" s="184"/>
      <c r="J29" s="77" t="s">
        <v>192</v>
      </c>
      <c r="L29" s="77" t="s">
        <v>130</v>
      </c>
      <c r="N29" s="76" t="s">
        <v>113</v>
      </c>
    </row>
    <row r="30" spans="1:14" ht="12.75">
      <c r="A30" s="82">
        <f t="shared" si="0"/>
        <v>22</v>
      </c>
      <c r="C30" s="5"/>
      <c r="D30" s="75" t="s">
        <v>111</v>
      </c>
      <c r="F30" s="75" t="s">
        <v>131</v>
      </c>
      <c r="H30" s="75" t="s">
        <v>132</v>
      </c>
      <c r="J30" s="75" t="s">
        <v>164</v>
      </c>
      <c r="L30" s="168" t="s">
        <v>17</v>
      </c>
      <c r="M30" s="76"/>
      <c r="N30" s="168" t="s">
        <v>114</v>
      </c>
    </row>
    <row r="31" spans="1:14" ht="12.75">
      <c r="A31" s="82">
        <f t="shared" si="0"/>
        <v>23</v>
      </c>
      <c r="B31" s="80" t="s">
        <v>18</v>
      </c>
      <c r="C31" s="81"/>
      <c r="D31" s="32"/>
      <c r="F31" s="32"/>
      <c r="H31" s="32"/>
      <c r="J31" s="32"/>
      <c r="N31" s="32"/>
    </row>
    <row r="32" spans="1:14" ht="13.5" customHeight="1">
      <c r="A32" s="82">
        <f t="shared" si="0"/>
        <v>24</v>
      </c>
      <c r="C32" s="83" t="s">
        <v>268</v>
      </c>
      <c r="D32" s="28">
        <v>2869649838.4186997</v>
      </c>
      <c r="F32" s="28">
        <v>624701221.5593001</v>
      </c>
      <c r="H32" s="28">
        <v>1286190373.8704002</v>
      </c>
      <c r="J32" s="401">
        <v>140244615.6192</v>
      </c>
      <c r="L32" s="28">
        <v>324237466.2608999</v>
      </c>
      <c r="M32" s="27"/>
      <c r="N32" s="27">
        <f aca="true" t="shared" si="16" ref="N32:N44">SUM(D32:L32)</f>
        <v>5245023515.728499</v>
      </c>
    </row>
    <row r="33" spans="1:14" ht="12.75">
      <c r="A33" s="82">
        <f t="shared" si="0"/>
        <v>25</v>
      </c>
      <c r="C33" s="83" t="s">
        <v>287</v>
      </c>
      <c r="D33" s="28">
        <v>2882569246.0015</v>
      </c>
      <c r="F33" s="28">
        <v>627982375.9926</v>
      </c>
      <c r="H33" s="28">
        <v>1290860568.8902</v>
      </c>
      <c r="J33" s="401">
        <v>142279119.73009998</v>
      </c>
      <c r="L33" s="28">
        <v>326898636.67999995</v>
      </c>
      <c r="M33" s="105"/>
      <c r="N33" s="19">
        <f t="shared" si="16"/>
        <v>5270589947.2944</v>
      </c>
    </row>
    <row r="34" spans="1:14" ht="12.75">
      <c r="A34" s="82">
        <f t="shared" si="0"/>
        <v>26</v>
      </c>
      <c r="C34" s="83" t="s">
        <v>270</v>
      </c>
      <c r="D34" s="28">
        <v>2896663867.4404</v>
      </c>
      <c r="F34" s="28">
        <v>631020093.6696999</v>
      </c>
      <c r="H34" s="28">
        <v>1296109284.08</v>
      </c>
      <c r="J34" s="401">
        <v>143750406.5194</v>
      </c>
      <c r="L34" s="28">
        <v>314011334.8312999</v>
      </c>
      <c r="M34" s="105"/>
      <c r="N34" s="19">
        <f t="shared" si="16"/>
        <v>5281554986.540799</v>
      </c>
    </row>
    <row r="35" spans="1:14" ht="12.75">
      <c r="A35" s="82">
        <f t="shared" si="0"/>
        <v>27</v>
      </c>
      <c r="C35" s="83" t="s">
        <v>271</v>
      </c>
      <c r="D35" s="28">
        <v>2909012571.1994996</v>
      </c>
      <c r="F35" s="28">
        <v>633966912.2493</v>
      </c>
      <c r="H35" s="28">
        <v>1300876409.9799001</v>
      </c>
      <c r="J35" s="401">
        <v>143164553.748</v>
      </c>
      <c r="L35" s="28">
        <v>278639734.2385999</v>
      </c>
      <c r="M35" s="105"/>
      <c r="N35" s="19">
        <f t="shared" si="16"/>
        <v>5265660181.415299</v>
      </c>
    </row>
    <row r="36" spans="1:14" ht="12.75">
      <c r="A36" s="82">
        <f t="shared" si="0"/>
        <v>28</v>
      </c>
      <c r="C36" s="83" t="s">
        <v>156</v>
      </c>
      <c r="D36" s="28">
        <v>2921832340.5097003</v>
      </c>
      <c r="F36" s="28">
        <v>636885274.8231</v>
      </c>
      <c r="H36" s="28">
        <v>1305078980.1200001</v>
      </c>
      <c r="J36" s="401">
        <v>145610820.8002</v>
      </c>
      <c r="L36" s="28">
        <v>283947444.51980007</v>
      </c>
      <c r="M36" s="105"/>
      <c r="N36" s="19">
        <f t="shared" si="16"/>
        <v>5293354860.7728</v>
      </c>
    </row>
    <row r="37" spans="1:14" ht="12.75">
      <c r="A37" s="82">
        <f t="shared" si="0"/>
        <v>29</v>
      </c>
      <c r="C37" s="83" t="s">
        <v>272</v>
      </c>
      <c r="D37" s="28">
        <v>2919608078.7098002</v>
      </c>
      <c r="F37" s="28">
        <v>638902229.3299</v>
      </c>
      <c r="H37" s="28">
        <v>1273409265.0800002</v>
      </c>
      <c r="J37" s="401">
        <v>139766115.6309</v>
      </c>
      <c r="L37" s="28">
        <v>261620713.6303</v>
      </c>
      <c r="M37" s="105"/>
      <c r="N37" s="19">
        <f t="shared" si="16"/>
        <v>5233306402.3809</v>
      </c>
    </row>
    <row r="38" spans="1:14" ht="12.75">
      <c r="A38" s="82">
        <f t="shared" si="0"/>
        <v>30</v>
      </c>
      <c r="C38" s="83" t="s">
        <v>273</v>
      </c>
      <c r="D38" s="28">
        <v>2931826991.7805</v>
      </c>
      <c r="F38" s="28">
        <v>643687504.8834</v>
      </c>
      <c r="H38" s="28">
        <v>1272088425.7201</v>
      </c>
      <c r="J38" s="401">
        <v>141873009.9796</v>
      </c>
      <c r="L38" s="28">
        <v>264397794.51090005</v>
      </c>
      <c r="M38" s="105"/>
      <c r="N38" s="19">
        <f t="shared" si="16"/>
        <v>5253873726.8745</v>
      </c>
    </row>
    <row r="39" spans="1:14" ht="12.75">
      <c r="A39" s="82">
        <f t="shared" si="0"/>
        <v>31</v>
      </c>
      <c r="C39" s="83" t="s">
        <v>158</v>
      </c>
      <c r="D39" s="28">
        <v>2945993568.5294995</v>
      </c>
      <c r="F39" s="28">
        <v>646534636.2176002</v>
      </c>
      <c r="H39" s="28">
        <v>1277052147.4301</v>
      </c>
      <c r="J39" s="401">
        <v>144071891.7305</v>
      </c>
      <c r="L39" s="28">
        <v>267215272.21179995</v>
      </c>
      <c r="M39" s="105"/>
      <c r="N39" s="19">
        <f t="shared" si="16"/>
        <v>5280867516.1195</v>
      </c>
    </row>
    <row r="40" spans="1:14" ht="12.75">
      <c r="A40" s="82">
        <f t="shared" si="0"/>
        <v>32</v>
      </c>
      <c r="C40" s="83" t="s">
        <v>274</v>
      </c>
      <c r="D40" s="28">
        <v>2957623198.9817004</v>
      </c>
      <c r="F40" s="28">
        <v>649503754.5602999</v>
      </c>
      <c r="H40" s="28">
        <v>1280894727.8</v>
      </c>
      <c r="J40" s="401">
        <v>146300959.4707</v>
      </c>
      <c r="L40" s="28">
        <v>269999625.2914</v>
      </c>
      <c r="M40" s="105"/>
      <c r="N40" s="19">
        <f t="shared" si="16"/>
        <v>5304322266.1041</v>
      </c>
    </row>
    <row r="41" spans="1:14" ht="12.75">
      <c r="A41" s="82">
        <f t="shared" si="0"/>
        <v>33</v>
      </c>
      <c r="C41" s="83" t="s">
        <v>275</v>
      </c>
      <c r="D41" s="28">
        <v>2971536606.9901996</v>
      </c>
      <c r="F41" s="28">
        <v>652644551.933</v>
      </c>
      <c r="H41" s="28">
        <v>1284579619.5203</v>
      </c>
      <c r="J41" s="401">
        <v>147820942.3014</v>
      </c>
      <c r="L41" s="28">
        <v>267540244.86050004</v>
      </c>
      <c r="M41" s="105"/>
      <c r="N41" s="19">
        <f t="shared" si="16"/>
        <v>5324121965.6054</v>
      </c>
    </row>
    <row r="42" spans="1:14" ht="12.75">
      <c r="A42" s="82">
        <f aca="true" t="shared" si="17" ref="A42:A68">+A41+1</f>
        <v>34</v>
      </c>
      <c r="C42" s="83" t="s">
        <v>276</v>
      </c>
      <c r="D42" s="28">
        <v>2981037288.3992</v>
      </c>
      <c r="F42" s="28">
        <v>655206336.8383001</v>
      </c>
      <c r="H42" s="28">
        <v>1289981710.3701</v>
      </c>
      <c r="J42" s="401">
        <v>150561968.0705</v>
      </c>
      <c r="L42" s="28">
        <v>270409270.8898999</v>
      </c>
      <c r="M42" s="105"/>
      <c r="N42" s="19">
        <f t="shared" si="16"/>
        <v>5347196574.568001</v>
      </c>
    </row>
    <row r="43" spans="1:14" ht="12.75">
      <c r="A43" s="82">
        <f t="shared" si="17"/>
        <v>35</v>
      </c>
      <c r="C43" s="83" t="s">
        <v>277</v>
      </c>
      <c r="D43" s="28">
        <v>2988964226.8206005</v>
      </c>
      <c r="F43" s="28">
        <v>658397285.2087998</v>
      </c>
      <c r="H43" s="28">
        <v>1294193413.4999</v>
      </c>
      <c r="J43" s="401">
        <v>152539221.44129997</v>
      </c>
      <c r="L43" s="28">
        <v>271990682.0097</v>
      </c>
      <c r="M43" s="105"/>
      <c r="N43" s="19">
        <f t="shared" si="16"/>
        <v>5366084828.980301</v>
      </c>
    </row>
    <row r="44" spans="1:14" ht="12.75">
      <c r="A44" s="82">
        <f t="shared" si="17"/>
        <v>36</v>
      </c>
      <c r="C44" s="83" t="s">
        <v>187</v>
      </c>
      <c r="D44" s="28">
        <v>2989110400</v>
      </c>
      <c r="F44" s="28">
        <v>660017343</v>
      </c>
      <c r="H44" s="28">
        <v>1302178524</v>
      </c>
      <c r="J44" s="401">
        <v>154281678.79009998</v>
      </c>
      <c r="L44" s="28">
        <v>274276396</v>
      </c>
      <c r="M44" s="105"/>
      <c r="N44" s="19">
        <f t="shared" si="16"/>
        <v>5379864341.7901</v>
      </c>
    </row>
    <row r="45" spans="1:14" ht="12.75">
      <c r="A45" s="82">
        <f t="shared" si="17"/>
        <v>37</v>
      </c>
      <c r="C45" s="83"/>
      <c r="D45" s="31"/>
      <c r="F45" s="31"/>
      <c r="H45" s="31"/>
      <c r="J45" s="31"/>
      <c r="L45" s="169"/>
      <c r="M45" s="105"/>
      <c r="N45" s="31"/>
    </row>
    <row r="46" spans="1:14" ht="13.5" thickBot="1">
      <c r="A46" s="82">
        <f t="shared" si="17"/>
        <v>38</v>
      </c>
      <c r="C46" s="177" t="s">
        <v>135</v>
      </c>
      <c r="D46" s="33">
        <f>SUM(D32:D44)/13</f>
        <v>2935802171.0600996</v>
      </c>
      <c r="F46" s="33">
        <f>SUM(F32:F44)/13</f>
        <v>643034578.4819461</v>
      </c>
      <c r="H46" s="33">
        <f>SUM(H32:H44)/13</f>
        <v>1288730265.4123845</v>
      </c>
      <c r="J46" s="33">
        <f>SUM(J32:J44)/13</f>
        <v>145558869.52553076</v>
      </c>
      <c r="L46" s="33">
        <f>SUM(L32:L44)/13</f>
        <v>282706508.91808456</v>
      </c>
      <c r="M46" s="108"/>
      <c r="N46" s="33">
        <f>SUM(N32:N44)/13</f>
        <v>5295832393.3980465</v>
      </c>
    </row>
    <row r="47" spans="1:14" ht="13.5" thickTop="1">
      <c r="A47" s="82">
        <f t="shared" si="17"/>
        <v>39</v>
      </c>
      <c r="C47" s="5"/>
      <c r="D47" s="5"/>
      <c r="F47" s="5"/>
      <c r="H47" s="5"/>
      <c r="J47" s="5"/>
      <c r="K47" s="5"/>
      <c r="L47" s="5"/>
      <c r="M47" s="5"/>
      <c r="N47" s="5"/>
    </row>
    <row r="48" spans="1:14" ht="12.75">
      <c r="A48" s="82">
        <f t="shared" si="17"/>
        <v>40</v>
      </c>
      <c r="C48" s="5"/>
      <c r="D48" s="34"/>
      <c r="E48" s="5"/>
      <c r="F48" s="34"/>
      <c r="H48" s="34"/>
      <c r="J48" s="34"/>
      <c r="K48" s="5"/>
      <c r="L48" s="34"/>
      <c r="M48" s="5"/>
      <c r="N48" s="5"/>
    </row>
    <row r="49" spans="1:14" ht="12.75">
      <c r="A49" s="82">
        <f t="shared" si="17"/>
        <v>41</v>
      </c>
      <c r="C49" s="5"/>
      <c r="E49" s="28"/>
      <c r="I49" s="75"/>
      <c r="K49" s="75"/>
      <c r="L49" s="75"/>
      <c r="M49" s="75"/>
      <c r="N49" s="76" t="s">
        <v>136</v>
      </c>
    </row>
    <row r="50" spans="1:14" ht="12.75">
      <c r="A50" s="82">
        <f t="shared" si="17"/>
        <v>42</v>
      </c>
      <c r="C50" s="5"/>
      <c r="D50" s="76"/>
      <c r="E50" s="28"/>
      <c r="I50" s="75"/>
      <c r="K50" s="75"/>
      <c r="L50" s="75"/>
      <c r="M50" s="75"/>
      <c r="N50" s="76" t="s">
        <v>21</v>
      </c>
    </row>
    <row r="51" spans="1:14" ht="12.75">
      <c r="A51" s="82">
        <f t="shared" si="17"/>
        <v>43</v>
      </c>
      <c r="C51" s="5"/>
      <c r="D51" s="75"/>
      <c r="E51" s="28"/>
      <c r="H51" s="184"/>
      <c r="J51" s="77" t="s">
        <v>192</v>
      </c>
      <c r="L51" s="77" t="s">
        <v>130</v>
      </c>
      <c r="N51" s="76" t="s">
        <v>113</v>
      </c>
    </row>
    <row r="52" spans="1:14" ht="12.75">
      <c r="A52" s="82">
        <f t="shared" si="17"/>
        <v>44</v>
      </c>
      <c r="C52" s="5"/>
      <c r="D52" s="75" t="s">
        <v>111</v>
      </c>
      <c r="F52" s="75" t="s">
        <v>131</v>
      </c>
      <c r="H52" s="75" t="s">
        <v>132</v>
      </c>
      <c r="J52" s="75" t="s">
        <v>164</v>
      </c>
      <c r="L52" s="168" t="s">
        <v>17</v>
      </c>
      <c r="M52" s="76"/>
      <c r="N52" s="168" t="s">
        <v>114</v>
      </c>
    </row>
    <row r="53" spans="1:14" ht="12.75">
      <c r="A53" s="82">
        <f t="shared" si="17"/>
        <v>45</v>
      </c>
      <c r="B53" s="80" t="s">
        <v>19</v>
      </c>
      <c r="C53" s="81"/>
      <c r="D53" s="32"/>
      <c r="F53" s="32"/>
      <c r="H53" s="32"/>
      <c r="J53" s="32"/>
      <c r="N53" s="32"/>
    </row>
    <row r="54" spans="1:14" ht="12.75">
      <c r="A54" s="82">
        <f t="shared" si="17"/>
        <v>46</v>
      </c>
      <c r="C54" s="83" t="s">
        <v>268</v>
      </c>
      <c r="D54" s="28">
        <v>251572028.8</v>
      </c>
      <c r="E54" s="28"/>
      <c r="F54" s="28">
        <v>180263245.76999998</v>
      </c>
      <c r="G54" s="28"/>
      <c r="H54" s="28">
        <f>319613013.09-10128</f>
        <v>319602885.09</v>
      </c>
      <c r="I54" s="28"/>
      <c r="J54" s="401">
        <v>33926224.6</v>
      </c>
      <c r="K54" s="19"/>
      <c r="L54" s="28">
        <v>51720330.280000016</v>
      </c>
      <c r="M54" s="27"/>
      <c r="N54" s="27">
        <f aca="true" t="shared" si="18" ref="N54:N66">SUM(D54:L54)</f>
        <v>837084714.54</v>
      </c>
    </row>
    <row r="55" spans="1:14" ht="12.75">
      <c r="A55" s="82">
        <f t="shared" si="17"/>
        <v>47</v>
      </c>
      <c r="C55" s="83" t="s">
        <v>287</v>
      </c>
      <c r="D55" s="28">
        <v>252543098.02999997</v>
      </c>
      <c r="E55" s="28"/>
      <c r="F55" s="28">
        <v>181875743.10000002</v>
      </c>
      <c r="G55" s="28"/>
      <c r="H55" s="28">
        <f>321176538.93-10676</f>
        <v>321165862.93</v>
      </c>
      <c r="I55" s="28"/>
      <c r="J55" s="401">
        <v>34377992.190000005</v>
      </c>
      <c r="K55" s="19"/>
      <c r="L55" s="28">
        <v>52170330.14000001</v>
      </c>
      <c r="M55" s="105"/>
      <c r="N55" s="19">
        <f t="shared" si="18"/>
        <v>842133026.39</v>
      </c>
    </row>
    <row r="56" spans="1:14" ht="12.75">
      <c r="A56" s="82">
        <f t="shared" si="17"/>
        <v>48</v>
      </c>
      <c r="C56" s="83" t="s">
        <v>270</v>
      </c>
      <c r="D56" s="28">
        <v>253449280.23999998</v>
      </c>
      <c r="E56" s="28"/>
      <c r="F56" s="28">
        <v>183287986.28000003</v>
      </c>
      <c r="G56" s="28"/>
      <c r="H56" s="28">
        <f>322711983.91-11225</f>
        <v>322700758.91</v>
      </c>
      <c r="I56" s="28"/>
      <c r="J56" s="401">
        <v>34789915.120000005</v>
      </c>
      <c r="K56" s="19"/>
      <c r="L56" s="28">
        <v>52656368.800000004</v>
      </c>
      <c r="M56" s="105"/>
      <c r="N56" s="19">
        <f t="shared" si="18"/>
        <v>846884309.35</v>
      </c>
    </row>
    <row r="57" spans="1:14" ht="12.75">
      <c r="A57" s="82">
        <f t="shared" si="17"/>
        <v>49</v>
      </c>
      <c r="C57" s="83" t="s">
        <v>271</v>
      </c>
      <c r="D57" s="28">
        <v>254433152.51000002</v>
      </c>
      <c r="E57" s="28"/>
      <c r="F57" s="28">
        <v>183883377.20000002</v>
      </c>
      <c r="G57" s="28"/>
      <c r="H57" s="28">
        <f>324286929.35-11773</f>
        <v>324275156.35</v>
      </c>
      <c r="I57" s="28"/>
      <c r="J57" s="401">
        <v>35059131.510000005</v>
      </c>
      <c r="K57" s="19"/>
      <c r="L57" s="28">
        <v>51382606.94000003</v>
      </c>
      <c r="M57" s="105"/>
      <c r="N57" s="19">
        <f t="shared" si="18"/>
        <v>849033424.5100001</v>
      </c>
    </row>
    <row r="58" spans="1:14" ht="12.75">
      <c r="A58" s="82">
        <f t="shared" si="17"/>
        <v>50</v>
      </c>
      <c r="C58" s="83" t="s">
        <v>156</v>
      </c>
      <c r="D58" s="28">
        <v>255018288.18</v>
      </c>
      <c r="E58" s="28"/>
      <c r="F58" s="28">
        <v>184953182.68</v>
      </c>
      <c r="G58" s="28"/>
      <c r="H58" s="28">
        <f>326142420.48-12321</f>
        <v>326130099.48</v>
      </c>
      <c r="I58" s="28"/>
      <c r="J58" s="401">
        <v>35471846.35999999</v>
      </c>
      <c r="K58" s="19"/>
      <c r="L58" s="28">
        <v>51700312.03000001</v>
      </c>
      <c r="M58" s="105"/>
      <c r="N58" s="19">
        <f t="shared" si="18"/>
        <v>853273728.73</v>
      </c>
    </row>
    <row r="59" spans="1:14" ht="12.75">
      <c r="A59" s="82">
        <f t="shared" si="17"/>
        <v>51</v>
      </c>
      <c r="C59" s="83" t="s">
        <v>272</v>
      </c>
      <c r="D59" s="28">
        <v>255202731.44</v>
      </c>
      <c r="E59" s="28"/>
      <c r="F59" s="28">
        <v>185729216.42000002</v>
      </c>
      <c r="G59" s="28"/>
      <c r="H59" s="28">
        <f>327424174.27-12869</f>
        <v>327411305.27</v>
      </c>
      <c r="I59" s="28"/>
      <c r="J59" s="401">
        <v>35880790.510000005</v>
      </c>
      <c r="K59" s="19"/>
      <c r="L59" s="28">
        <v>49512352.300000004</v>
      </c>
      <c r="M59" s="105"/>
      <c r="N59" s="19">
        <f t="shared" si="18"/>
        <v>853736395.9399999</v>
      </c>
    </row>
    <row r="60" spans="1:14" ht="12.75">
      <c r="A60" s="82">
        <f t="shared" si="17"/>
        <v>52</v>
      </c>
      <c r="C60" s="83" t="s">
        <v>273</v>
      </c>
      <c r="D60" s="28">
        <v>256077763.11000007</v>
      </c>
      <c r="E60" s="28"/>
      <c r="F60" s="28">
        <v>186582653.52</v>
      </c>
      <c r="G60" s="28"/>
      <c r="H60" s="28">
        <f>328683794.14-13417</f>
        <v>328670377.14</v>
      </c>
      <c r="I60" s="28"/>
      <c r="J60" s="401">
        <v>29054928.24</v>
      </c>
      <c r="K60" s="19"/>
      <c r="L60" s="28">
        <v>48423256.43000001</v>
      </c>
      <c r="M60" s="105"/>
      <c r="N60" s="19">
        <f t="shared" si="18"/>
        <v>848808978.44</v>
      </c>
    </row>
    <row r="61" spans="1:14" ht="12.75">
      <c r="A61" s="82">
        <f t="shared" si="17"/>
        <v>53</v>
      </c>
      <c r="C61" s="83" t="s">
        <v>158</v>
      </c>
      <c r="D61" s="28">
        <v>257068817.83000004</v>
      </c>
      <c r="E61" s="28"/>
      <c r="F61" s="28">
        <v>187671460.61</v>
      </c>
      <c r="G61" s="28"/>
      <c r="H61" s="28">
        <f>330431813.03-13966</f>
        <v>330417847.03</v>
      </c>
      <c r="I61" s="28"/>
      <c r="J61" s="401">
        <v>29461277.159999996</v>
      </c>
      <c r="K61" s="19"/>
      <c r="L61" s="28">
        <v>48909183.26000002</v>
      </c>
      <c r="M61" s="105"/>
      <c r="N61" s="19">
        <f t="shared" si="18"/>
        <v>853528585.89</v>
      </c>
    </row>
    <row r="62" spans="1:14" ht="12.75">
      <c r="A62" s="82">
        <f t="shared" si="17"/>
        <v>54</v>
      </c>
      <c r="C62" s="83" t="s">
        <v>274</v>
      </c>
      <c r="D62" s="28">
        <v>257771181.45</v>
      </c>
      <c r="E62" s="28"/>
      <c r="F62" s="28">
        <v>188758860.29000002</v>
      </c>
      <c r="G62" s="28"/>
      <c r="H62" s="28">
        <f>331656564.27-14514</f>
        <v>331642050.27</v>
      </c>
      <c r="I62" s="28"/>
      <c r="J62" s="401">
        <v>29866868.72</v>
      </c>
      <c r="K62" s="19"/>
      <c r="L62" s="28">
        <v>49397871.160000026</v>
      </c>
      <c r="M62" s="105"/>
      <c r="N62" s="19">
        <f t="shared" si="18"/>
        <v>857436831.8900001</v>
      </c>
    </row>
    <row r="63" spans="1:14" ht="12.75">
      <c r="A63" s="82">
        <f t="shared" si="17"/>
        <v>55</v>
      </c>
      <c r="C63" s="83" t="s">
        <v>275</v>
      </c>
      <c r="D63" s="28">
        <v>258767247.74999997</v>
      </c>
      <c r="E63" s="28"/>
      <c r="F63" s="28">
        <v>189790339.55</v>
      </c>
      <c r="G63" s="28"/>
      <c r="H63" s="28">
        <f>333167852.39-15062</f>
        <v>333152790.39</v>
      </c>
      <c r="I63" s="28"/>
      <c r="J63" s="401">
        <v>30017969.650000006</v>
      </c>
      <c r="K63" s="19"/>
      <c r="L63" s="28">
        <v>49428309.820000015</v>
      </c>
      <c r="M63" s="105"/>
      <c r="N63" s="19">
        <f t="shared" si="18"/>
        <v>861156657.16</v>
      </c>
    </row>
    <row r="64" spans="1:14" ht="12.75">
      <c r="A64" s="82">
        <f t="shared" si="17"/>
        <v>56</v>
      </c>
      <c r="C64" s="83" t="s">
        <v>276</v>
      </c>
      <c r="D64" s="28">
        <v>259783252.40000004</v>
      </c>
      <c r="E64" s="28"/>
      <c r="F64" s="28">
        <v>190947613.76</v>
      </c>
      <c r="G64" s="28"/>
      <c r="H64" s="28">
        <f>334250711.52-15610</f>
        <v>334235101.52</v>
      </c>
      <c r="I64" s="28"/>
      <c r="J64" s="401">
        <v>30442634.18</v>
      </c>
      <c r="K64" s="19"/>
      <c r="L64" s="28">
        <v>49940317</v>
      </c>
      <c r="M64" s="105"/>
      <c r="N64" s="19">
        <f t="shared" si="18"/>
        <v>865348918.86</v>
      </c>
    </row>
    <row r="65" spans="1:14" ht="12.75">
      <c r="A65" s="82">
        <f t="shared" si="17"/>
        <v>57</v>
      </c>
      <c r="C65" s="83" t="s">
        <v>277</v>
      </c>
      <c r="D65" s="28">
        <v>260361349.63</v>
      </c>
      <c r="E65" s="28"/>
      <c r="F65" s="28">
        <v>191598039.58999997</v>
      </c>
      <c r="G65" s="28"/>
      <c r="H65" s="28">
        <f>336098070.5-16158</f>
        <v>336081912.5</v>
      </c>
      <c r="I65" s="28"/>
      <c r="J65" s="401">
        <v>30626399.519999996</v>
      </c>
      <c r="K65" s="19"/>
      <c r="L65" s="28">
        <v>50195203.15999999</v>
      </c>
      <c r="M65" s="105"/>
      <c r="N65" s="19">
        <f t="shared" si="18"/>
        <v>868862904.4</v>
      </c>
    </row>
    <row r="66" spans="1:14" ht="12.75">
      <c r="A66" s="82">
        <f t="shared" si="17"/>
        <v>58</v>
      </c>
      <c r="C66" s="83" t="s">
        <v>187</v>
      </c>
      <c r="D66" s="28">
        <v>261407586.8</v>
      </c>
      <c r="E66" s="28"/>
      <c r="F66" s="28">
        <v>192700330.05</v>
      </c>
      <c r="G66" s="28"/>
      <c r="H66" s="28">
        <f>335956157.97-23400</f>
        <v>335932757.97</v>
      </c>
      <c r="I66" s="28"/>
      <c r="J66" s="401">
        <v>31033908</v>
      </c>
      <c r="K66" s="19"/>
      <c r="L66" s="28">
        <v>50537374.36999998</v>
      </c>
      <c r="M66" s="105"/>
      <c r="N66" s="19">
        <f t="shared" si="18"/>
        <v>871611957.19</v>
      </c>
    </row>
    <row r="67" spans="1:14" ht="12.75">
      <c r="A67" s="82">
        <f t="shared" si="17"/>
        <v>59</v>
      </c>
      <c r="C67" s="83"/>
      <c r="D67" s="31"/>
      <c r="F67" s="31"/>
      <c r="H67" s="31"/>
      <c r="I67" s="19"/>
      <c r="J67" s="31"/>
      <c r="K67" s="19"/>
      <c r="L67" s="169"/>
      <c r="M67" s="105"/>
      <c r="N67" s="31"/>
    </row>
    <row r="68" spans="1:14" ht="13.5" thickBot="1">
      <c r="A68" s="82">
        <f t="shared" si="17"/>
        <v>60</v>
      </c>
      <c r="C68" s="177" t="s">
        <v>135</v>
      </c>
      <c r="D68" s="33">
        <f>SUM(D54:D66)/13</f>
        <v>256419675.2438462</v>
      </c>
      <c r="F68" s="33">
        <f>SUM(F54:F66)/13</f>
        <v>186772465.2938462</v>
      </c>
      <c r="G68" s="71"/>
      <c r="H68" s="33">
        <f>SUM(H54:H66)/13</f>
        <v>328570684.9884615</v>
      </c>
      <c r="I68" s="172"/>
      <c r="J68" s="33">
        <f>SUM(J54:J66)/13</f>
        <v>32308452.750769235</v>
      </c>
      <c r="K68" s="27"/>
      <c r="L68" s="33">
        <f>SUM(L54:L66)/13</f>
        <v>50459524.283846155</v>
      </c>
      <c r="M68" s="108"/>
      <c r="N68" s="33">
        <f>SUM(N54:N66)/13</f>
        <v>854530802.5607693</v>
      </c>
    </row>
    <row r="69" ht="13.5" thickTop="1"/>
    <row r="70" spans="8:10" ht="12.75">
      <c r="H70" s="28"/>
      <c r="I70" s="28"/>
      <c r="J70" s="28"/>
    </row>
    <row r="71" spans="8:10" ht="12.75">
      <c r="H71" s="28"/>
      <c r="I71" s="28"/>
      <c r="J71" s="28"/>
    </row>
    <row r="72" spans="1:10" ht="12.75">
      <c r="A72" s="79"/>
      <c r="H72" s="28"/>
      <c r="I72" s="28"/>
      <c r="J72" s="28"/>
    </row>
  </sheetData>
  <printOptions horizontalCentered="1"/>
  <pageMargins left="0.75" right="0.25" top="0.75" bottom="0.4" header="0" footer="0.25"/>
  <pageSetup fitToHeight="1" fitToWidth="1" horizontalDpi="600" verticalDpi="600" orientation="portrait" scale="63" r:id="rId3"/>
  <headerFooter alignWithMargins="0">
    <oddFooter>&amp;CPage &amp;P of &amp;N</oddFooter>
  </headerFooter>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N68"/>
  <sheetViews>
    <sheetView showGridLines="0" workbookViewId="0" topLeftCell="A1">
      <selection activeCell="F10" sqref="F10"/>
    </sheetView>
  </sheetViews>
  <sheetFormatPr defaultColWidth="14.4453125" defaultRowHeight="15"/>
  <cols>
    <col min="1" max="1" width="4.77734375" style="73" customWidth="1"/>
    <col min="2" max="2" width="2.77734375" style="2" customWidth="1"/>
    <col min="3" max="3" width="29.3359375" style="2" customWidth="1"/>
    <col min="4" max="4" width="14.4453125" style="2" customWidth="1"/>
    <col min="5" max="5" width="0.88671875" style="2" customWidth="1"/>
    <col min="6" max="6" width="14.4453125" style="2" bestFit="1" customWidth="1"/>
    <col min="7" max="7" width="0.88671875" style="2" customWidth="1"/>
    <col min="8" max="8" width="15.5546875" style="2" bestFit="1" customWidth="1"/>
    <col min="9" max="9" width="0.88671875" style="2" customWidth="1"/>
    <col min="10" max="10" width="12.88671875" style="2" customWidth="1"/>
    <col min="11" max="11" width="0.88671875" style="2" customWidth="1"/>
    <col min="12" max="12" width="14.4453125" style="2" customWidth="1"/>
    <col min="13" max="13" width="0.78125" style="2" customWidth="1"/>
    <col min="14" max="14" width="14.4453125" style="2" bestFit="1" customWidth="1"/>
    <col min="15" max="16384" width="14.4453125" style="2" customWidth="1"/>
  </cols>
  <sheetData>
    <row r="1" spans="1:14" ht="12.75">
      <c r="A1" s="70" t="s">
        <v>15</v>
      </c>
      <c r="B1" s="71"/>
      <c r="C1" s="71"/>
      <c r="D1" s="71"/>
      <c r="E1" s="71"/>
      <c r="F1" s="71"/>
      <c r="G1" s="71"/>
      <c r="H1" s="71"/>
      <c r="I1" s="71"/>
      <c r="J1" s="71"/>
      <c r="K1" s="71"/>
      <c r="L1" s="71"/>
      <c r="M1" s="71"/>
      <c r="N1" s="72" t="s">
        <v>285</v>
      </c>
    </row>
    <row r="2" spans="1:14" ht="12.75">
      <c r="A2" s="70" t="s">
        <v>196</v>
      </c>
      <c r="B2" s="71"/>
      <c r="C2" s="71"/>
      <c r="D2" s="71"/>
      <c r="E2" s="71"/>
      <c r="F2" s="71"/>
      <c r="G2" s="71"/>
      <c r="H2" s="71"/>
      <c r="I2" s="71"/>
      <c r="J2" s="71"/>
      <c r="K2" s="71"/>
      <c r="L2" s="71"/>
      <c r="M2" s="71"/>
      <c r="N2" s="72"/>
    </row>
    <row r="3" spans="1:13" ht="12.75">
      <c r="A3" s="70" t="s">
        <v>286</v>
      </c>
      <c r="B3" s="71"/>
      <c r="C3" s="71"/>
      <c r="D3" s="71"/>
      <c r="E3" s="71"/>
      <c r="F3" s="71"/>
      <c r="G3" s="71"/>
      <c r="H3" s="71"/>
      <c r="I3" s="71"/>
      <c r="J3" s="71"/>
      <c r="K3" s="71"/>
      <c r="L3" s="71"/>
      <c r="M3" s="71"/>
    </row>
    <row r="4" ht="12.75">
      <c r="A4" s="116"/>
    </row>
    <row r="5" spans="1:14" ht="12.75">
      <c r="A5" s="5"/>
      <c r="B5" s="5"/>
      <c r="C5" s="5"/>
      <c r="E5" s="28"/>
      <c r="I5" s="75"/>
      <c r="K5" s="75"/>
      <c r="L5" s="75"/>
      <c r="M5" s="75"/>
      <c r="N5" s="76" t="s">
        <v>136</v>
      </c>
    </row>
    <row r="6" spans="4:14" ht="12.75">
      <c r="D6" s="76"/>
      <c r="E6" s="28"/>
      <c r="I6" s="75"/>
      <c r="K6" s="75"/>
      <c r="L6" s="75"/>
      <c r="M6" s="75"/>
      <c r="N6" s="76" t="s">
        <v>21</v>
      </c>
    </row>
    <row r="7" spans="1:14" ht="12.75">
      <c r="A7" s="73" t="s">
        <v>153</v>
      </c>
      <c r="D7" s="75"/>
      <c r="E7" s="28"/>
      <c r="H7" s="184"/>
      <c r="J7" s="77" t="s">
        <v>192</v>
      </c>
      <c r="L7" s="77" t="s">
        <v>130</v>
      </c>
      <c r="N7" s="76" t="s">
        <v>113</v>
      </c>
    </row>
    <row r="8" spans="1:14" ht="12.75">
      <c r="A8" s="78" t="s">
        <v>129</v>
      </c>
      <c r="D8" s="75" t="s">
        <v>111</v>
      </c>
      <c r="F8" s="75" t="s">
        <v>131</v>
      </c>
      <c r="H8" s="75" t="s">
        <v>132</v>
      </c>
      <c r="J8" s="75" t="s">
        <v>164</v>
      </c>
      <c r="L8" s="168" t="s">
        <v>17</v>
      </c>
      <c r="M8" s="76"/>
      <c r="N8" s="168" t="s">
        <v>114</v>
      </c>
    </row>
    <row r="9" spans="1:14" ht="12.75">
      <c r="A9" s="79" t="s">
        <v>133</v>
      </c>
      <c r="B9" s="80" t="s">
        <v>16</v>
      </c>
      <c r="C9" s="81"/>
      <c r="D9" s="32"/>
      <c r="F9" s="32"/>
      <c r="H9" s="32"/>
      <c r="J9" s="32"/>
      <c r="N9" s="32"/>
    </row>
    <row r="10" spans="1:14" ht="12.75">
      <c r="A10" s="82">
        <f aca="true" t="shared" si="0" ref="A10:A41">+A9+1</f>
        <v>2</v>
      </c>
      <c r="C10" s="83" t="s">
        <v>268</v>
      </c>
      <c r="D10" s="27">
        <f aca="true" t="shared" si="1" ref="D10:D22">+D32+D54</f>
        <v>3573810004.9813004</v>
      </c>
      <c r="E10" s="28"/>
      <c r="F10" s="27">
        <f aca="true" t="shared" si="2" ref="F10:L22">+F32+F54</f>
        <v>1678712705.9107</v>
      </c>
      <c r="G10" s="27">
        <f t="shared" si="2"/>
        <v>0</v>
      </c>
      <c r="H10" s="27">
        <f t="shared" si="2"/>
        <v>2211983274.3696</v>
      </c>
      <c r="I10" s="27">
        <f t="shared" si="2"/>
        <v>0</v>
      </c>
      <c r="J10" s="27">
        <f t="shared" si="2"/>
        <v>314380633.2008</v>
      </c>
      <c r="K10" s="27">
        <f t="shared" si="2"/>
        <v>0</v>
      </c>
      <c r="L10" s="27">
        <f t="shared" si="2"/>
        <v>247775050.3891001</v>
      </c>
      <c r="M10" s="27"/>
      <c r="N10" s="27">
        <f aca="true" t="shared" si="3" ref="N10:N22">SUM(D10:L10)</f>
        <v>8026661668.8515005</v>
      </c>
    </row>
    <row r="11" spans="1:14" ht="12.75">
      <c r="A11" s="82">
        <f t="shared" si="0"/>
        <v>3</v>
      </c>
      <c r="C11" s="83" t="s">
        <v>287</v>
      </c>
      <c r="D11" s="28">
        <f t="shared" si="1"/>
        <v>3563439474.227801</v>
      </c>
      <c r="E11" s="28"/>
      <c r="F11" s="28">
        <f t="shared" si="2"/>
        <v>1684650472.1302001</v>
      </c>
      <c r="G11" s="28">
        <f t="shared" si="2"/>
        <v>0</v>
      </c>
      <c r="H11" s="28">
        <f t="shared" si="2"/>
        <v>2212974363.8199997</v>
      </c>
      <c r="I11" s="28">
        <f t="shared" si="2"/>
        <v>0</v>
      </c>
      <c r="J11" s="28">
        <f t="shared" si="2"/>
        <v>315382603.34999996</v>
      </c>
      <c r="K11" s="28">
        <f t="shared" si="2"/>
        <v>0</v>
      </c>
      <c r="L11" s="28">
        <f t="shared" si="2"/>
        <v>244961756.24040005</v>
      </c>
      <c r="M11" s="105"/>
      <c r="N11" s="19">
        <f t="shared" si="3"/>
        <v>8021408669.768401</v>
      </c>
    </row>
    <row r="12" spans="1:14" ht="12.75">
      <c r="A12" s="82">
        <f t="shared" si="0"/>
        <v>4</v>
      </c>
      <c r="C12" s="83" t="s">
        <v>270</v>
      </c>
      <c r="D12" s="28">
        <f t="shared" si="1"/>
        <v>3552650157.059099</v>
      </c>
      <c r="E12" s="28"/>
      <c r="F12" s="28">
        <f t="shared" si="2"/>
        <v>1695293792.8042002</v>
      </c>
      <c r="G12" s="28">
        <f t="shared" si="2"/>
        <v>0</v>
      </c>
      <c r="H12" s="28">
        <f t="shared" si="2"/>
        <v>2215952152.0402</v>
      </c>
      <c r="I12" s="28">
        <f t="shared" si="2"/>
        <v>0</v>
      </c>
      <c r="J12" s="28">
        <f t="shared" si="2"/>
        <v>316360876.51049995</v>
      </c>
      <c r="K12" s="28">
        <f t="shared" si="2"/>
        <v>0</v>
      </c>
      <c r="L12" s="28">
        <f t="shared" si="2"/>
        <v>245132518.45960006</v>
      </c>
      <c r="M12" s="105"/>
      <c r="N12" s="19">
        <f t="shared" si="3"/>
        <v>8025389496.8736</v>
      </c>
    </row>
    <row r="13" spans="1:14" ht="12.75">
      <c r="A13" s="82">
        <f t="shared" si="0"/>
        <v>5</v>
      </c>
      <c r="C13" s="83" t="s">
        <v>271</v>
      </c>
      <c r="D13" s="28">
        <f t="shared" si="1"/>
        <v>3531846954.3209004</v>
      </c>
      <c r="E13" s="28"/>
      <c r="F13" s="28">
        <f t="shared" si="2"/>
        <v>1710667686.9534998</v>
      </c>
      <c r="G13" s="28">
        <f t="shared" si="2"/>
        <v>0</v>
      </c>
      <c r="H13" s="28">
        <f t="shared" si="2"/>
        <v>2218401316.4402995</v>
      </c>
      <c r="I13" s="28">
        <f t="shared" si="2"/>
        <v>0</v>
      </c>
      <c r="J13" s="28">
        <f t="shared" si="2"/>
        <v>317231262.4426999</v>
      </c>
      <c r="K13" s="28">
        <f t="shared" si="2"/>
        <v>0</v>
      </c>
      <c r="L13" s="28">
        <f t="shared" si="2"/>
        <v>242614708.44199997</v>
      </c>
      <c r="M13" s="105"/>
      <c r="N13" s="19">
        <f t="shared" si="3"/>
        <v>8020761928.5994005</v>
      </c>
    </row>
    <row r="14" spans="1:14" ht="12.75">
      <c r="A14" s="82">
        <f t="shared" si="0"/>
        <v>6</v>
      </c>
      <c r="C14" s="83" t="s">
        <v>156</v>
      </c>
      <c r="D14" s="28">
        <f t="shared" si="1"/>
        <v>3518209872.9397993</v>
      </c>
      <c r="E14" s="28"/>
      <c r="F14" s="28">
        <f t="shared" si="2"/>
        <v>1735928797.1593003</v>
      </c>
      <c r="G14" s="28">
        <f t="shared" si="2"/>
        <v>0</v>
      </c>
      <c r="H14" s="28">
        <f t="shared" si="2"/>
        <v>2225781619.0301995</v>
      </c>
      <c r="I14" s="28">
        <f t="shared" si="2"/>
        <v>0</v>
      </c>
      <c r="J14" s="28">
        <f t="shared" si="2"/>
        <v>317052950.0698</v>
      </c>
      <c r="K14" s="28">
        <f t="shared" si="2"/>
        <v>0</v>
      </c>
      <c r="L14" s="28">
        <f t="shared" si="2"/>
        <v>243257906.07069993</v>
      </c>
      <c r="M14" s="105"/>
      <c r="N14" s="19">
        <f t="shared" si="3"/>
        <v>8040231145.269799</v>
      </c>
    </row>
    <row r="15" spans="1:14" ht="12.75">
      <c r="A15" s="82">
        <f t="shared" si="0"/>
        <v>7</v>
      </c>
      <c r="C15" s="83" t="s">
        <v>272</v>
      </c>
      <c r="D15" s="28">
        <f t="shared" si="1"/>
        <v>3521566966.5803995</v>
      </c>
      <c r="E15" s="28"/>
      <c r="F15" s="28">
        <f t="shared" si="2"/>
        <v>1738430509.1619003</v>
      </c>
      <c r="G15" s="28">
        <f t="shared" si="2"/>
        <v>0</v>
      </c>
      <c r="H15" s="28">
        <f t="shared" si="2"/>
        <v>2232870720.6902</v>
      </c>
      <c r="I15" s="28">
        <f t="shared" si="2"/>
        <v>0</v>
      </c>
      <c r="J15" s="28">
        <f t="shared" si="2"/>
        <v>317513562.6802999</v>
      </c>
      <c r="K15" s="28">
        <f t="shared" si="2"/>
        <v>0</v>
      </c>
      <c r="L15" s="28">
        <f t="shared" si="2"/>
        <v>243873597.64089996</v>
      </c>
      <c r="M15" s="105"/>
      <c r="N15" s="19">
        <f t="shared" si="3"/>
        <v>8054255356.753699</v>
      </c>
    </row>
    <row r="16" spans="1:14" ht="12.75">
      <c r="A16" s="82">
        <f t="shared" si="0"/>
        <v>8</v>
      </c>
      <c r="C16" s="83" t="s">
        <v>273</v>
      </c>
      <c r="D16" s="28">
        <f t="shared" si="1"/>
        <v>3512968834.679501</v>
      </c>
      <c r="E16" s="28"/>
      <c r="F16" s="28">
        <f t="shared" si="2"/>
        <v>1747051619.3886003</v>
      </c>
      <c r="G16" s="28">
        <f t="shared" si="2"/>
        <v>0</v>
      </c>
      <c r="H16" s="28">
        <f t="shared" si="2"/>
        <v>2234167709.0701003</v>
      </c>
      <c r="I16" s="28">
        <f t="shared" si="2"/>
        <v>0</v>
      </c>
      <c r="J16" s="28">
        <f t="shared" si="2"/>
        <v>316814380.8309</v>
      </c>
      <c r="K16" s="28">
        <f t="shared" si="2"/>
        <v>0</v>
      </c>
      <c r="L16" s="28">
        <f t="shared" si="2"/>
        <v>247595349.5204</v>
      </c>
      <c r="M16" s="105"/>
      <c r="N16" s="19">
        <f t="shared" si="3"/>
        <v>8058597893.489503</v>
      </c>
    </row>
    <row r="17" spans="1:14" ht="12.75">
      <c r="A17" s="82">
        <f t="shared" si="0"/>
        <v>9</v>
      </c>
      <c r="C17" s="83" t="s">
        <v>158</v>
      </c>
      <c r="D17" s="28">
        <f t="shared" si="1"/>
        <v>3519879228.9112005</v>
      </c>
      <c r="E17" s="28"/>
      <c r="F17" s="28">
        <f t="shared" si="2"/>
        <v>1755923451.805</v>
      </c>
      <c r="G17" s="28">
        <f t="shared" si="2"/>
        <v>0</v>
      </c>
      <c r="H17" s="28">
        <f t="shared" si="2"/>
        <v>2236803553.7901</v>
      </c>
      <c r="I17" s="28">
        <f t="shared" si="2"/>
        <v>0</v>
      </c>
      <c r="J17" s="28">
        <f t="shared" si="2"/>
        <v>316675924.8797</v>
      </c>
      <c r="K17" s="28">
        <f t="shared" si="2"/>
        <v>0</v>
      </c>
      <c r="L17" s="28">
        <f t="shared" si="2"/>
        <v>248519860.54930013</v>
      </c>
      <c r="M17" s="105"/>
      <c r="N17" s="19">
        <f t="shared" si="3"/>
        <v>8077802019.935301</v>
      </c>
    </row>
    <row r="18" spans="1:14" ht="12.75">
      <c r="A18" s="82">
        <f t="shared" si="0"/>
        <v>10</v>
      </c>
      <c r="C18" s="83" t="s">
        <v>274</v>
      </c>
      <c r="D18" s="28">
        <f t="shared" si="1"/>
        <v>3532828748.1193</v>
      </c>
      <c r="E18" s="28"/>
      <c r="F18" s="28">
        <f t="shared" si="2"/>
        <v>1760992742.2113004</v>
      </c>
      <c r="G18" s="28">
        <f t="shared" si="2"/>
        <v>0</v>
      </c>
      <c r="H18" s="28">
        <f t="shared" si="2"/>
        <v>2247020531.120199</v>
      </c>
      <c r="I18" s="28">
        <f t="shared" si="2"/>
        <v>0</v>
      </c>
      <c r="J18" s="28">
        <f t="shared" si="2"/>
        <v>316763910.5288001</v>
      </c>
      <c r="K18" s="28">
        <f t="shared" si="2"/>
        <v>0</v>
      </c>
      <c r="L18" s="28">
        <f t="shared" si="2"/>
        <v>248874562.74980003</v>
      </c>
      <c r="M18" s="105"/>
      <c r="N18" s="19">
        <f t="shared" si="3"/>
        <v>8106480494.7294</v>
      </c>
    </row>
    <row r="19" spans="1:14" ht="12.75">
      <c r="A19" s="82">
        <f t="shared" si="0"/>
        <v>11</v>
      </c>
      <c r="C19" s="83" t="s">
        <v>275</v>
      </c>
      <c r="D19" s="28">
        <f t="shared" si="1"/>
        <v>3524582514.0714006</v>
      </c>
      <c r="E19" s="28"/>
      <c r="F19" s="28">
        <f t="shared" si="2"/>
        <v>1799114657.5881</v>
      </c>
      <c r="G19" s="28">
        <f t="shared" si="2"/>
        <v>0</v>
      </c>
      <c r="H19" s="28">
        <f t="shared" si="2"/>
        <v>2256845568.1399</v>
      </c>
      <c r="I19" s="28">
        <f t="shared" si="2"/>
        <v>0</v>
      </c>
      <c r="J19" s="28">
        <f t="shared" si="2"/>
        <v>341533794.04849994</v>
      </c>
      <c r="K19" s="28">
        <f t="shared" si="2"/>
        <v>0</v>
      </c>
      <c r="L19" s="28">
        <f t="shared" si="2"/>
        <v>253516593.60000005</v>
      </c>
      <c r="M19" s="105"/>
      <c r="N19" s="19">
        <f t="shared" si="3"/>
        <v>8175593127.447901</v>
      </c>
    </row>
    <row r="20" spans="1:14" ht="12.75">
      <c r="A20" s="82">
        <f t="shared" si="0"/>
        <v>12</v>
      </c>
      <c r="C20" s="83" t="s">
        <v>276</v>
      </c>
      <c r="D20" s="28">
        <f t="shared" si="1"/>
        <v>3517643675.1517005</v>
      </c>
      <c r="E20" s="28"/>
      <c r="F20" s="28">
        <f t="shared" si="2"/>
        <v>1806027320.522</v>
      </c>
      <c r="G20" s="28">
        <f t="shared" si="2"/>
        <v>0</v>
      </c>
      <c r="H20" s="28">
        <f t="shared" si="2"/>
        <v>2267949097.1301003</v>
      </c>
      <c r="I20" s="28">
        <f t="shared" si="2"/>
        <v>0</v>
      </c>
      <c r="J20" s="28">
        <f t="shared" si="2"/>
        <v>367803070.3292001</v>
      </c>
      <c r="K20" s="28">
        <f t="shared" si="2"/>
        <v>0</v>
      </c>
      <c r="L20" s="28">
        <f t="shared" si="2"/>
        <v>254599905.55050015</v>
      </c>
      <c r="M20" s="105"/>
      <c r="N20" s="19">
        <f t="shared" si="3"/>
        <v>8214023068.6835</v>
      </c>
    </row>
    <row r="21" spans="1:14" ht="12.75">
      <c r="A21" s="82">
        <f t="shared" si="0"/>
        <v>13</v>
      </c>
      <c r="C21" s="83" t="s">
        <v>277</v>
      </c>
      <c r="D21" s="28">
        <f t="shared" si="1"/>
        <v>3530910419.5000005</v>
      </c>
      <c r="E21" s="28"/>
      <c r="F21" s="28">
        <f t="shared" si="2"/>
        <v>1812318894.6624002</v>
      </c>
      <c r="G21" s="28">
        <f t="shared" si="2"/>
        <v>0</v>
      </c>
      <c r="H21" s="28">
        <f t="shared" si="2"/>
        <v>2273640797.4003</v>
      </c>
      <c r="I21" s="28">
        <f t="shared" si="2"/>
        <v>0</v>
      </c>
      <c r="J21" s="28">
        <f t="shared" si="2"/>
        <v>385819736.8983</v>
      </c>
      <c r="K21" s="28">
        <f t="shared" si="2"/>
        <v>0</v>
      </c>
      <c r="L21" s="28">
        <f t="shared" si="2"/>
        <v>252160134.27080002</v>
      </c>
      <c r="M21" s="105"/>
      <c r="N21" s="19">
        <f t="shared" si="3"/>
        <v>8254849982.731801</v>
      </c>
    </row>
    <row r="22" spans="1:14" ht="12.75">
      <c r="A22" s="82">
        <f t="shared" si="0"/>
        <v>14</v>
      </c>
      <c r="C22" s="83" t="s">
        <v>187</v>
      </c>
      <c r="D22" s="28">
        <f t="shared" si="1"/>
        <v>3545692589.27</v>
      </c>
      <c r="E22" s="28"/>
      <c r="F22" s="28">
        <f t="shared" si="2"/>
        <v>1831907701.64</v>
      </c>
      <c r="G22" s="28">
        <f t="shared" si="2"/>
        <v>0</v>
      </c>
      <c r="H22" s="28">
        <f t="shared" si="2"/>
        <v>2280895438.69</v>
      </c>
      <c r="I22" s="28">
        <f t="shared" si="2"/>
        <v>0</v>
      </c>
      <c r="J22" s="28">
        <f t="shared" si="2"/>
        <v>389123637.6799</v>
      </c>
      <c r="K22" s="28">
        <f t="shared" si="2"/>
        <v>0</v>
      </c>
      <c r="L22" s="28">
        <f t="shared" si="2"/>
        <v>264211963.33000004</v>
      </c>
      <c r="M22" s="105"/>
      <c r="N22" s="19">
        <f t="shared" si="3"/>
        <v>8311831330.6099</v>
      </c>
    </row>
    <row r="23" spans="1:14" ht="12.75">
      <c r="A23" s="82">
        <f t="shared" si="0"/>
        <v>15</v>
      </c>
      <c r="C23" s="83"/>
      <c r="D23" s="31"/>
      <c r="F23" s="31"/>
      <c r="H23" s="31"/>
      <c r="I23" s="19"/>
      <c r="J23" s="31"/>
      <c r="K23" s="19"/>
      <c r="L23" s="169"/>
      <c r="M23" s="105"/>
      <c r="N23" s="31"/>
    </row>
    <row r="24" spans="1:14" ht="13.5" thickBot="1">
      <c r="A24" s="82">
        <f t="shared" si="0"/>
        <v>16</v>
      </c>
      <c r="C24" s="177" t="s">
        <v>135</v>
      </c>
      <c r="D24" s="33">
        <f>D46+D68</f>
        <v>3534309956.908647</v>
      </c>
      <c r="F24" s="33">
        <f>F46+F68</f>
        <v>1750540027.0720925</v>
      </c>
      <c r="G24" s="71"/>
      <c r="H24" s="33">
        <f>H46+H68</f>
        <v>2239637395.517784</v>
      </c>
      <c r="I24" s="172"/>
      <c r="J24" s="33">
        <f>J46+J68</f>
        <v>333265872.57303077</v>
      </c>
      <c r="K24" s="27"/>
      <c r="L24" s="33">
        <f>L46+L68</f>
        <v>249007223.60103852</v>
      </c>
      <c r="M24" s="108"/>
      <c r="N24" s="33">
        <f>N46+N68</f>
        <v>8106760475.67259</v>
      </c>
    </row>
    <row r="25" spans="1:14" ht="13.5" thickTop="1">
      <c r="A25" s="82">
        <f t="shared" si="0"/>
        <v>17</v>
      </c>
      <c r="D25" s="19"/>
      <c r="F25" s="19"/>
      <c r="H25" s="19"/>
      <c r="I25" s="19"/>
      <c r="J25" s="19"/>
      <c r="K25" s="19"/>
      <c r="L25" s="19"/>
      <c r="M25" s="19"/>
      <c r="N25" s="19"/>
    </row>
    <row r="26" spans="1:14" ht="12.75">
      <c r="A26" s="82">
        <f t="shared" si="0"/>
        <v>18</v>
      </c>
      <c r="D26" s="19"/>
      <c r="F26" s="19"/>
      <c r="H26" s="19"/>
      <c r="I26" s="19"/>
      <c r="J26" s="19"/>
      <c r="K26" s="19"/>
      <c r="L26" s="19"/>
      <c r="M26" s="19"/>
      <c r="N26" s="19"/>
    </row>
    <row r="27" spans="1:14" ht="12.75">
      <c r="A27" s="82">
        <f t="shared" si="0"/>
        <v>19</v>
      </c>
      <c r="E27" s="28"/>
      <c r="I27" s="75"/>
      <c r="K27" s="75"/>
      <c r="L27" s="75"/>
      <c r="M27" s="75"/>
      <c r="N27" s="76" t="s">
        <v>136</v>
      </c>
    </row>
    <row r="28" spans="1:14" ht="12.75">
      <c r="A28" s="82">
        <f t="shared" si="0"/>
        <v>20</v>
      </c>
      <c r="D28" s="76"/>
      <c r="E28" s="28"/>
      <c r="I28" s="75"/>
      <c r="K28" s="75"/>
      <c r="L28" s="75"/>
      <c r="M28" s="75"/>
      <c r="N28" s="76" t="s">
        <v>21</v>
      </c>
    </row>
    <row r="29" spans="1:14" ht="12.75">
      <c r="A29" s="82">
        <f t="shared" si="0"/>
        <v>21</v>
      </c>
      <c r="D29" s="75"/>
      <c r="E29" s="28"/>
      <c r="H29" s="184"/>
      <c r="J29" s="77" t="s">
        <v>192</v>
      </c>
      <c r="L29" s="77" t="s">
        <v>130</v>
      </c>
      <c r="N29" s="76" t="s">
        <v>113</v>
      </c>
    </row>
    <row r="30" spans="1:14" ht="12.75">
      <c r="A30" s="82">
        <f t="shared" si="0"/>
        <v>22</v>
      </c>
      <c r="C30" s="5"/>
      <c r="D30" s="75" t="s">
        <v>111</v>
      </c>
      <c r="F30" s="75" t="s">
        <v>131</v>
      </c>
      <c r="H30" s="75" t="s">
        <v>132</v>
      </c>
      <c r="J30" s="75" t="s">
        <v>164</v>
      </c>
      <c r="L30" s="168" t="s">
        <v>17</v>
      </c>
      <c r="M30" s="76"/>
      <c r="N30" s="168" t="s">
        <v>114</v>
      </c>
    </row>
    <row r="31" spans="1:14" ht="12.75">
      <c r="A31" s="82">
        <f t="shared" si="0"/>
        <v>23</v>
      </c>
      <c r="B31" s="80" t="s">
        <v>18</v>
      </c>
      <c r="C31" s="81"/>
      <c r="D31" s="32"/>
      <c r="F31" s="32"/>
      <c r="H31" s="32"/>
      <c r="J31" s="32"/>
      <c r="N31" s="32"/>
    </row>
    <row r="32" spans="1:14" ht="13.5" customHeight="1">
      <c r="A32" s="82">
        <f t="shared" si="0"/>
        <v>24</v>
      </c>
      <c r="C32" s="83" t="s">
        <v>268</v>
      </c>
      <c r="D32" s="27">
        <f>'Gross Plant'!D32-'Accum Deprec'!D32</f>
        <v>3401909085.5813003</v>
      </c>
      <c r="E32" s="28"/>
      <c r="F32" s="27">
        <f>'Gross Plant'!F32-'Accum Deprec'!F32</f>
        <v>1354512273.4407</v>
      </c>
      <c r="G32" s="28"/>
      <c r="H32" s="27">
        <f>'Gross Plant'!H32-'Accum Deprec'!H32</f>
        <v>1866996671.1295998</v>
      </c>
      <c r="I32" s="28"/>
      <c r="J32" s="27">
        <f>'Gross Plant'!J32-'Accum Deprec'!J32</f>
        <v>269113412.3808</v>
      </c>
      <c r="K32" s="19"/>
      <c r="L32" s="27">
        <f>'Gross Plant'!L32-'Accum Deprec'!L32</f>
        <v>194656688.7391001</v>
      </c>
      <c r="M32" s="27"/>
      <c r="N32" s="27">
        <f aca="true" t="shared" si="4" ref="N32:N44">SUM(D32:L32)</f>
        <v>7087188131.271501</v>
      </c>
    </row>
    <row r="33" spans="1:14" ht="12.75">
      <c r="A33" s="82">
        <f t="shared" si="0"/>
        <v>25</v>
      </c>
      <c r="C33" s="83" t="s">
        <v>287</v>
      </c>
      <c r="D33" s="27">
        <f>'Gross Plant'!D33-'Accum Deprec'!D33</f>
        <v>3392203761.4878006</v>
      </c>
      <c r="E33" s="28"/>
      <c r="F33" s="27">
        <f>'Gross Plant'!F33-'Accum Deprec'!F33</f>
        <v>1358487597.4002001</v>
      </c>
      <c r="G33" s="28"/>
      <c r="H33" s="27">
        <f>'Gross Plant'!H33-'Accum Deprec'!H33</f>
        <v>1868134685.6499999</v>
      </c>
      <c r="I33" s="28"/>
      <c r="J33" s="27">
        <f>'Gross Plant'!J33-'Accum Deprec'!J33</f>
        <v>270482448.71999997</v>
      </c>
      <c r="K33" s="19"/>
      <c r="L33" s="27">
        <f>'Gross Plant'!L33-'Accum Deprec'!L33</f>
        <v>192397713.60040003</v>
      </c>
      <c r="M33" s="105"/>
      <c r="N33" s="19">
        <f t="shared" si="4"/>
        <v>7081706206.8584</v>
      </c>
    </row>
    <row r="34" spans="1:14" ht="12.75">
      <c r="A34" s="82">
        <f t="shared" si="0"/>
        <v>26</v>
      </c>
      <c r="C34" s="83" t="s">
        <v>270</v>
      </c>
      <c r="D34" s="27">
        <f>'Gross Plant'!D34-'Accum Deprec'!D34</f>
        <v>3382124627.099099</v>
      </c>
      <c r="E34" s="28"/>
      <c r="F34" s="27">
        <f>'Gross Plant'!F34-'Accum Deprec'!F34</f>
        <v>1363563190.6442</v>
      </c>
      <c r="G34" s="28"/>
      <c r="H34" s="27">
        <f>'Gross Plant'!H34-'Accum Deprec'!H34</f>
        <v>1870212266.7602</v>
      </c>
      <c r="I34" s="28"/>
      <c r="J34" s="27">
        <f>'Gross Plant'!J34-'Accum Deprec'!J34</f>
        <v>271572548.08049995</v>
      </c>
      <c r="K34" s="19"/>
      <c r="L34" s="27">
        <f>'Gross Plant'!L34-'Accum Deprec'!L34</f>
        <v>192607600.38960004</v>
      </c>
      <c r="M34" s="105"/>
      <c r="N34" s="19">
        <f t="shared" si="4"/>
        <v>7080080232.973599</v>
      </c>
    </row>
    <row r="35" spans="1:14" ht="12.75">
      <c r="A35" s="82">
        <f t="shared" si="0"/>
        <v>27</v>
      </c>
      <c r="C35" s="83" t="s">
        <v>271</v>
      </c>
      <c r="D35" s="27">
        <f>'Gross Plant'!D35-'Accum Deprec'!D35</f>
        <v>3362007272.5209002</v>
      </c>
      <c r="E35" s="28"/>
      <c r="F35" s="27">
        <f>'Gross Plant'!F35-'Accum Deprec'!F35</f>
        <v>1378186123.0835</v>
      </c>
      <c r="G35" s="28"/>
      <c r="H35" s="27">
        <f>'Gross Plant'!H35-'Accum Deprec'!H35</f>
        <v>1871742852.7902997</v>
      </c>
      <c r="I35" s="28"/>
      <c r="J35" s="27">
        <f>'Gross Plant'!J35-'Accum Deprec'!J35</f>
        <v>272641081.64269996</v>
      </c>
      <c r="K35" s="19"/>
      <c r="L35" s="27">
        <f>'Gross Plant'!L35-'Accum Deprec'!L35</f>
        <v>190554195.43199998</v>
      </c>
      <c r="M35" s="105"/>
      <c r="N35" s="19">
        <f t="shared" si="4"/>
        <v>7075131525.4694</v>
      </c>
    </row>
    <row r="36" spans="1:14" ht="12.75">
      <c r="A36" s="82">
        <f t="shared" si="0"/>
        <v>28</v>
      </c>
      <c r="C36" s="83" t="s">
        <v>156</v>
      </c>
      <c r="D36" s="27">
        <f>'Gross Plant'!D36-'Accum Deprec'!D36</f>
        <v>3349172039.4197993</v>
      </c>
      <c r="E36" s="28"/>
      <c r="F36" s="27">
        <f>'Gross Plant'!F36-'Accum Deprec'!F36</f>
        <v>1392742688.0893002</v>
      </c>
      <c r="G36" s="28"/>
      <c r="H36" s="27">
        <f>'Gross Plant'!H36-'Accum Deprec'!H36</f>
        <v>1878108786.9001997</v>
      </c>
      <c r="I36" s="28"/>
      <c r="J36" s="27">
        <f>'Gross Plant'!J36-'Accum Deprec'!J36</f>
        <v>272782200.5398</v>
      </c>
      <c r="K36" s="19"/>
      <c r="L36" s="27">
        <f>'Gross Plant'!L36-'Accum Deprec'!L36</f>
        <v>191164007.4706999</v>
      </c>
      <c r="M36" s="105"/>
      <c r="N36" s="19">
        <f t="shared" si="4"/>
        <v>7083969722.4198</v>
      </c>
    </row>
    <row r="37" spans="1:14" ht="12.75">
      <c r="A37" s="82">
        <f t="shared" si="0"/>
        <v>29</v>
      </c>
      <c r="C37" s="83" t="s">
        <v>272</v>
      </c>
      <c r="D37" s="27">
        <f>'Gross Plant'!D37-'Accum Deprec'!D37</f>
        <v>3353303406.380399</v>
      </c>
      <c r="E37" s="28"/>
      <c r="F37" s="27">
        <f>'Gross Plant'!F37-'Accum Deprec'!F37</f>
        <v>1394022887.1219003</v>
      </c>
      <c r="G37" s="28"/>
      <c r="H37" s="27">
        <f>'Gross Plant'!H37-'Accum Deprec'!H37</f>
        <v>1882852184.1002</v>
      </c>
      <c r="I37" s="28"/>
      <c r="J37" s="27">
        <f>'Gross Plant'!J37-'Accum Deprec'!J37</f>
        <v>273361598.0202999</v>
      </c>
      <c r="K37" s="19"/>
      <c r="L37" s="27">
        <f>'Gross Plant'!L37-'Accum Deprec'!L37</f>
        <v>191970595.54089993</v>
      </c>
      <c r="M37" s="105"/>
      <c r="N37" s="19">
        <f t="shared" si="4"/>
        <v>7095510671.163699</v>
      </c>
    </row>
    <row r="38" spans="1:14" ht="12.75">
      <c r="A38" s="82">
        <f t="shared" si="0"/>
        <v>30</v>
      </c>
      <c r="C38" s="83" t="s">
        <v>273</v>
      </c>
      <c r="D38" s="27">
        <f>'Gross Plant'!D38-'Accum Deprec'!D38</f>
        <v>3344403769.7295012</v>
      </c>
      <c r="E38" s="28"/>
      <c r="F38" s="27">
        <f>'Gross Plant'!F38-'Accum Deprec'!F38</f>
        <v>1399074120.0386002</v>
      </c>
      <c r="G38" s="28"/>
      <c r="H38" s="27">
        <f>'Gross Plant'!H38-'Accum Deprec'!H38</f>
        <v>1882119249.2001004</v>
      </c>
      <c r="I38" s="28"/>
      <c r="J38" s="27">
        <f>'Gross Plant'!J38-'Accum Deprec'!J38</f>
        <v>272702366.7409</v>
      </c>
      <c r="K38" s="19"/>
      <c r="L38" s="27">
        <f>'Gross Plant'!L38-'Accum Deprec'!L38</f>
        <v>195243632.16039994</v>
      </c>
      <c r="M38" s="105"/>
      <c r="N38" s="19">
        <f t="shared" si="4"/>
        <v>7093543137.869503</v>
      </c>
    </row>
    <row r="39" spans="1:14" ht="12.75">
      <c r="A39" s="82">
        <f t="shared" si="0"/>
        <v>31</v>
      </c>
      <c r="C39" s="83" t="s">
        <v>158</v>
      </c>
      <c r="D39" s="27">
        <f>'Gross Plant'!D39-'Accum Deprec'!D39</f>
        <v>3351844874.8012004</v>
      </c>
      <c r="E39" s="28"/>
      <c r="F39" s="27">
        <f>'Gross Plant'!F39-'Accum Deprec'!F39</f>
        <v>1408587681.505</v>
      </c>
      <c r="G39" s="28"/>
      <c r="H39" s="27">
        <f>'Gross Plant'!H39-'Accum Deprec'!H39</f>
        <v>1884701041.7001</v>
      </c>
      <c r="I39" s="28"/>
      <c r="J39" s="27">
        <f>'Gross Plant'!J39-'Accum Deprec'!J39</f>
        <v>272435780.6797</v>
      </c>
      <c r="K39" s="19"/>
      <c r="L39" s="27">
        <f>'Gross Plant'!L39-'Accum Deprec'!L39</f>
        <v>195927629.84930012</v>
      </c>
      <c r="M39" s="105"/>
      <c r="N39" s="19">
        <f t="shared" si="4"/>
        <v>7113497008.5353</v>
      </c>
    </row>
    <row r="40" spans="1:14" ht="12.75">
      <c r="A40" s="82">
        <f t="shared" si="0"/>
        <v>32</v>
      </c>
      <c r="C40" s="83" t="s">
        <v>274</v>
      </c>
      <c r="D40" s="27">
        <f>'Gross Plant'!D40-'Accum Deprec'!D40</f>
        <v>3364160498.6393</v>
      </c>
      <c r="E40" s="28"/>
      <c r="F40" s="27">
        <f>'Gross Plant'!F40-'Accum Deprec'!F40</f>
        <v>1411811145.2313004</v>
      </c>
      <c r="G40" s="28"/>
      <c r="H40" s="27">
        <f>'Gross Plant'!H40-'Accum Deprec'!H40</f>
        <v>1893659389.230199</v>
      </c>
      <c r="I40" s="28"/>
      <c r="J40" s="27">
        <f>'Gross Plant'!J40-'Accum Deprec'!J40</f>
        <v>272245163.59880006</v>
      </c>
      <c r="K40" s="19"/>
      <c r="L40" s="27">
        <f>'Gross Plant'!L40-'Accum Deprec'!L40</f>
        <v>196207553.86980003</v>
      </c>
      <c r="M40" s="105"/>
      <c r="N40" s="19">
        <f t="shared" si="4"/>
        <v>7138083750.569398</v>
      </c>
    </row>
    <row r="41" spans="1:14" ht="12.75">
      <c r="A41" s="82">
        <f t="shared" si="0"/>
        <v>33</v>
      </c>
      <c r="C41" s="83" t="s">
        <v>275</v>
      </c>
      <c r="D41" s="27">
        <f>'Gross Plant'!D41-'Accum Deprec'!D41</f>
        <v>3355988749.9614005</v>
      </c>
      <c r="E41" s="28"/>
      <c r="F41" s="27">
        <f>'Gross Plant'!F41-'Accum Deprec'!F41</f>
        <v>1450032540.9881</v>
      </c>
      <c r="G41" s="28"/>
      <c r="H41" s="27">
        <f>'Gross Plant'!H41-'Accum Deprec'!H41</f>
        <v>1899594042.5699</v>
      </c>
      <c r="I41" s="28"/>
      <c r="J41" s="27">
        <f>'Gross Plant'!J41-'Accum Deprec'!J41</f>
        <v>296939521.2585</v>
      </c>
      <c r="K41" s="19"/>
      <c r="L41" s="27">
        <f>'Gross Plant'!L41-'Accum Deprec'!L41</f>
        <v>201265432.47000003</v>
      </c>
      <c r="M41" s="105"/>
      <c r="N41" s="19">
        <f t="shared" si="4"/>
        <v>7203820287.247902</v>
      </c>
    </row>
    <row r="42" spans="1:14" ht="12.75">
      <c r="A42" s="82">
        <f aca="true" t="shared" si="5" ref="A42:A68">+A41+1</f>
        <v>34</v>
      </c>
      <c r="C42" s="83" t="s">
        <v>276</v>
      </c>
      <c r="D42" s="27">
        <f>'Gross Plant'!D42-'Accum Deprec'!D42</f>
        <v>3349338421.9817004</v>
      </c>
      <c r="E42" s="28"/>
      <c r="F42" s="27">
        <f>'Gross Plant'!F42-'Accum Deprec'!F42</f>
        <v>1451290977.802</v>
      </c>
      <c r="G42" s="28"/>
      <c r="H42" s="27">
        <f>'Gross Plant'!H42-'Accum Deprec'!H42</f>
        <v>1907054807.6201</v>
      </c>
      <c r="I42" s="28"/>
      <c r="J42" s="27">
        <f>'Gross Plant'!J42-'Accum Deprec'!J42</f>
        <v>318207372.53920007</v>
      </c>
      <c r="K42" s="19"/>
      <c r="L42" s="27">
        <f>'Gross Plant'!L42-'Accum Deprec'!L42</f>
        <v>202111642.9805001</v>
      </c>
      <c r="M42" s="105"/>
      <c r="N42" s="19">
        <f t="shared" si="4"/>
        <v>7228003222.923501</v>
      </c>
    </row>
    <row r="43" spans="1:14" ht="12.75">
      <c r="A43" s="82">
        <f t="shared" si="5"/>
        <v>35</v>
      </c>
      <c r="C43" s="83" t="s">
        <v>277</v>
      </c>
      <c r="D43" s="27">
        <f>'Gross Plant'!D43-'Accum Deprec'!D43</f>
        <v>3360951618.4300003</v>
      </c>
      <c r="E43" s="28"/>
      <c r="F43" s="27">
        <f>'Gross Plant'!F43-'Accum Deprec'!F43</f>
        <v>1452672378.5624</v>
      </c>
      <c r="G43" s="28"/>
      <c r="H43" s="27">
        <f>'Gross Plant'!H43-'Accum Deprec'!H43</f>
        <v>1912991152.9202998</v>
      </c>
      <c r="I43" s="28"/>
      <c r="J43" s="27">
        <f>'Gross Plant'!J43-'Accum Deprec'!J43</f>
        <v>335527314.8783</v>
      </c>
      <c r="K43" s="19"/>
      <c r="L43" s="27">
        <f>'Gross Plant'!L43-'Accum Deprec'!L43</f>
        <v>200152496.92079997</v>
      </c>
      <c r="M43" s="105"/>
      <c r="N43" s="19">
        <f t="shared" si="4"/>
        <v>7262294961.7118</v>
      </c>
    </row>
    <row r="44" spans="1:14" ht="12.75">
      <c r="A44" s="82">
        <f t="shared" si="5"/>
        <v>36</v>
      </c>
      <c r="C44" s="83" t="s">
        <v>187</v>
      </c>
      <c r="D44" s="27">
        <f>'Gross Plant'!D44-'Accum Deprec'!D44</f>
        <v>3372834890</v>
      </c>
      <c r="E44" s="28"/>
      <c r="F44" s="27">
        <f>'Gross Plant'!F44-'Accum Deprec'!F44</f>
        <v>1459554896</v>
      </c>
      <c r="G44" s="28"/>
      <c r="H44" s="27">
        <f>'Gross Plant'!H44-'Accum Deprec'!H44</f>
        <v>1917971393</v>
      </c>
      <c r="I44" s="28"/>
      <c r="J44" s="27">
        <f>'Gross Plant'!J44-'Accum Deprec'!J44</f>
        <v>338505176.2099</v>
      </c>
      <c r="K44" s="19"/>
      <c r="L44" s="27">
        <f>'Gross Plant'!L44-'Accum Deprec'!L44</f>
        <v>212259345</v>
      </c>
      <c r="M44" s="105"/>
      <c r="N44" s="19">
        <f t="shared" si="4"/>
        <v>7301125700.2099</v>
      </c>
    </row>
    <row r="45" spans="1:14" ht="12.75">
      <c r="A45" s="82">
        <f t="shared" si="5"/>
        <v>37</v>
      </c>
      <c r="C45" s="83"/>
      <c r="D45" s="31"/>
      <c r="F45" s="31"/>
      <c r="H45" s="31"/>
      <c r="I45" s="19"/>
      <c r="J45" s="31"/>
      <c r="K45" s="19"/>
      <c r="L45" s="169"/>
      <c r="M45" s="105"/>
      <c r="N45" s="31"/>
    </row>
    <row r="46" spans="1:14" ht="13.5" thickBot="1">
      <c r="A46" s="82">
        <f t="shared" si="5"/>
        <v>38</v>
      </c>
      <c r="C46" s="177" t="s">
        <v>135</v>
      </c>
      <c r="D46" s="33">
        <f>'Gross Plant'!D46-'Accum Deprec'!D46</f>
        <v>3364634078.1563396</v>
      </c>
      <c r="F46" s="33">
        <f>'Gross Plant'!F46-'Accum Deprec'!F46</f>
        <v>1405733730.7620926</v>
      </c>
      <c r="G46" s="71"/>
      <c r="H46" s="33">
        <f>'Gross Plant'!H46-'Accum Deprec'!H46</f>
        <v>1887395271.0439377</v>
      </c>
      <c r="I46" s="172"/>
      <c r="J46" s="33">
        <f>'Gross Plant'!J46-'Accum Deprec'!J46</f>
        <v>287424306.56072307</v>
      </c>
      <c r="K46" s="27"/>
      <c r="L46" s="33">
        <f>'Gross Plant'!L46-'Accum Deprec'!L46</f>
        <v>196655271.87873077</v>
      </c>
      <c r="M46" s="108"/>
      <c r="N46" s="33">
        <f>'Gross Plant'!N46-'Accum Deprec'!N46</f>
        <v>7141842658.401821</v>
      </c>
    </row>
    <row r="47" spans="1:14" ht="13.5" thickTop="1">
      <c r="A47" s="82">
        <f t="shared" si="5"/>
        <v>39</v>
      </c>
      <c r="C47" s="5"/>
      <c r="D47" s="5"/>
      <c r="E47" s="5"/>
      <c r="F47" s="5"/>
      <c r="G47" s="5"/>
      <c r="H47" s="5"/>
      <c r="I47" s="5"/>
      <c r="J47" s="5"/>
      <c r="K47" s="5"/>
      <c r="L47" s="5"/>
      <c r="M47" s="5"/>
      <c r="N47" s="5"/>
    </row>
    <row r="48" spans="1:14" ht="12.75">
      <c r="A48" s="82">
        <f t="shared" si="5"/>
        <v>40</v>
      </c>
      <c r="C48" s="5"/>
      <c r="D48" s="5"/>
      <c r="E48" s="5"/>
      <c r="F48" s="5"/>
      <c r="G48" s="5"/>
      <c r="H48" s="5"/>
      <c r="I48" s="5"/>
      <c r="J48" s="5"/>
      <c r="K48" s="5"/>
      <c r="L48" s="5"/>
      <c r="M48" s="5"/>
      <c r="N48" s="5"/>
    </row>
    <row r="49" spans="1:14" ht="12.75">
      <c r="A49" s="82">
        <f t="shared" si="5"/>
        <v>41</v>
      </c>
      <c r="C49" s="5"/>
      <c r="E49" s="28"/>
      <c r="I49" s="75"/>
      <c r="K49" s="75"/>
      <c r="L49" s="75"/>
      <c r="M49" s="75"/>
      <c r="N49" s="76" t="s">
        <v>136</v>
      </c>
    </row>
    <row r="50" spans="1:14" ht="12.75">
      <c r="A50" s="82">
        <f t="shared" si="5"/>
        <v>42</v>
      </c>
      <c r="C50" s="5"/>
      <c r="D50" s="76"/>
      <c r="E50" s="28"/>
      <c r="I50" s="75"/>
      <c r="K50" s="75"/>
      <c r="L50" s="75"/>
      <c r="M50" s="75"/>
      <c r="N50" s="76" t="s">
        <v>21</v>
      </c>
    </row>
    <row r="51" spans="1:14" ht="12.75">
      <c r="A51" s="82">
        <f t="shared" si="5"/>
        <v>43</v>
      </c>
      <c r="C51" s="5"/>
      <c r="D51" s="75"/>
      <c r="E51" s="28"/>
      <c r="H51" s="184"/>
      <c r="J51" s="77" t="s">
        <v>192</v>
      </c>
      <c r="L51" s="77" t="s">
        <v>130</v>
      </c>
      <c r="N51" s="76" t="s">
        <v>113</v>
      </c>
    </row>
    <row r="52" spans="1:14" ht="12.75">
      <c r="A52" s="82">
        <f t="shared" si="5"/>
        <v>44</v>
      </c>
      <c r="C52" s="5"/>
      <c r="D52" s="75" t="s">
        <v>111</v>
      </c>
      <c r="F52" s="75" t="s">
        <v>131</v>
      </c>
      <c r="H52" s="75" t="s">
        <v>132</v>
      </c>
      <c r="J52" s="75" t="s">
        <v>164</v>
      </c>
      <c r="L52" s="168" t="s">
        <v>17</v>
      </c>
      <c r="M52" s="76"/>
      <c r="N52" s="168" t="s">
        <v>114</v>
      </c>
    </row>
    <row r="53" spans="1:14" ht="12.75">
      <c r="A53" s="82">
        <f t="shared" si="5"/>
        <v>45</v>
      </c>
      <c r="B53" s="80" t="s">
        <v>19</v>
      </c>
      <c r="C53" s="81"/>
      <c r="D53" s="32"/>
      <c r="F53" s="32"/>
      <c r="H53" s="32"/>
      <c r="J53" s="32"/>
      <c r="N53" s="32"/>
    </row>
    <row r="54" spans="1:14" ht="12.75">
      <c r="A54" s="82">
        <f t="shared" si="5"/>
        <v>46</v>
      </c>
      <c r="C54" s="83" t="s">
        <v>268</v>
      </c>
      <c r="D54" s="27">
        <f>'Gross Plant'!D54-'Accum Deprec'!D54</f>
        <v>171900919.40000004</v>
      </c>
      <c r="E54" s="28"/>
      <c r="F54" s="27">
        <f>'Gross Plant'!F54-'Accum Deprec'!F54</f>
        <v>324200432.4700001</v>
      </c>
      <c r="G54" s="28"/>
      <c r="H54" s="27">
        <f>'Gross Plant'!H54-'Accum Deprec'!H54</f>
        <v>344986603.24000007</v>
      </c>
      <c r="I54" s="28"/>
      <c r="J54" s="27">
        <f>'Gross Plant'!J54-'Accum Deprec'!J54</f>
        <v>45267220.819999985</v>
      </c>
      <c r="K54" s="19"/>
      <c r="L54" s="27">
        <f>'Gross Plant'!L54-'Accum Deprec'!L54</f>
        <v>53118361.650000006</v>
      </c>
      <c r="M54" s="27"/>
      <c r="N54" s="27">
        <f aca="true" t="shared" si="6" ref="N54:N66">SUM(D54:L54)</f>
        <v>939473537.58</v>
      </c>
    </row>
    <row r="55" spans="1:14" ht="12.75">
      <c r="A55" s="82">
        <f t="shared" si="5"/>
        <v>47</v>
      </c>
      <c r="C55" s="83" t="s">
        <v>287</v>
      </c>
      <c r="D55" s="27">
        <f>'Gross Plant'!D55-'Accum Deprec'!D55</f>
        <v>171235712.74000007</v>
      </c>
      <c r="E55" s="28"/>
      <c r="F55" s="27">
        <f>'Gross Plant'!F55-'Accum Deprec'!F55</f>
        <v>326162874.73</v>
      </c>
      <c r="G55" s="28"/>
      <c r="H55" s="27">
        <f>'Gross Plant'!H55-'Accum Deprec'!H55</f>
        <v>344839678.17</v>
      </c>
      <c r="I55" s="28"/>
      <c r="J55" s="27">
        <f>'Gross Plant'!J55-'Accum Deprec'!J55</f>
        <v>44900154.62999999</v>
      </c>
      <c r="K55" s="19"/>
      <c r="L55" s="27">
        <f>'Gross Plant'!L55-'Accum Deprec'!L55</f>
        <v>52564042.64000001</v>
      </c>
      <c r="M55" s="105"/>
      <c r="N55" s="19">
        <f t="shared" si="6"/>
        <v>939702462.9100001</v>
      </c>
    </row>
    <row r="56" spans="1:14" ht="12.75">
      <c r="A56" s="82">
        <f t="shared" si="5"/>
        <v>48</v>
      </c>
      <c r="C56" s="83" t="s">
        <v>270</v>
      </c>
      <c r="D56" s="27">
        <f>'Gross Plant'!D56-'Accum Deprec'!D56</f>
        <v>170525529.96</v>
      </c>
      <c r="E56" s="28"/>
      <c r="F56" s="27">
        <f>'Gross Plant'!F56-'Accum Deprec'!F56</f>
        <v>331730602.15999997</v>
      </c>
      <c r="G56" s="28"/>
      <c r="H56" s="27">
        <f>'Gross Plant'!H56-'Accum Deprec'!H56</f>
        <v>345739885.28000003</v>
      </c>
      <c r="I56" s="28"/>
      <c r="J56" s="27">
        <f>'Gross Plant'!J56-'Accum Deprec'!J56</f>
        <v>44788328.43000001</v>
      </c>
      <c r="K56" s="19"/>
      <c r="L56" s="27">
        <f>'Gross Plant'!L56-'Accum Deprec'!L56</f>
        <v>52524918.070000015</v>
      </c>
      <c r="M56" s="105"/>
      <c r="N56" s="19">
        <f t="shared" si="6"/>
        <v>945309263.9000002</v>
      </c>
    </row>
    <row r="57" spans="1:14" ht="12.75">
      <c r="A57" s="82">
        <f t="shared" si="5"/>
        <v>49</v>
      </c>
      <c r="C57" s="83" t="s">
        <v>271</v>
      </c>
      <c r="D57" s="27">
        <f>'Gross Plant'!D57-'Accum Deprec'!D57</f>
        <v>169839681.79999998</v>
      </c>
      <c r="E57" s="28"/>
      <c r="F57" s="27">
        <f>'Gross Plant'!F57-'Accum Deprec'!F57</f>
        <v>332481563.87</v>
      </c>
      <c r="G57" s="28"/>
      <c r="H57" s="27">
        <f>'Gross Plant'!H57-'Accum Deprec'!H57</f>
        <v>346658463.65</v>
      </c>
      <c r="I57" s="28"/>
      <c r="J57" s="27">
        <f>'Gross Plant'!J57-'Accum Deprec'!J57</f>
        <v>44590180.79999998</v>
      </c>
      <c r="K57" s="19"/>
      <c r="L57" s="27">
        <f>'Gross Plant'!L57-'Accum Deprec'!L57</f>
        <v>52060513.00999999</v>
      </c>
      <c r="M57" s="105"/>
      <c r="N57" s="19">
        <f t="shared" si="6"/>
        <v>945630403.1299999</v>
      </c>
    </row>
    <row r="58" spans="1:14" ht="12.75">
      <c r="A58" s="82">
        <f t="shared" si="5"/>
        <v>50</v>
      </c>
      <c r="C58" s="83" t="s">
        <v>156</v>
      </c>
      <c r="D58" s="27">
        <f>'Gross Plant'!D58-'Accum Deprec'!D58</f>
        <v>169037833.51999998</v>
      </c>
      <c r="E58" s="28"/>
      <c r="F58" s="27">
        <f>'Gross Plant'!F58-'Accum Deprec'!F58</f>
        <v>343186109.0700001</v>
      </c>
      <c r="G58" s="28"/>
      <c r="H58" s="27">
        <f>'Gross Plant'!H58-'Accum Deprec'!H58</f>
        <v>347672832.13</v>
      </c>
      <c r="I58" s="28"/>
      <c r="J58" s="27">
        <f>'Gross Plant'!J58-'Accum Deprec'!J58</f>
        <v>44270749.53000001</v>
      </c>
      <c r="K58" s="19"/>
      <c r="L58" s="27">
        <f>'Gross Plant'!L58-'Accum Deprec'!L58</f>
        <v>52093898.60000002</v>
      </c>
      <c r="M58" s="105"/>
      <c r="N58" s="19">
        <f t="shared" si="6"/>
        <v>956261422.85</v>
      </c>
    </row>
    <row r="59" spans="1:14" ht="12.75">
      <c r="A59" s="82">
        <f t="shared" si="5"/>
        <v>51</v>
      </c>
      <c r="C59" s="83" t="s">
        <v>272</v>
      </c>
      <c r="D59" s="27">
        <f>'Gross Plant'!D59-'Accum Deprec'!D59</f>
        <v>168263560.20000005</v>
      </c>
      <c r="E59" s="28"/>
      <c r="F59" s="27">
        <f>'Gross Plant'!F59-'Accum Deprec'!F59</f>
        <v>344407622.04</v>
      </c>
      <c r="G59" s="28"/>
      <c r="H59" s="27">
        <f>'Gross Plant'!H59-'Accum Deprec'!H59</f>
        <v>350018536.59000003</v>
      </c>
      <c r="I59" s="28"/>
      <c r="J59" s="27">
        <f>'Gross Plant'!J59-'Accum Deprec'!J59</f>
        <v>44151964.66</v>
      </c>
      <c r="K59" s="19"/>
      <c r="L59" s="27">
        <f>'Gross Plant'!L59-'Accum Deprec'!L59</f>
        <v>51903002.10000002</v>
      </c>
      <c r="M59" s="105"/>
      <c r="N59" s="19">
        <f t="shared" si="6"/>
        <v>958744685.5900002</v>
      </c>
    </row>
    <row r="60" spans="1:14" ht="12.75">
      <c r="A60" s="82">
        <f t="shared" si="5"/>
        <v>52</v>
      </c>
      <c r="C60" s="83" t="s">
        <v>273</v>
      </c>
      <c r="D60" s="27">
        <f>'Gross Plant'!D60-'Accum Deprec'!D60</f>
        <v>168565064.95</v>
      </c>
      <c r="E60" s="28"/>
      <c r="F60" s="27">
        <f>'Gross Plant'!F60-'Accum Deprec'!F60</f>
        <v>347977499.35</v>
      </c>
      <c r="G60" s="28"/>
      <c r="H60" s="27">
        <f>'Gross Plant'!H60-'Accum Deprec'!H60</f>
        <v>352048459.87</v>
      </c>
      <c r="I60" s="28"/>
      <c r="J60" s="27">
        <f>'Gross Plant'!J60-'Accum Deprec'!J60</f>
        <v>44112014.09000002</v>
      </c>
      <c r="K60" s="19"/>
      <c r="L60" s="27">
        <f>'Gross Plant'!L60-'Accum Deprec'!L60</f>
        <v>52351717.36000003</v>
      </c>
      <c r="M60" s="105"/>
      <c r="N60" s="19">
        <f t="shared" si="6"/>
        <v>965054755.6200001</v>
      </c>
    </row>
    <row r="61" spans="1:14" ht="12.75">
      <c r="A61" s="82">
        <f t="shared" si="5"/>
        <v>53</v>
      </c>
      <c r="C61" s="83" t="s">
        <v>158</v>
      </c>
      <c r="D61" s="27">
        <f>'Gross Plant'!D61-'Accum Deprec'!D61</f>
        <v>168034354.11</v>
      </c>
      <c r="E61" s="28"/>
      <c r="F61" s="27">
        <f>'Gross Plant'!F61-'Accum Deprec'!F61</f>
        <v>347335770.29999995</v>
      </c>
      <c r="G61" s="28"/>
      <c r="H61" s="27">
        <f>'Gross Plant'!H61-'Accum Deprec'!H61</f>
        <v>352102512.09000003</v>
      </c>
      <c r="I61" s="28"/>
      <c r="J61" s="27">
        <f>'Gross Plant'!J61-'Accum Deprec'!J61</f>
        <v>44240144.19999999</v>
      </c>
      <c r="K61" s="19"/>
      <c r="L61" s="27">
        <f>'Gross Plant'!L61-'Accum Deprec'!L61</f>
        <v>52592230.7</v>
      </c>
      <c r="M61" s="105"/>
      <c r="N61" s="19">
        <f t="shared" si="6"/>
        <v>964305011.4000001</v>
      </c>
    </row>
    <row r="62" spans="1:14" ht="12.75">
      <c r="A62" s="82">
        <f t="shared" si="5"/>
        <v>54</v>
      </c>
      <c r="C62" s="83" t="s">
        <v>274</v>
      </c>
      <c r="D62" s="27">
        <f>'Gross Plant'!D62-'Accum Deprec'!D62</f>
        <v>168668249.48000002</v>
      </c>
      <c r="E62" s="28"/>
      <c r="F62" s="27">
        <f>'Gross Plant'!F62-'Accum Deprec'!F62</f>
        <v>349181596.97999996</v>
      </c>
      <c r="G62" s="28"/>
      <c r="H62" s="27">
        <f>'Gross Plant'!H62-'Accum Deprec'!H62</f>
        <v>353361141.89</v>
      </c>
      <c r="I62" s="28"/>
      <c r="J62" s="27">
        <f>'Gross Plant'!J62-'Accum Deprec'!J62</f>
        <v>44518746.92999999</v>
      </c>
      <c r="K62" s="19"/>
      <c r="L62" s="27">
        <f>'Gross Plant'!L62-'Accum Deprec'!L62</f>
        <v>52667008.88000001</v>
      </c>
      <c r="M62" s="105"/>
      <c r="N62" s="19">
        <f t="shared" si="6"/>
        <v>968396744.1599998</v>
      </c>
    </row>
    <row r="63" spans="1:14" ht="12.75">
      <c r="A63" s="82">
        <f t="shared" si="5"/>
        <v>55</v>
      </c>
      <c r="C63" s="83" t="s">
        <v>275</v>
      </c>
      <c r="D63" s="27">
        <f>'Gross Plant'!D63-'Accum Deprec'!D63</f>
        <v>168593764.11000004</v>
      </c>
      <c r="E63" s="28"/>
      <c r="F63" s="27">
        <f>'Gross Plant'!F63-'Accum Deprec'!F63</f>
        <v>349082116.59999996</v>
      </c>
      <c r="G63" s="28"/>
      <c r="H63" s="27">
        <f>'Gross Plant'!H63-'Accum Deprec'!H63</f>
        <v>357251525.57000005</v>
      </c>
      <c r="I63" s="28"/>
      <c r="J63" s="27">
        <f>'Gross Plant'!J63-'Accum Deprec'!J63</f>
        <v>44594272.78999999</v>
      </c>
      <c r="K63" s="19"/>
      <c r="L63" s="27">
        <f>'Gross Plant'!L63-'Accum Deprec'!L63</f>
        <v>52251161.13000003</v>
      </c>
      <c r="M63" s="105"/>
      <c r="N63" s="19">
        <f t="shared" si="6"/>
        <v>971772840.2</v>
      </c>
    </row>
    <row r="64" spans="1:14" ht="12.75">
      <c r="A64" s="82">
        <f t="shared" si="5"/>
        <v>56</v>
      </c>
      <c r="C64" s="83" t="s">
        <v>276</v>
      </c>
      <c r="D64" s="27">
        <f>'Gross Plant'!D64-'Accum Deprec'!D64</f>
        <v>168305253.16999996</v>
      </c>
      <c r="E64" s="28"/>
      <c r="F64" s="27">
        <f>'Gross Plant'!F64-'Accum Deprec'!F64</f>
        <v>354736342.72</v>
      </c>
      <c r="G64" s="28"/>
      <c r="H64" s="27">
        <f>'Gross Plant'!H64-'Accum Deprec'!H64</f>
        <v>360894289.51</v>
      </c>
      <c r="I64" s="28"/>
      <c r="J64" s="27">
        <f>'Gross Plant'!J64-'Accum Deprec'!J64</f>
        <v>49595697.790000014</v>
      </c>
      <c r="K64" s="19"/>
      <c r="L64" s="27">
        <f>'Gross Plant'!L64-'Accum Deprec'!L64</f>
        <v>52488262.57000004</v>
      </c>
      <c r="M64" s="105"/>
      <c r="N64" s="19">
        <f t="shared" si="6"/>
        <v>986019845.76</v>
      </c>
    </row>
    <row r="65" spans="1:14" ht="12.75">
      <c r="A65" s="82">
        <f t="shared" si="5"/>
        <v>57</v>
      </c>
      <c r="C65" s="83" t="s">
        <v>277</v>
      </c>
      <c r="D65" s="27">
        <f>'Gross Plant'!D65-'Accum Deprec'!D65</f>
        <v>169958801.07</v>
      </c>
      <c r="E65" s="28"/>
      <c r="F65" s="27">
        <f>'Gross Plant'!F65-'Accum Deprec'!F65</f>
        <v>359646516.1000001</v>
      </c>
      <c r="G65" s="28"/>
      <c r="H65" s="27">
        <f>'Gross Plant'!H65-'Accum Deprec'!H65</f>
        <v>360649644.48</v>
      </c>
      <c r="I65" s="28"/>
      <c r="J65" s="27">
        <f>'Gross Plant'!J65-'Accum Deprec'!J65</f>
        <v>50292422.019999996</v>
      </c>
      <c r="K65" s="19"/>
      <c r="L65" s="27">
        <f>'Gross Plant'!L65-'Accum Deprec'!L65</f>
        <v>52007637.35000006</v>
      </c>
      <c r="M65" s="105"/>
      <c r="N65" s="19">
        <f t="shared" si="6"/>
        <v>992555021.0200001</v>
      </c>
    </row>
    <row r="66" spans="1:14" ht="12.75">
      <c r="A66" s="82">
        <f t="shared" si="5"/>
        <v>58</v>
      </c>
      <c r="C66" s="83" t="s">
        <v>187</v>
      </c>
      <c r="D66" s="27">
        <f>'Gross Plant'!D66-'Accum Deprec'!D66</f>
        <v>172857699.26999998</v>
      </c>
      <c r="E66" s="28"/>
      <c r="F66" s="27">
        <f>'Gross Plant'!F66-'Accum Deprec'!F66</f>
        <v>372352805.64000005</v>
      </c>
      <c r="G66" s="28"/>
      <c r="H66" s="27">
        <f>'Gross Plant'!H66-'Accum Deprec'!H66</f>
        <v>362924045.68999994</v>
      </c>
      <c r="I66" s="28"/>
      <c r="J66" s="27">
        <f>'Gross Plant'!J66-'Accum Deprec'!J66</f>
        <v>50618461.469999984</v>
      </c>
      <c r="K66" s="19"/>
      <c r="L66" s="27">
        <f>'Gross Plant'!L66-'Accum Deprec'!L66</f>
        <v>51952618.33000005</v>
      </c>
      <c r="M66" s="105"/>
      <c r="N66" s="19">
        <f t="shared" si="6"/>
        <v>1010705630.4000001</v>
      </c>
    </row>
    <row r="67" spans="1:14" ht="12.75">
      <c r="A67" s="82">
        <f t="shared" si="5"/>
        <v>59</v>
      </c>
      <c r="C67" s="83"/>
      <c r="D67" s="31"/>
      <c r="F67" s="31"/>
      <c r="H67" s="31"/>
      <c r="I67" s="19"/>
      <c r="J67" s="31"/>
      <c r="K67" s="19"/>
      <c r="L67" s="169"/>
      <c r="M67" s="105"/>
      <c r="N67" s="31"/>
    </row>
    <row r="68" spans="1:14" ht="13.5" thickBot="1">
      <c r="A68" s="82">
        <f t="shared" si="5"/>
        <v>60</v>
      </c>
      <c r="C68" s="177" t="s">
        <v>135</v>
      </c>
      <c r="D68" s="33">
        <f>'Gross Plant'!D68-'Accum Deprec'!D68</f>
        <v>169675878.75230762</v>
      </c>
      <c r="F68" s="33">
        <f>'Gross Plant'!F68-'Accum Deprec'!F68</f>
        <v>344806296.31</v>
      </c>
      <c r="G68" s="71"/>
      <c r="H68" s="33">
        <f>'Gross Plant'!H68-'Accum Deprec'!H68</f>
        <v>352242124.4738462</v>
      </c>
      <c r="I68" s="172"/>
      <c r="J68" s="33">
        <f>'Gross Plant'!J68-'Accum Deprec'!J68</f>
        <v>45841566.012307696</v>
      </c>
      <c r="K68" s="27"/>
      <c r="L68" s="33">
        <f>'Gross Plant'!L68-'Accum Deprec'!L68</f>
        <v>52351951.72230773</v>
      </c>
      <c r="M68" s="108"/>
      <c r="N68" s="33">
        <f>'Gross Plant'!N68-'Accum Deprec'!N68</f>
        <v>964917817.2707694</v>
      </c>
    </row>
    <row r="69" ht="13.5" thickTop="1"/>
  </sheetData>
  <printOptions horizontalCentered="1"/>
  <pageMargins left="0.75" right="0.25" top="0.75" bottom="0.4" header="0" footer="0.25"/>
  <pageSetup fitToHeight="1" fitToWidth="1" horizontalDpi="600" verticalDpi="600" orientation="portrait" scale="62"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M97"/>
  <sheetViews>
    <sheetView showGridLines="0" workbookViewId="0" topLeftCell="A1">
      <selection activeCell="A4" sqref="A4"/>
    </sheetView>
  </sheetViews>
  <sheetFormatPr defaultColWidth="14.4453125" defaultRowHeight="15"/>
  <cols>
    <col min="1" max="1" width="4.77734375" style="73" customWidth="1"/>
    <col min="2" max="2" width="2.77734375" style="2" customWidth="1"/>
    <col min="3" max="3" width="31.6640625" style="2" customWidth="1"/>
    <col min="4" max="4" width="0.88671875" style="2" customWidth="1"/>
    <col min="5" max="5" width="14.3359375" style="2" customWidth="1"/>
    <col min="6" max="6" width="0.88671875" style="2" customWidth="1"/>
    <col min="7" max="7" width="14.77734375" style="2" customWidth="1"/>
    <col min="8" max="8" width="0.88671875" style="2" customWidth="1"/>
    <col min="9" max="9" width="14.4453125" style="2" customWidth="1"/>
    <col min="10" max="10" width="0.671875" style="2" customWidth="1"/>
    <col min="11" max="11" width="33.4453125" style="2" customWidth="1"/>
    <col min="12" max="12" width="0.78125" style="2" customWidth="1"/>
    <col min="13" max="13" width="14.4453125" style="2" customWidth="1"/>
    <col min="14" max="14" width="0.671875" style="2" customWidth="1"/>
    <col min="15" max="15" width="14.4453125" style="2" customWidth="1"/>
    <col min="16" max="16" width="0.9921875" style="2" customWidth="1"/>
    <col min="17" max="16384" width="14.4453125" style="2" customWidth="1"/>
  </cols>
  <sheetData>
    <row r="1" spans="1:11" ht="12.75">
      <c r="A1" s="70" t="s">
        <v>15</v>
      </c>
      <c r="B1" s="71"/>
      <c r="C1" s="71"/>
      <c r="D1" s="71"/>
      <c r="E1" s="71"/>
      <c r="F1" s="71"/>
      <c r="G1" s="71"/>
      <c r="H1" s="71"/>
      <c r="K1" s="72" t="s">
        <v>285</v>
      </c>
    </row>
    <row r="2" spans="1:13" ht="12.75">
      <c r="A2" s="70" t="s">
        <v>176</v>
      </c>
      <c r="B2" s="71"/>
      <c r="C2" s="71"/>
      <c r="D2" s="71"/>
      <c r="E2" s="71"/>
      <c r="F2" s="71"/>
      <c r="G2" s="71"/>
      <c r="H2" s="71"/>
      <c r="M2" s="72"/>
    </row>
    <row r="3" spans="1:8" ht="12.75">
      <c r="A3" s="70" t="s">
        <v>286</v>
      </c>
      <c r="B3" s="71"/>
      <c r="C3" s="71"/>
      <c r="D3" s="71"/>
      <c r="E3" s="71"/>
      <c r="F3" s="71"/>
      <c r="G3" s="71"/>
      <c r="H3" s="71"/>
    </row>
    <row r="4" ht="12.75">
      <c r="C4" s="116"/>
    </row>
    <row r="5" spans="1:2" ht="12.75">
      <c r="A5" s="73" t="s">
        <v>153</v>
      </c>
      <c r="B5" s="74"/>
    </row>
    <row r="6" spans="1:2" ht="12.75">
      <c r="A6" s="78" t="s">
        <v>129</v>
      </c>
      <c r="B6" s="74"/>
    </row>
    <row r="7" spans="1:3" ht="12.75">
      <c r="A7" s="178">
        <v>1</v>
      </c>
      <c r="B7" s="179" t="s">
        <v>180</v>
      </c>
      <c r="C7" s="81"/>
    </row>
    <row r="8" spans="1:2" ht="12.75">
      <c r="A8" s="178">
        <f aca="true" t="shared" si="0" ref="A8:A40">+A7+1</f>
        <v>2</v>
      </c>
      <c r="B8" s="28" t="s">
        <v>181</v>
      </c>
    </row>
    <row r="9" spans="1:2" ht="12.75">
      <c r="A9" s="178">
        <f t="shared" si="0"/>
        <v>3</v>
      </c>
      <c r="B9" s="28" t="s">
        <v>224</v>
      </c>
    </row>
    <row r="10" spans="1:2" ht="12.75">
      <c r="A10" s="178">
        <f t="shared" si="0"/>
        <v>4</v>
      </c>
      <c r="B10" s="28" t="s">
        <v>182</v>
      </c>
    </row>
    <row r="11" spans="1:2" ht="12.75">
      <c r="A11" s="178">
        <f t="shared" si="0"/>
        <v>5</v>
      </c>
      <c r="B11" s="28" t="s">
        <v>183</v>
      </c>
    </row>
    <row r="12" spans="1:3" ht="12.75">
      <c r="A12" s="178">
        <f t="shared" si="0"/>
        <v>6</v>
      </c>
      <c r="B12" s="180"/>
      <c r="C12" s="28"/>
    </row>
    <row r="13" spans="1:5" ht="12.75">
      <c r="A13" s="178"/>
      <c r="B13" s="180"/>
      <c r="C13" s="28"/>
      <c r="E13" s="75" t="s">
        <v>177</v>
      </c>
    </row>
    <row r="14" spans="1:7" ht="12.75">
      <c r="A14" s="178"/>
      <c r="B14" s="180"/>
      <c r="C14" s="28"/>
      <c r="E14" s="167" t="s">
        <v>178</v>
      </c>
      <c r="G14" s="167" t="s">
        <v>179</v>
      </c>
    </row>
    <row r="15" spans="1:7" ht="12.75">
      <c r="A15" s="178">
        <f>+A12+1</f>
        <v>7</v>
      </c>
      <c r="B15" s="74"/>
      <c r="C15" s="2" t="s">
        <v>184</v>
      </c>
      <c r="D15" s="181"/>
      <c r="E15" s="182" t="s">
        <v>185</v>
      </c>
      <c r="F15" s="181"/>
      <c r="G15" s="182" t="s">
        <v>225</v>
      </c>
    </row>
    <row r="16" spans="1:7" ht="12.75">
      <c r="A16" s="178">
        <f t="shared" si="0"/>
        <v>8</v>
      </c>
      <c r="B16" s="74"/>
      <c r="C16" s="2" t="s">
        <v>186</v>
      </c>
      <c r="D16" s="181"/>
      <c r="E16" s="183" t="s">
        <v>195</v>
      </c>
      <c r="F16" s="181"/>
      <c r="G16" s="181" t="s">
        <v>314</v>
      </c>
    </row>
    <row r="17" ht="12.75">
      <c r="A17" s="178">
        <f t="shared" si="0"/>
        <v>9</v>
      </c>
    </row>
    <row r="18" spans="1:8" ht="12.75">
      <c r="A18" s="178">
        <f t="shared" si="0"/>
        <v>10</v>
      </c>
      <c r="B18" s="5"/>
      <c r="C18" s="5"/>
      <c r="D18" s="28"/>
      <c r="F18" s="75"/>
      <c r="H18" s="75"/>
    </row>
    <row r="19" spans="1:10" ht="12.75">
      <c r="A19" s="178">
        <f t="shared" si="0"/>
        <v>11</v>
      </c>
      <c r="D19" s="28"/>
      <c r="E19" s="234" t="s">
        <v>188</v>
      </c>
      <c r="F19" s="234"/>
      <c r="G19" s="234"/>
      <c r="H19" s="234"/>
      <c r="I19" s="234"/>
      <c r="J19" s="214"/>
    </row>
    <row r="20" spans="1:9" ht="12.75">
      <c r="A20" s="178">
        <f t="shared" si="0"/>
        <v>12</v>
      </c>
      <c r="D20" s="28"/>
      <c r="E20" s="75" t="s">
        <v>177</v>
      </c>
      <c r="I20" s="76" t="s">
        <v>136</v>
      </c>
    </row>
    <row r="21" spans="1:9" ht="12.75">
      <c r="A21" s="178">
        <f t="shared" si="0"/>
        <v>13</v>
      </c>
      <c r="D21" s="28"/>
      <c r="E21" s="75" t="s">
        <v>178</v>
      </c>
      <c r="G21" s="75" t="s">
        <v>179</v>
      </c>
      <c r="I21" s="168" t="s">
        <v>189</v>
      </c>
    </row>
    <row r="22" spans="1:9" ht="12.75">
      <c r="A22" s="178">
        <f t="shared" si="0"/>
        <v>14</v>
      </c>
      <c r="B22" s="80" t="s">
        <v>16</v>
      </c>
      <c r="C22" s="81"/>
      <c r="D22" s="28"/>
      <c r="E22" s="32"/>
      <c r="G22" s="32"/>
      <c r="I22" s="32"/>
    </row>
    <row r="23" spans="1:9" ht="12.75">
      <c r="A23" s="178">
        <f t="shared" si="0"/>
        <v>15</v>
      </c>
      <c r="C23" s="83" t="s">
        <v>268</v>
      </c>
      <c r="D23" s="28"/>
      <c r="E23" s="27">
        <f>E45+E67</f>
        <v>0</v>
      </c>
      <c r="F23" s="27">
        <f aca="true" t="shared" si="1" ref="F23:G35">+F45+F67</f>
        <v>0</v>
      </c>
      <c r="G23" s="27">
        <f t="shared" si="1"/>
        <v>69720128</v>
      </c>
      <c r="H23" s="27"/>
      <c r="I23" s="27">
        <f aca="true" t="shared" si="2" ref="I23:I35">SUM(E23:H23)</f>
        <v>69720128</v>
      </c>
    </row>
    <row r="24" spans="1:9" ht="12.75">
      <c r="A24" s="178">
        <f t="shared" si="0"/>
        <v>16</v>
      </c>
      <c r="C24" s="83" t="s">
        <v>287</v>
      </c>
      <c r="D24" s="28"/>
      <c r="E24" s="35">
        <f>E46+E68</f>
        <v>19.809999998217684</v>
      </c>
      <c r="F24" s="35">
        <f t="shared" si="1"/>
        <v>0</v>
      </c>
      <c r="G24" s="35">
        <f t="shared" si="1"/>
        <v>71658632.43999998</v>
      </c>
      <c r="H24" s="28"/>
      <c r="I24" s="19">
        <f t="shared" si="2"/>
        <v>71658652.24999999</v>
      </c>
    </row>
    <row r="25" spans="1:9" ht="12.75">
      <c r="A25" s="178">
        <f t="shared" si="0"/>
        <v>17</v>
      </c>
      <c r="C25" s="83" t="s">
        <v>270</v>
      </c>
      <c r="D25" s="28"/>
      <c r="E25" s="35">
        <f aca="true" t="shared" si="3" ref="E25:E35">E47+E69</f>
        <v>13.349999998217683</v>
      </c>
      <c r="F25" s="35">
        <f t="shared" si="1"/>
        <v>0</v>
      </c>
      <c r="G25" s="35">
        <f t="shared" si="1"/>
        <v>79812271.71999998</v>
      </c>
      <c r="H25" s="28"/>
      <c r="I25" s="19">
        <f t="shared" si="2"/>
        <v>79812285.06999998</v>
      </c>
    </row>
    <row r="26" spans="1:9" ht="12.75">
      <c r="A26" s="178">
        <f t="shared" si="0"/>
        <v>18</v>
      </c>
      <c r="C26" s="83" t="s">
        <v>271</v>
      </c>
      <c r="D26" s="28"/>
      <c r="E26" s="35">
        <f t="shared" si="3"/>
        <v>0</v>
      </c>
      <c r="F26" s="35">
        <f t="shared" si="1"/>
        <v>0</v>
      </c>
      <c r="G26" s="35">
        <f t="shared" si="1"/>
        <v>86982786.13999999</v>
      </c>
      <c r="H26" s="28"/>
      <c r="I26" s="19">
        <f t="shared" si="2"/>
        <v>86982786.13999999</v>
      </c>
    </row>
    <row r="27" spans="1:9" ht="12.75">
      <c r="A27" s="178">
        <f t="shared" si="0"/>
        <v>19</v>
      </c>
      <c r="C27" s="83" t="s">
        <v>156</v>
      </c>
      <c r="D27" s="28"/>
      <c r="E27" s="35">
        <f t="shared" si="3"/>
        <v>0</v>
      </c>
      <c r="F27" s="35">
        <f t="shared" si="1"/>
        <v>0</v>
      </c>
      <c r="G27" s="35">
        <f t="shared" si="1"/>
        <v>95963173.05999999</v>
      </c>
      <c r="H27" s="28"/>
      <c r="I27" s="19">
        <f t="shared" si="2"/>
        <v>95963173.05999999</v>
      </c>
    </row>
    <row r="28" spans="1:9" ht="12.75">
      <c r="A28" s="178">
        <f t="shared" si="0"/>
        <v>20</v>
      </c>
      <c r="C28" s="83" t="s">
        <v>272</v>
      </c>
      <c r="D28" s="28"/>
      <c r="E28" s="35">
        <f t="shared" si="3"/>
        <v>0</v>
      </c>
      <c r="F28" s="35">
        <f t="shared" si="1"/>
        <v>0</v>
      </c>
      <c r="G28" s="35">
        <f t="shared" si="1"/>
        <v>106338284.57999998</v>
      </c>
      <c r="H28" s="28"/>
      <c r="I28" s="19">
        <f t="shared" si="2"/>
        <v>106338284.57999998</v>
      </c>
    </row>
    <row r="29" spans="1:9" ht="12.75">
      <c r="A29" s="178">
        <f t="shared" si="0"/>
        <v>21</v>
      </c>
      <c r="C29" s="83" t="s">
        <v>273</v>
      </c>
      <c r="D29" s="28"/>
      <c r="E29" s="35">
        <f t="shared" si="3"/>
        <v>0</v>
      </c>
      <c r="F29" s="35">
        <f t="shared" si="1"/>
        <v>0</v>
      </c>
      <c r="G29" s="35">
        <f t="shared" si="1"/>
        <v>119599139.29</v>
      </c>
      <c r="H29" s="28"/>
      <c r="I29" s="19">
        <f t="shared" si="2"/>
        <v>119599139.29</v>
      </c>
    </row>
    <row r="30" spans="1:9" ht="12.75">
      <c r="A30" s="178">
        <f t="shared" si="0"/>
        <v>22</v>
      </c>
      <c r="C30" s="83" t="s">
        <v>158</v>
      </c>
      <c r="D30" s="28"/>
      <c r="E30" s="35">
        <f t="shared" si="3"/>
        <v>0</v>
      </c>
      <c r="F30" s="35">
        <f t="shared" si="1"/>
        <v>0</v>
      </c>
      <c r="G30" s="35">
        <f t="shared" si="1"/>
        <v>138900086.32999998</v>
      </c>
      <c r="H30" s="28"/>
      <c r="I30" s="19">
        <f t="shared" si="2"/>
        <v>138900086.32999998</v>
      </c>
    </row>
    <row r="31" spans="1:9" ht="12.75">
      <c r="A31" s="178">
        <f t="shared" si="0"/>
        <v>23</v>
      </c>
      <c r="C31" s="83" t="s">
        <v>274</v>
      </c>
      <c r="D31" s="28"/>
      <c r="E31" s="35">
        <f t="shared" si="3"/>
        <v>688.1199999982182</v>
      </c>
      <c r="F31" s="35">
        <f t="shared" si="1"/>
        <v>0</v>
      </c>
      <c r="G31" s="35">
        <f t="shared" si="1"/>
        <v>154908116.35</v>
      </c>
      <c r="H31" s="28"/>
      <c r="I31" s="19">
        <f t="shared" si="2"/>
        <v>154908804.47</v>
      </c>
    </row>
    <row r="32" spans="1:9" ht="12.75">
      <c r="A32" s="178">
        <f t="shared" si="0"/>
        <v>24</v>
      </c>
      <c r="C32" s="83" t="s">
        <v>275</v>
      </c>
      <c r="D32" s="28"/>
      <c r="E32" s="35">
        <f t="shared" si="3"/>
        <v>0</v>
      </c>
      <c r="F32" s="35">
        <f t="shared" si="1"/>
        <v>0</v>
      </c>
      <c r="G32" s="35">
        <f t="shared" si="1"/>
        <v>142013058.86</v>
      </c>
      <c r="H32" s="28"/>
      <c r="I32" s="19">
        <f t="shared" si="2"/>
        <v>142013058.86</v>
      </c>
    </row>
    <row r="33" spans="1:9" ht="12.75">
      <c r="A33" s="178">
        <f t="shared" si="0"/>
        <v>25</v>
      </c>
      <c r="C33" s="83" t="s">
        <v>276</v>
      </c>
      <c r="D33" s="28"/>
      <c r="E33" s="35">
        <f t="shared" si="3"/>
        <v>0</v>
      </c>
      <c r="F33" s="35">
        <f t="shared" si="1"/>
        <v>0</v>
      </c>
      <c r="G33" s="35">
        <f t="shared" si="1"/>
        <v>160342167.32</v>
      </c>
      <c r="H33" s="28"/>
      <c r="I33" s="19">
        <f t="shared" si="2"/>
        <v>160342167.32</v>
      </c>
    </row>
    <row r="34" spans="1:9" ht="13.5" customHeight="1">
      <c r="A34" s="178">
        <f t="shared" si="0"/>
        <v>26</v>
      </c>
      <c r="C34" s="83" t="s">
        <v>277</v>
      </c>
      <c r="D34" s="28"/>
      <c r="E34" s="35">
        <f t="shared" si="3"/>
        <v>0</v>
      </c>
      <c r="F34" s="35">
        <f t="shared" si="1"/>
        <v>0</v>
      </c>
      <c r="G34" s="35">
        <f t="shared" si="1"/>
        <v>183165761.65999997</v>
      </c>
      <c r="H34" s="28"/>
      <c r="I34" s="19">
        <f t="shared" si="2"/>
        <v>183165761.65999997</v>
      </c>
    </row>
    <row r="35" spans="1:9" ht="12.75">
      <c r="A35" s="178">
        <f t="shared" si="0"/>
        <v>27</v>
      </c>
      <c r="C35" s="83" t="s">
        <v>187</v>
      </c>
      <c r="D35" s="28"/>
      <c r="E35" s="35">
        <f t="shared" si="3"/>
        <v>0</v>
      </c>
      <c r="F35" s="35">
        <f t="shared" si="1"/>
        <v>0</v>
      </c>
      <c r="G35" s="35">
        <f t="shared" si="1"/>
        <v>203894454.32</v>
      </c>
      <c r="H35" s="28"/>
      <c r="I35" s="19">
        <f t="shared" si="2"/>
        <v>203894454.32</v>
      </c>
    </row>
    <row r="36" spans="1:9" ht="12.75">
      <c r="A36" s="178">
        <f t="shared" si="0"/>
        <v>28</v>
      </c>
      <c r="C36" s="83"/>
      <c r="D36" s="28"/>
      <c r="E36" s="31"/>
      <c r="F36" s="19"/>
      <c r="G36" s="31"/>
      <c r="H36" s="19"/>
      <c r="I36" s="31"/>
    </row>
    <row r="37" spans="1:9" ht="13.5" thickBot="1">
      <c r="A37" s="178">
        <f t="shared" si="0"/>
        <v>29</v>
      </c>
      <c r="C37" s="177" t="s">
        <v>135</v>
      </c>
      <c r="D37" s="28"/>
      <c r="E37" s="33">
        <f>SUM(E23:E35)/13</f>
        <v>55.48307692266565</v>
      </c>
      <c r="F37" s="172"/>
      <c r="G37" s="33">
        <f>SUM(G23:G35)/13</f>
        <v>124099850.77461538</v>
      </c>
      <c r="H37" s="27"/>
      <c r="I37" s="33">
        <f>SUM(I23:I35)/13</f>
        <v>124099906.25769232</v>
      </c>
    </row>
    <row r="38" spans="1:4" ht="13.5" thickTop="1">
      <c r="A38" s="178">
        <f t="shared" si="0"/>
        <v>30</v>
      </c>
      <c r="D38" s="28"/>
    </row>
    <row r="39" spans="1:4" ht="12.75">
      <c r="A39" s="178">
        <f t="shared" si="0"/>
        <v>31</v>
      </c>
      <c r="D39" s="28"/>
    </row>
    <row r="40" spans="1:4" ht="12.75">
      <c r="A40" s="178">
        <f t="shared" si="0"/>
        <v>32</v>
      </c>
      <c r="D40" s="28"/>
    </row>
    <row r="41" spans="1:10" ht="12.75">
      <c r="A41" s="178">
        <f aca="true" t="shared" si="4" ref="A41:A72">+A40+1</f>
        <v>33</v>
      </c>
      <c r="D41" s="28"/>
      <c r="E41" s="234" t="s">
        <v>188</v>
      </c>
      <c r="F41" s="234"/>
      <c r="G41" s="234"/>
      <c r="H41" s="234"/>
      <c r="I41" s="234"/>
      <c r="J41" s="214"/>
    </row>
    <row r="42" spans="1:9" ht="12.75">
      <c r="A42" s="178">
        <f t="shared" si="4"/>
        <v>34</v>
      </c>
      <c r="D42" s="28"/>
      <c r="E42" s="75" t="s">
        <v>177</v>
      </c>
      <c r="I42" s="76" t="s">
        <v>136</v>
      </c>
    </row>
    <row r="43" spans="1:9" ht="12.75">
      <c r="A43" s="178">
        <f t="shared" si="4"/>
        <v>35</v>
      </c>
      <c r="C43" s="5"/>
      <c r="D43" s="28"/>
      <c r="E43" s="167" t="s">
        <v>178</v>
      </c>
      <c r="G43" s="167" t="s">
        <v>179</v>
      </c>
      <c r="I43" s="168" t="s">
        <v>189</v>
      </c>
    </row>
    <row r="44" spans="1:4" ht="12.75">
      <c r="A44" s="178">
        <f t="shared" si="4"/>
        <v>36</v>
      </c>
      <c r="B44" s="80" t="s">
        <v>18</v>
      </c>
      <c r="C44" s="81"/>
      <c r="D44" s="28"/>
    </row>
    <row r="45" spans="1:9" ht="12.75">
      <c r="A45" s="178">
        <f t="shared" si="4"/>
        <v>37</v>
      </c>
      <c r="C45" s="83" t="s">
        <v>268</v>
      </c>
      <c r="D45" s="28"/>
      <c r="E45" s="35">
        <v>0</v>
      </c>
      <c r="F45" s="35"/>
      <c r="G45" s="35">
        <v>65647316.059999995</v>
      </c>
      <c r="H45" s="19"/>
      <c r="I45" s="27">
        <f aca="true" t="shared" si="5" ref="I45:I57">SUM(E45:H45)</f>
        <v>65647316.059999995</v>
      </c>
    </row>
    <row r="46" spans="1:9" ht="12.75">
      <c r="A46" s="178">
        <f t="shared" si="4"/>
        <v>38</v>
      </c>
      <c r="C46" s="83" t="s">
        <v>287</v>
      </c>
      <c r="D46" s="28"/>
      <c r="E46" s="35">
        <v>19.809999998217684</v>
      </c>
      <c r="F46" s="35"/>
      <c r="G46" s="35">
        <v>67460247.21999998</v>
      </c>
      <c r="H46" s="19"/>
      <c r="I46" s="19">
        <f t="shared" si="5"/>
        <v>67460267.02999999</v>
      </c>
    </row>
    <row r="47" spans="1:9" ht="12.75">
      <c r="A47" s="178">
        <f t="shared" si="4"/>
        <v>39</v>
      </c>
      <c r="C47" s="83" t="s">
        <v>270</v>
      </c>
      <c r="D47" s="28"/>
      <c r="E47" s="35">
        <v>13.349999998217683</v>
      </c>
      <c r="F47" s="35"/>
      <c r="G47" s="35">
        <v>75421386.73999998</v>
      </c>
      <c r="H47" s="19"/>
      <c r="I47" s="19">
        <f t="shared" si="5"/>
        <v>75421400.08999997</v>
      </c>
    </row>
    <row r="48" spans="1:9" ht="12.75">
      <c r="A48" s="178">
        <f t="shared" si="4"/>
        <v>40</v>
      </c>
      <c r="C48" s="83" t="s">
        <v>271</v>
      </c>
      <c r="D48" s="28"/>
      <c r="E48" s="35">
        <v>0</v>
      </c>
      <c r="F48" s="35"/>
      <c r="G48" s="35">
        <v>82306294.68999998</v>
      </c>
      <c r="H48" s="19"/>
      <c r="I48" s="19">
        <f t="shared" si="5"/>
        <v>82306294.68999998</v>
      </c>
    </row>
    <row r="49" spans="1:9" ht="12.75">
      <c r="A49" s="178">
        <f t="shared" si="4"/>
        <v>41</v>
      </c>
      <c r="C49" s="83" t="s">
        <v>156</v>
      </c>
      <c r="D49" s="28"/>
      <c r="E49" s="35">
        <v>0</v>
      </c>
      <c r="F49" s="35"/>
      <c r="G49" s="35">
        <v>90969611.53999999</v>
      </c>
      <c r="H49" s="19"/>
      <c r="I49" s="19">
        <f t="shared" si="5"/>
        <v>90969611.53999999</v>
      </c>
    </row>
    <row r="50" spans="1:9" ht="12.75">
      <c r="A50" s="178">
        <f t="shared" si="4"/>
        <v>42</v>
      </c>
      <c r="C50" s="83" t="s">
        <v>272</v>
      </c>
      <c r="D50" s="28"/>
      <c r="E50" s="35">
        <v>0</v>
      </c>
      <c r="F50" s="35"/>
      <c r="G50" s="35">
        <v>101268771.75999999</v>
      </c>
      <c r="H50" s="19"/>
      <c r="I50" s="19">
        <f t="shared" si="5"/>
        <v>101268771.75999999</v>
      </c>
    </row>
    <row r="51" spans="1:9" ht="12.75">
      <c r="A51" s="178">
        <f t="shared" si="4"/>
        <v>43</v>
      </c>
      <c r="C51" s="83" t="s">
        <v>273</v>
      </c>
      <c r="D51" s="28"/>
      <c r="E51" s="35">
        <v>0</v>
      </c>
      <c r="F51" s="35"/>
      <c r="G51" s="35">
        <v>114339397.75</v>
      </c>
      <c r="H51" s="19"/>
      <c r="I51" s="19">
        <f t="shared" si="5"/>
        <v>114339397.75</v>
      </c>
    </row>
    <row r="52" spans="1:9" ht="12.75">
      <c r="A52" s="178">
        <f t="shared" si="4"/>
        <v>44</v>
      </c>
      <c r="C52" s="83" t="s">
        <v>158</v>
      </c>
      <c r="D52" s="28"/>
      <c r="E52" s="35">
        <v>0</v>
      </c>
      <c r="F52" s="35"/>
      <c r="G52" s="35">
        <v>133589271.6</v>
      </c>
      <c r="H52" s="19"/>
      <c r="I52" s="19">
        <f t="shared" si="5"/>
        <v>133589271.6</v>
      </c>
    </row>
    <row r="53" spans="1:9" ht="12.75">
      <c r="A53" s="178">
        <f t="shared" si="4"/>
        <v>45</v>
      </c>
      <c r="C53" s="83" t="s">
        <v>274</v>
      </c>
      <c r="D53" s="28"/>
      <c r="E53" s="35">
        <v>688.1199999982182</v>
      </c>
      <c r="F53" s="35"/>
      <c r="G53" s="35">
        <v>149527263.19</v>
      </c>
      <c r="H53" s="19"/>
      <c r="I53" s="19">
        <f t="shared" si="5"/>
        <v>149527951.31</v>
      </c>
    </row>
    <row r="54" spans="1:9" ht="12.75">
      <c r="A54" s="178">
        <f t="shared" si="4"/>
        <v>46</v>
      </c>
      <c r="C54" s="83" t="s">
        <v>275</v>
      </c>
      <c r="D54" s="28"/>
      <c r="E54" s="35">
        <v>0</v>
      </c>
      <c r="F54" s="35"/>
      <c r="G54" s="35">
        <v>136439599.25</v>
      </c>
      <c r="H54" s="19"/>
      <c r="I54" s="19">
        <f t="shared" si="5"/>
        <v>136439599.25</v>
      </c>
    </row>
    <row r="55" spans="1:9" ht="12.75">
      <c r="A55" s="178">
        <f t="shared" si="4"/>
        <v>47</v>
      </c>
      <c r="C55" s="83" t="s">
        <v>276</v>
      </c>
      <c r="D55" s="28"/>
      <c r="E55" s="35">
        <v>0</v>
      </c>
      <c r="F55" s="35"/>
      <c r="G55" s="35">
        <v>154470948.75</v>
      </c>
      <c r="H55" s="19"/>
      <c r="I55" s="19">
        <f t="shared" si="5"/>
        <v>154470948.75</v>
      </c>
    </row>
    <row r="56" spans="1:9" ht="12.75">
      <c r="A56" s="178">
        <f t="shared" si="4"/>
        <v>48</v>
      </c>
      <c r="C56" s="83" t="s">
        <v>277</v>
      </c>
      <c r="D56" s="28"/>
      <c r="E56" s="35">
        <v>0</v>
      </c>
      <c r="F56" s="35"/>
      <c r="G56" s="35">
        <v>177367159.20999998</v>
      </c>
      <c r="H56" s="19"/>
      <c r="I56" s="19">
        <f t="shared" si="5"/>
        <v>177367159.20999998</v>
      </c>
    </row>
    <row r="57" spans="1:9" ht="12.75">
      <c r="A57" s="178">
        <f t="shared" si="4"/>
        <v>49</v>
      </c>
      <c r="C57" s="83" t="s">
        <v>187</v>
      </c>
      <c r="D57" s="28"/>
      <c r="E57" s="35">
        <v>0</v>
      </c>
      <c r="F57" s="35"/>
      <c r="G57" s="35">
        <v>197273739.42</v>
      </c>
      <c r="H57" s="19"/>
      <c r="I57" s="19">
        <f t="shared" si="5"/>
        <v>197273739.42</v>
      </c>
    </row>
    <row r="58" spans="1:9" ht="12.75">
      <c r="A58" s="178">
        <f t="shared" si="4"/>
        <v>50</v>
      </c>
      <c r="C58" s="83"/>
      <c r="D58" s="28"/>
      <c r="E58" s="31"/>
      <c r="F58" s="19"/>
      <c r="G58" s="31"/>
      <c r="H58" s="19"/>
      <c r="I58" s="31"/>
    </row>
    <row r="59" spans="1:9" ht="13.5" thickBot="1">
      <c r="A59" s="178">
        <f t="shared" si="4"/>
        <v>51</v>
      </c>
      <c r="C59" s="177" t="s">
        <v>135</v>
      </c>
      <c r="D59" s="28"/>
      <c r="E59" s="33">
        <f>SUM(E45:E57)/13</f>
        <v>55.48307692266565</v>
      </c>
      <c r="F59" s="172"/>
      <c r="G59" s="33">
        <f>SUM(G45:G57)/13</f>
        <v>118929308.24461539</v>
      </c>
      <c r="H59" s="27"/>
      <c r="I59" s="33">
        <f>SUM(I45:I57)/13</f>
        <v>118929363.7276923</v>
      </c>
    </row>
    <row r="60" spans="1:4" ht="13.5" thickTop="1">
      <c r="A60" s="178">
        <f t="shared" si="4"/>
        <v>52</v>
      </c>
      <c r="C60" s="5"/>
      <c r="D60" s="28"/>
    </row>
    <row r="61" spans="1:4" ht="12.75">
      <c r="A61" s="178">
        <f t="shared" si="4"/>
        <v>53</v>
      </c>
      <c r="C61" s="5"/>
      <c r="D61" s="28"/>
    </row>
    <row r="62" spans="1:4" ht="12.75">
      <c r="A62" s="178">
        <f t="shared" si="4"/>
        <v>54</v>
      </c>
      <c r="C62" s="5"/>
      <c r="D62" s="28"/>
    </row>
    <row r="63" spans="1:10" ht="12.75">
      <c r="A63" s="178">
        <f t="shared" si="4"/>
        <v>55</v>
      </c>
      <c r="C63" s="5"/>
      <c r="D63" s="28"/>
      <c r="E63" s="234" t="s">
        <v>188</v>
      </c>
      <c r="F63" s="234"/>
      <c r="G63" s="234"/>
      <c r="H63" s="234"/>
      <c r="I63" s="234"/>
      <c r="J63" s="214"/>
    </row>
    <row r="64" spans="1:9" ht="12.75">
      <c r="A64" s="178">
        <f t="shared" si="4"/>
        <v>56</v>
      </c>
      <c r="C64" s="5"/>
      <c r="D64" s="28"/>
      <c r="E64" s="75" t="s">
        <v>177</v>
      </c>
      <c r="I64" s="76" t="s">
        <v>136</v>
      </c>
    </row>
    <row r="65" spans="1:9" ht="12.75">
      <c r="A65" s="178">
        <f t="shared" si="4"/>
        <v>57</v>
      </c>
      <c r="C65" s="5"/>
      <c r="D65" s="28"/>
      <c r="E65" s="167" t="s">
        <v>178</v>
      </c>
      <c r="G65" s="167" t="s">
        <v>179</v>
      </c>
      <c r="I65" s="168" t="s">
        <v>189</v>
      </c>
    </row>
    <row r="66" spans="1:4" ht="12.75">
      <c r="A66" s="178">
        <f t="shared" si="4"/>
        <v>58</v>
      </c>
      <c r="B66" s="80" t="s">
        <v>19</v>
      </c>
      <c r="C66" s="81"/>
      <c r="D66" s="28"/>
    </row>
    <row r="67" spans="1:9" ht="12.75">
      <c r="A67" s="178">
        <f t="shared" si="4"/>
        <v>59</v>
      </c>
      <c r="C67" s="83" t="s">
        <v>268</v>
      </c>
      <c r="D67" s="28"/>
      <c r="E67" s="35">
        <v>0</v>
      </c>
      <c r="F67" s="35"/>
      <c r="G67" s="35">
        <v>4072811.94</v>
      </c>
      <c r="H67" s="19"/>
      <c r="I67" s="27">
        <f aca="true" t="shared" si="6" ref="I67:I79">SUM(E67:H67)</f>
        <v>4072811.94</v>
      </c>
    </row>
    <row r="68" spans="1:9" ht="12.75">
      <c r="A68" s="178">
        <f t="shared" si="4"/>
        <v>60</v>
      </c>
      <c r="C68" s="83" t="s">
        <v>287</v>
      </c>
      <c r="D68" s="28"/>
      <c r="E68" s="35">
        <v>0</v>
      </c>
      <c r="F68" s="35"/>
      <c r="G68" s="35">
        <v>4198385.22</v>
      </c>
      <c r="H68" s="19"/>
      <c r="I68" s="19">
        <f t="shared" si="6"/>
        <v>4198385.22</v>
      </c>
    </row>
    <row r="69" spans="1:9" ht="12.75">
      <c r="A69" s="178">
        <f t="shared" si="4"/>
        <v>61</v>
      </c>
      <c r="C69" s="83" t="s">
        <v>270</v>
      </c>
      <c r="D69" s="28"/>
      <c r="E69" s="35">
        <v>0</v>
      </c>
      <c r="F69" s="35"/>
      <c r="G69" s="35">
        <v>4390884.98</v>
      </c>
      <c r="H69" s="19"/>
      <c r="I69" s="19">
        <f t="shared" si="6"/>
        <v>4390884.98</v>
      </c>
    </row>
    <row r="70" spans="1:9" ht="12.75">
      <c r="A70" s="178">
        <f t="shared" si="4"/>
        <v>62</v>
      </c>
      <c r="C70" s="83" t="s">
        <v>271</v>
      </c>
      <c r="D70" s="28"/>
      <c r="E70" s="35">
        <v>0</v>
      </c>
      <c r="F70" s="35"/>
      <c r="G70" s="35">
        <v>4676491.45</v>
      </c>
      <c r="H70" s="19"/>
      <c r="I70" s="19">
        <f t="shared" si="6"/>
        <v>4676491.45</v>
      </c>
    </row>
    <row r="71" spans="1:9" ht="12.75">
      <c r="A71" s="178">
        <f t="shared" si="4"/>
        <v>63</v>
      </c>
      <c r="C71" s="83" t="s">
        <v>156</v>
      </c>
      <c r="D71" s="28"/>
      <c r="E71" s="35">
        <v>0</v>
      </c>
      <c r="F71" s="35"/>
      <c r="G71" s="35">
        <v>4993561.52</v>
      </c>
      <c r="H71" s="19"/>
      <c r="I71" s="19">
        <f t="shared" si="6"/>
        <v>4993561.52</v>
      </c>
    </row>
    <row r="72" spans="1:9" ht="12.75">
      <c r="A72" s="178">
        <f t="shared" si="4"/>
        <v>64</v>
      </c>
      <c r="C72" s="83" t="s">
        <v>272</v>
      </c>
      <c r="D72" s="28"/>
      <c r="E72" s="35">
        <v>0</v>
      </c>
      <c r="F72" s="35"/>
      <c r="G72" s="35">
        <v>5069512.82</v>
      </c>
      <c r="H72" s="19"/>
      <c r="I72" s="19">
        <f t="shared" si="6"/>
        <v>5069512.82</v>
      </c>
    </row>
    <row r="73" spans="1:9" ht="12.75">
      <c r="A73" s="178">
        <f aca="true" t="shared" si="7" ref="A73:A81">+A72+1</f>
        <v>65</v>
      </c>
      <c r="C73" s="83" t="s">
        <v>273</v>
      </c>
      <c r="D73" s="28"/>
      <c r="E73" s="35">
        <v>0</v>
      </c>
      <c r="F73" s="35"/>
      <c r="G73" s="35">
        <v>5259741.54</v>
      </c>
      <c r="H73" s="19"/>
      <c r="I73" s="19">
        <f t="shared" si="6"/>
        <v>5259741.54</v>
      </c>
    </row>
    <row r="74" spans="1:9" ht="12.75">
      <c r="A74" s="178">
        <f t="shared" si="7"/>
        <v>66</v>
      </c>
      <c r="C74" s="83" t="s">
        <v>158</v>
      </c>
      <c r="D74" s="28"/>
      <c r="E74" s="35">
        <v>0</v>
      </c>
      <c r="F74" s="35"/>
      <c r="G74" s="35">
        <v>5310814.73</v>
      </c>
      <c r="H74" s="19"/>
      <c r="I74" s="19">
        <f t="shared" si="6"/>
        <v>5310814.73</v>
      </c>
    </row>
    <row r="75" spans="1:9" ht="12.75">
      <c r="A75" s="178">
        <f t="shared" si="7"/>
        <v>67</v>
      </c>
      <c r="C75" s="83" t="s">
        <v>274</v>
      </c>
      <c r="D75" s="28"/>
      <c r="E75" s="35">
        <v>0</v>
      </c>
      <c r="F75" s="35"/>
      <c r="G75" s="35">
        <v>5380853.159999999</v>
      </c>
      <c r="H75" s="19"/>
      <c r="I75" s="19">
        <f t="shared" si="6"/>
        <v>5380853.159999999</v>
      </c>
    </row>
    <row r="76" spans="1:9" ht="12.75">
      <c r="A76" s="178">
        <f t="shared" si="7"/>
        <v>68</v>
      </c>
      <c r="C76" s="83" t="s">
        <v>275</v>
      </c>
      <c r="D76" s="28"/>
      <c r="E76" s="35">
        <v>0</v>
      </c>
      <c r="F76" s="35"/>
      <c r="G76" s="35">
        <v>5573459.609999999</v>
      </c>
      <c r="H76" s="19"/>
      <c r="I76" s="19">
        <f t="shared" si="6"/>
        <v>5573459.609999999</v>
      </c>
    </row>
    <row r="77" spans="1:9" ht="12.75">
      <c r="A77" s="178">
        <f t="shared" si="7"/>
        <v>69</v>
      </c>
      <c r="C77" s="83" t="s">
        <v>276</v>
      </c>
      <c r="D77" s="28"/>
      <c r="E77" s="35">
        <v>0</v>
      </c>
      <c r="F77" s="35"/>
      <c r="G77" s="35">
        <v>5871218.569999999</v>
      </c>
      <c r="H77" s="19"/>
      <c r="I77" s="19">
        <f t="shared" si="6"/>
        <v>5871218.569999999</v>
      </c>
    </row>
    <row r="78" spans="1:9" ht="12.75">
      <c r="A78" s="178">
        <f t="shared" si="7"/>
        <v>70</v>
      </c>
      <c r="C78" s="83" t="s">
        <v>277</v>
      </c>
      <c r="D78" s="28"/>
      <c r="E78" s="35">
        <v>0</v>
      </c>
      <c r="F78" s="35"/>
      <c r="G78" s="35">
        <v>5798602.449999999</v>
      </c>
      <c r="H78" s="19"/>
      <c r="I78" s="19">
        <f t="shared" si="6"/>
        <v>5798602.449999999</v>
      </c>
    </row>
    <row r="79" spans="1:9" ht="12.75">
      <c r="A79" s="178">
        <f t="shared" si="7"/>
        <v>71</v>
      </c>
      <c r="C79" s="83" t="s">
        <v>187</v>
      </c>
      <c r="D79" s="28"/>
      <c r="E79" s="35">
        <v>0</v>
      </c>
      <c r="F79" s="35"/>
      <c r="G79" s="35">
        <v>6620714.899999999</v>
      </c>
      <c r="H79" s="19"/>
      <c r="I79" s="19">
        <f t="shared" si="6"/>
        <v>6620714.899999999</v>
      </c>
    </row>
    <row r="80" spans="1:9" ht="12.75">
      <c r="A80" s="178">
        <f t="shared" si="7"/>
        <v>72</v>
      </c>
      <c r="C80" s="83"/>
      <c r="D80" s="28"/>
      <c r="E80" s="31"/>
      <c r="F80" s="19"/>
      <c r="G80" s="31"/>
      <c r="H80" s="19"/>
      <c r="I80" s="31"/>
    </row>
    <row r="81" spans="1:9" ht="13.5" thickBot="1">
      <c r="A81" s="178">
        <f t="shared" si="7"/>
        <v>73</v>
      </c>
      <c r="C81" s="177" t="s">
        <v>135</v>
      </c>
      <c r="D81" s="28"/>
      <c r="E81" s="33">
        <f>SUM(E67:E79)/13</f>
        <v>0</v>
      </c>
      <c r="F81" s="172"/>
      <c r="G81" s="33">
        <f>SUM(G67:G79)/13</f>
        <v>5170542.53</v>
      </c>
      <c r="H81" s="27"/>
      <c r="I81" s="33">
        <f>SUM(I67:I79)/13</f>
        <v>5170542.53</v>
      </c>
    </row>
    <row r="82" ht="13.5" thickTop="1">
      <c r="D82" s="28"/>
    </row>
    <row r="83" ht="12.75">
      <c r="D83" s="28"/>
    </row>
    <row r="84" spans="4:10" ht="12.75">
      <c r="D84" s="28"/>
      <c r="E84" s="28"/>
      <c r="F84" s="28"/>
      <c r="G84" s="28"/>
      <c r="H84" s="28"/>
      <c r="I84" s="28"/>
      <c r="J84" s="28"/>
    </row>
    <row r="85" spans="4:10" ht="12.75">
      <c r="D85" s="28"/>
      <c r="E85" s="28"/>
      <c r="F85" s="28"/>
      <c r="G85" s="28"/>
      <c r="H85" s="28"/>
      <c r="I85" s="28"/>
      <c r="J85" s="28"/>
    </row>
    <row r="86" ht="12.75">
      <c r="J86" s="28"/>
    </row>
    <row r="87" ht="12.75">
      <c r="J87" s="28"/>
    </row>
    <row r="88" ht="12.75">
      <c r="J88" s="28"/>
    </row>
    <row r="89" ht="12.75">
      <c r="J89" s="28"/>
    </row>
    <row r="90" ht="12.75">
      <c r="J90" s="28"/>
    </row>
    <row r="91" ht="12.75">
      <c r="J91" s="28"/>
    </row>
    <row r="92" ht="12.75">
      <c r="J92" s="28"/>
    </row>
    <row r="93" ht="12.75">
      <c r="J93" s="28"/>
    </row>
    <row r="94" ht="12.75">
      <c r="J94" s="28"/>
    </row>
    <row r="95" ht="12.75">
      <c r="J95" s="28"/>
    </row>
    <row r="96" ht="12.75">
      <c r="J96" s="28"/>
    </row>
    <row r="97" ht="12.75">
      <c r="J97" s="28"/>
    </row>
  </sheetData>
  <mergeCells count="3">
    <mergeCell ref="E19:I19"/>
    <mergeCell ref="E41:I41"/>
    <mergeCell ref="E63:I63"/>
  </mergeCells>
  <printOptions horizontalCentered="1"/>
  <pageMargins left="0.75" right="0.25" top="0.75" bottom="0.4" header="0" footer="0.25"/>
  <pageSetup fitToHeight="1" fitToWidth="1" horizontalDpi="600" verticalDpi="600" orientation="portrait" scale="67"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R83"/>
  <sheetViews>
    <sheetView showGridLines="0" workbookViewId="0" topLeftCell="A1">
      <selection activeCell="A4" sqref="A4"/>
    </sheetView>
  </sheetViews>
  <sheetFormatPr defaultColWidth="14.4453125" defaultRowHeight="15"/>
  <cols>
    <col min="1" max="1" width="4.77734375" style="73" customWidth="1"/>
    <col min="2" max="2" width="2.77734375" style="2" customWidth="1"/>
    <col min="3" max="3" width="28.99609375" style="2" customWidth="1"/>
    <col min="4" max="4" width="14.4453125" style="2" customWidth="1"/>
    <col min="5" max="5" width="0.88671875" style="2" customWidth="1"/>
    <col min="6" max="6" width="17.5546875" style="2" bestFit="1" customWidth="1"/>
    <col min="7" max="7" width="0.88671875" style="2" customWidth="1"/>
    <col min="8" max="8" width="15.10546875" style="2" bestFit="1" customWidth="1"/>
    <col min="9" max="9" width="0.88671875" style="2" customWidth="1"/>
    <col min="10" max="10" width="15.5546875" style="2" bestFit="1" customWidth="1"/>
    <col min="11" max="11" width="0.88671875" style="2" customWidth="1"/>
    <col min="12" max="12" width="13.5546875" style="2" hidden="1" customWidth="1"/>
    <col min="13" max="13" width="0.88671875" style="2" hidden="1" customWidth="1"/>
    <col min="14" max="14" width="12.88671875" style="2" customWidth="1"/>
    <col min="15" max="15" width="0.88671875" style="2" customWidth="1"/>
    <col min="16" max="16" width="18.3359375" style="2" bestFit="1" customWidth="1"/>
    <col min="17" max="17" width="0.671875" style="2" customWidth="1"/>
    <col min="18" max="18" width="16.21484375" style="2" bestFit="1" customWidth="1"/>
    <col min="19" max="16384" width="14.4453125" style="2" customWidth="1"/>
  </cols>
  <sheetData>
    <row r="1" spans="1:18" ht="12.75">
      <c r="A1" s="70" t="s">
        <v>15</v>
      </c>
      <c r="B1" s="71"/>
      <c r="C1" s="71"/>
      <c r="D1" s="71"/>
      <c r="E1" s="71"/>
      <c r="F1" s="71"/>
      <c r="G1" s="71"/>
      <c r="H1" s="71"/>
      <c r="I1" s="71"/>
      <c r="J1" s="71"/>
      <c r="K1" s="71"/>
      <c r="L1" s="71"/>
      <c r="M1" s="71"/>
      <c r="N1" s="71"/>
      <c r="O1" s="71"/>
      <c r="P1" s="71"/>
      <c r="Q1" s="71"/>
      <c r="R1" s="72" t="s">
        <v>285</v>
      </c>
    </row>
    <row r="2" spans="1:18" ht="12.75">
      <c r="A2" s="70" t="s">
        <v>22</v>
      </c>
      <c r="B2" s="71"/>
      <c r="C2" s="71"/>
      <c r="D2" s="71"/>
      <c r="E2" s="71"/>
      <c r="F2" s="71"/>
      <c r="G2" s="71"/>
      <c r="H2" s="71"/>
      <c r="I2" s="71"/>
      <c r="J2" s="71"/>
      <c r="K2" s="71"/>
      <c r="L2" s="71"/>
      <c r="M2" s="71"/>
      <c r="N2" s="71"/>
      <c r="O2" s="71"/>
      <c r="P2" s="71"/>
      <c r="Q2" s="71"/>
      <c r="R2" s="72"/>
    </row>
    <row r="3" spans="1:17" ht="12.75">
      <c r="A3" s="70" t="s">
        <v>286</v>
      </c>
      <c r="B3" s="71"/>
      <c r="C3" s="71"/>
      <c r="D3" s="71"/>
      <c r="E3" s="71"/>
      <c r="F3" s="71"/>
      <c r="G3" s="71"/>
      <c r="H3" s="71"/>
      <c r="I3" s="71"/>
      <c r="J3" s="71"/>
      <c r="K3" s="71"/>
      <c r="L3" s="71"/>
      <c r="M3" s="71"/>
      <c r="N3" s="71"/>
      <c r="O3" s="71"/>
      <c r="P3" s="71"/>
      <c r="Q3" s="71"/>
    </row>
    <row r="4" ht="12.75">
      <c r="A4" s="116"/>
    </row>
    <row r="5" ht="12.75">
      <c r="B5" s="74"/>
    </row>
    <row r="6" ht="12.75">
      <c r="B6" s="74"/>
    </row>
    <row r="7" spans="1:18" ht="12.75">
      <c r="A7" s="5"/>
      <c r="B7" s="5"/>
      <c r="C7" s="5"/>
      <c r="D7" s="5"/>
      <c r="E7" s="5"/>
      <c r="F7" s="5"/>
      <c r="G7" s="5"/>
      <c r="K7" s="75"/>
      <c r="M7" s="75"/>
      <c r="O7" s="75"/>
      <c r="P7" s="75"/>
      <c r="Q7" s="75"/>
      <c r="R7" s="76"/>
    </row>
    <row r="8" spans="4:18" ht="12.75">
      <c r="D8" s="235" t="s">
        <v>23</v>
      </c>
      <c r="E8" s="235"/>
      <c r="F8" s="235"/>
      <c r="G8" s="235"/>
      <c r="H8" s="235"/>
      <c r="I8" s="235"/>
      <c r="J8" s="235"/>
      <c r="K8" s="75"/>
      <c r="L8" s="167" t="s">
        <v>218</v>
      </c>
      <c r="M8" s="75"/>
      <c r="N8" s="234" t="s">
        <v>24</v>
      </c>
      <c r="O8" s="234"/>
      <c r="P8" s="234"/>
      <c r="Q8" s="75"/>
      <c r="R8" s="76" t="s">
        <v>130</v>
      </c>
    </row>
    <row r="9" spans="1:18" ht="12.75">
      <c r="A9" s="73" t="s">
        <v>153</v>
      </c>
      <c r="D9" s="75" t="s">
        <v>163</v>
      </c>
      <c r="E9" s="77"/>
      <c r="F9" s="75" t="s">
        <v>163</v>
      </c>
      <c r="G9" s="77"/>
      <c r="H9" s="77" t="s">
        <v>163</v>
      </c>
      <c r="I9" s="77"/>
      <c r="J9" s="75" t="s">
        <v>163</v>
      </c>
      <c r="L9" s="75" t="s">
        <v>163</v>
      </c>
      <c r="N9" s="77" t="s">
        <v>26</v>
      </c>
      <c r="O9" s="77"/>
      <c r="P9" s="77" t="s">
        <v>28</v>
      </c>
      <c r="R9" s="76" t="s">
        <v>148</v>
      </c>
    </row>
    <row r="10" spans="1:18" ht="12.75">
      <c r="A10" s="78" t="s">
        <v>129</v>
      </c>
      <c r="D10" s="75">
        <v>281</v>
      </c>
      <c r="E10" s="77"/>
      <c r="F10" s="76">
        <v>282</v>
      </c>
      <c r="G10" s="77"/>
      <c r="H10" s="75">
        <v>283</v>
      </c>
      <c r="J10" s="75">
        <v>190</v>
      </c>
      <c r="L10" s="75">
        <v>255</v>
      </c>
      <c r="N10" s="75" t="s">
        <v>27</v>
      </c>
      <c r="P10" s="168" t="s">
        <v>29</v>
      </c>
      <c r="Q10" s="76"/>
      <c r="R10" s="168" t="s">
        <v>25</v>
      </c>
    </row>
    <row r="11" spans="1:18" ht="12.75">
      <c r="A11" s="79" t="s">
        <v>133</v>
      </c>
      <c r="B11" s="80" t="s">
        <v>16</v>
      </c>
      <c r="C11" s="81"/>
      <c r="D11" s="32"/>
      <c r="F11" s="32"/>
      <c r="H11" s="32"/>
      <c r="J11" s="32"/>
      <c r="L11" s="32"/>
      <c r="N11" s="32"/>
      <c r="R11" s="32"/>
    </row>
    <row r="12" spans="1:18" ht="12.75">
      <c r="A12" s="82">
        <f aca="true" t="shared" si="0" ref="A12:A75">+A11+1</f>
        <v>2</v>
      </c>
      <c r="C12" s="83" t="s">
        <v>268</v>
      </c>
      <c r="D12" s="27">
        <f aca="true" t="shared" si="1" ref="D12:D24">+D37+D62</f>
        <v>-33412245</v>
      </c>
      <c r="E12" s="28"/>
      <c r="F12" s="27">
        <f aca="true" t="shared" si="2" ref="F12:F24">+F37+F62</f>
        <v>-2270333100</v>
      </c>
      <c r="G12" s="28"/>
      <c r="H12" s="27">
        <f aca="true" t="shared" si="3" ref="H12:Q24">+H37+H62</f>
        <v>-170806731</v>
      </c>
      <c r="I12" s="27">
        <f t="shared" si="3"/>
        <v>0</v>
      </c>
      <c r="J12" s="27">
        <f t="shared" si="3"/>
        <v>694868611</v>
      </c>
      <c r="K12" s="27">
        <f t="shared" si="3"/>
        <v>0</v>
      </c>
      <c r="L12" s="27">
        <f aca="true" t="shared" si="4" ref="L12:L24">+L37+L62</f>
        <v>0</v>
      </c>
      <c r="M12" s="27"/>
      <c r="N12" s="27">
        <f t="shared" si="3"/>
        <v>0</v>
      </c>
      <c r="O12" s="27">
        <f t="shared" si="3"/>
        <v>0</v>
      </c>
      <c r="P12" s="27">
        <f t="shared" si="3"/>
        <v>-12822159.3925997</v>
      </c>
      <c r="Q12" s="27">
        <f t="shared" si="3"/>
        <v>0</v>
      </c>
      <c r="R12" s="27">
        <f>SUM(D12:Q12)</f>
        <v>-1792505624.3925996</v>
      </c>
    </row>
    <row r="13" spans="1:18" ht="12.75">
      <c r="A13" s="82">
        <f t="shared" si="0"/>
        <v>3</v>
      </c>
      <c r="C13" s="83" t="s">
        <v>287</v>
      </c>
      <c r="D13" s="28">
        <f t="shared" si="1"/>
        <v>0</v>
      </c>
      <c r="E13" s="28"/>
      <c r="F13" s="28">
        <f t="shared" si="2"/>
        <v>0</v>
      </c>
      <c r="G13" s="28"/>
      <c r="H13" s="28">
        <f t="shared" si="3"/>
        <v>0</v>
      </c>
      <c r="I13" s="28">
        <f t="shared" si="3"/>
        <v>0</v>
      </c>
      <c r="J13" s="28">
        <f t="shared" si="3"/>
        <v>0</v>
      </c>
      <c r="K13" s="28">
        <f t="shared" si="3"/>
        <v>0</v>
      </c>
      <c r="L13" s="28">
        <f t="shared" si="4"/>
        <v>0</v>
      </c>
      <c r="M13" s="28"/>
      <c r="N13" s="28">
        <f t="shared" si="3"/>
        <v>0</v>
      </c>
      <c r="O13" s="28">
        <f t="shared" si="3"/>
        <v>0</v>
      </c>
      <c r="P13" s="35">
        <f t="shared" si="3"/>
        <v>-13338084.0651443</v>
      </c>
      <c r="Q13" s="28">
        <f t="shared" si="3"/>
        <v>0</v>
      </c>
      <c r="R13" s="35">
        <f aca="true" t="shared" si="5" ref="R13:R24">SUM(D13:Q13)</f>
        <v>-13338084.0651443</v>
      </c>
    </row>
    <row r="14" spans="1:18" ht="12.75">
      <c r="A14" s="82">
        <f t="shared" si="0"/>
        <v>4</v>
      </c>
      <c r="C14" s="83" t="s">
        <v>154</v>
      </c>
      <c r="D14" s="28">
        <f t="shared" si="1"/>
        <v>0</v>
      </c>
      <c r="E14" s="28"/>
      <c r="F14" s="28">
        <f t="shared" si="2"/>
        <v>0</v>
      </c>
      <c r="G14" s="28"/>
      <c r="H14" s="28">
        <f t="shared" si="3"/>
        <v>0</v>
      </c>
      <c r="I14" s="28">
        <f t="shared" si="3"/>
        <v>0</v>
      </c>
      <c r="J14" s="28">
        <f t="shared" si="3"/>
        <v>0</v>
      </c>
      <c r="K14" s="28">
        <f t="shared" si="3"/>
        <v>0</v>
      </c>
      <c r="L14" s="28">
        <f t="shared" si="4"/>
        <v>0</v>
      </c>
      <c r="M14" s="28"/>
      <c r="N14" s="28">
        <f t="shared" si="3"/>
        <v>0</v>
      </c>
      <c r="O14" s="28">
        <f t="shared" si="3"/>
        <v>0</v>
      </c>
      <c r="P14" s="35">
        <f t="shared" si="3"/>
        <v>-14045827.5390471</v>
      </c>
      <c r="Q14" s="28">
        <f t="shared" si="3"/>
        <v>0</v>
      </c>
      <c r="R14" s="35">
        <f t="shared" si="5"/>
        <v>-14045827.5390471</v>
      </c>
    </row>
    <row r="15" spans="1:18" ht="12.75">
      <c r="A15" s="82">
        <f t="shared" si="0"/>
        <v>5</v>
      </c>
      <c r="C15" s="83" t="s">
        <v>155</v>
      </c>
      <c r="D15" s="28">
        <f t="shared" si="1"/>
        <v>0</v>
      </c>
      <c r="E15" s="28"/>
      <c r="F15" s="28">
        <f t="shared" si="2"/>
        <v>0</v>
      </c>
      <c r="G15" s="28"/>
      <c r="H15" s="28">
        <f t="shared" si="3"/>
        <v>0</v>
      </c>
      <c r="I15" s="28">
        <f t="shared" si="3"/>
        <v>0</v>
      </c>
      <c r="J15" s="28">
        <f t="shared" si="3"/>
        <v>0</v>
      </c>
      <c r="K15" s="28">
        <f t="shared" si="3"/>
        <v>0</v>
      </c>
      <c r="L15" s="28">
        <f t="shared" si="4"/>
        <v>0</v>
      </c>
      <c r="M15" s="28"/>
      <c r="N15" s="28">
        <f t="shared" si="3"/>
        <v>0</v>
      </c>
      <c r="O15" s="28">
        <f t="shared" si="3"/>
        <v>0</v>
      </c>
      <c r="P15" s="35">
        <f t="shared" si="3"/>
        <v>-14561426.3060618</v>
      </c>
      <c r="Q15" s="28">
        <f t="shared" si="3"/>
        <v>0</v>
      </c>
      <c r="R15" s="35">
        <f t="shared" si="5"/>
        <v>-14561426.3060618</v>
      </c>
    </row>
    <row r="16" spans="1:18" ht="12.75">
      <c r="A16" s="82">
        <f t="shared" si="0"/>
        <v>6</v>
      </c>
      <c r="C16" s="83" t="s">
        <v>156</v>
      </c>
      <c r="D16" s="28">
        <f t="shared" si="1"/>
        <v>0</v>
      </c>
      <c r="E16" s="28"/>
      <c r="F16" s="28">
        <f t="shared" si="2"/>
        <v>0</v>
      </c>
      <c r="G16" s="28"/>
      <c r="H16" s="28">
        <f t="shared" si="3"/>
        <v>0</v>
      </c>
      <c r="I16" s="28">
        <f t="shared" si="3"/>
        <v>0</v>
      </c>
      <c r="J16" s="28">
        <f t="shared" si="3"/>
        <v>0</v>
      </c>
      <c r="K16" s="28">
        <f t="shared" si="3"/>
        <v>0</v>
      </c>
      <c r="L16" s="28">
        <f t="shared" si="4"/>
        <v>0</v>
      </c>
      <c r="M16" s="28"/>
      <c r="N16" s="28">
        <f t="shared" si="3"/>
        <v>0</v>
      </c>
      <c r="O16" s="28">
        <f t="shared" si="3"/>
        <v>0</v>
      </c>
      <c r="P16" s="35">
        <f t="shared" si="3"/>
        <v>-15110594.5712634</v>
      </c>
      <c r="Q16" s="28">
        <f t="shared" si="3"/>
        <v>0</v>
      </c>
      <c r="R16" s="35">
        <f t="shared" si="5"/>
        <v>-15110594.5712634</v>
      </c>
    </row>
    <row r="17" spans="1:18" ht="12.75">
      <c r="A17" s="82">
        <f t="shared" si="0"/>
        <v>7</v>
      </c>
      <c r="C17" s="83" t="s">
        <v>128</v>
      </c>
      <c r="D17" s="28">
        <f t="shared" si="1"/>
        <v>0</v>
      </c>
      <c r="E17" s="28"/>
      <c r="F17" s="28">
        <f t="shared" si="2"/>
        <v>0</v>
      </c>
      <c r="G17" s="28"/>
      <c r="H17" s="28">
        <f t="shared" si="3"/>
        <v>0</v>
      </c>
      <c r="I17" s="28">
        <f t="shared" si="3"/>
        <v>0</v>
      </c>
      <c r="J17" s="28">
        <f t="shared" si="3"/>
        <v>0</v>
      </c>
      <c r="K17" s="28">
        <f t="shared" si="3"/>
        <v>0</v>
      </c>
      <c r="L17" s="28">
        <f t="shared" si="4"/>
        <v>0</v>
      </c>
      <c r="M17" s="28"/>
      <c r="N17" s="28">
        <f t="shared" si="3"/>
        <v>0</v>
      </c>
      <c r="O17" s="28">
        <f t="shared" si="3"/>
        <v>0</v>
      </c>
      <c r="P17" s="35">
        <f t="shared" si="3"/>
        <v>-15714816.4488423</v>
      </c>
      <c r="Q17" s="28">
        <f t="shared" si="3"/>
        <v>0</v>
      </c>
      <c r="R17" s="35">
        <f t="shared" si="5"/>
        <v>-15714816.4488423</v>
      </c>
    </row>
    <row r="18" spans="1:18" ht="12.75">
      <c r="A18" s="82">
        <f t="shared" si="0"/>
        <v>8</v>
      </c>
      <c r="C18" s="83" t="s">
        <v>157</v>
      </c>
      <c r="D18" s="28">
        <f t="shared" si="1"/>
        <v>0</v>
      </c>
      <c r="E18" s="28"/>
      <c r="F18" s="28">
        <f t="shared" si="2"/>
        <v>0</v>
      </c>
      <c r="G18" s="28"/>
      <c r="H18" s="28">
        <f t="shared" si="3"/>
        <v>0</v>
      </c>
      <c r="I18" s="28">
        <f t="shared" si="3"/>
        <v>0</v>
      </c>
      <c r="J18" s="28">
        <f t="shared" si="3"/>
        <v>0</v>
      </c>
      <c r="K18" s="28">
        <f t="shared" si="3"/>
        <v>0</v>
      </c>
      <c r="L18" s="28">
        <f t="shared" si="4"/>
        <v>0</v>
      </c>
      <c r="M18" s="28"/>
      <c r="N18" s="28">
        <f t="shared" si="3"/>
        <v>0</v>
      </c>
      <c r="O18" s="28">
        <f t="shared" si="3"/>
        <v>0</v>
      </c>
      <c r="P18" s="35">
        <f t="shared" si="3"/>
        <v>-16274817.8358357</v>
      </c>
      <c r="Q18" s="28">
        <f t="shared" si="3"/>
        <v>0</v>
      </c>
      <c r="R18" s="35">
        <f t="shared" si="5"/>
        <v>-16274817.8358357</v>
      </c>
    </row>
    <row r="19" spans="1:18" ht="12.75">
      <c r="A19" s="82">
        <f t="shared" si="0"/>
        <v>9</v>
      </c>
      <c r="C19" s="83" t="s">
        <v>158</v>
      </c>
      <c r="D19" s="28">
        <f t="shared" si="1"/>
        <v>0</v>
      </c>
      <c r="E19" s="28"/>
      <c r="F19" s="28">
        <f t="shared" si="2"/>
        <v>0</v>
      </c>
      <c r="G19" s="28"/>
      <c r="H19" s="28">
        <f t="shared" si="3"/>
        <v>0</v>
      </c>
      <c r="I19" s="28">
        <f t="shared" si="3"/>
        <v>0</v>
      </c>
      <c r="J19" s="28">
        <f t="shared" si="3"/>
        <v>0</v>
      </c>
      <c r="K19" s="28">
        <f t="shared" si="3"/>
        <v>0</v>
      </c>
      <c r="L19" s="28">
        <f t="shared" si="4"/>
        <v>0</v>
      </c>
      <c r="M19" s="28"/>
      <c r="N19" s="28">
        <f t="shared" si="3"/>
        <v>0</v>
      </c>
      <c r="O19" s="28">
        <f t="shared" si="3"/>
        <v>0</v>
      </c>
      <c r="P19" s="35">
        <f t="shared" si="3"/>
        <v>-17037101.4987796</v>
      </c>
      <c r="Q19" s="28">
        <f t="shared" si="3"/>
        <v>0</v>
      </c>
      <c r="R19" s="35">
        <f t="shared" si="5"/>
        <v>-17037101.4987796</v>
      </c>
    </row>
    <row r="20" spans="1:18" ht="12.75">
      <c r="A20" s="82">
        <f t="shared" si="0"/>
        <v>10</v>
      </c>
      <c r="C20" s="83" t="s">
        <v>159</v>
      </c>
      <c r="D20" s="28">
        <f t="shared" si="1"/>
        <v>0</v>
      </c>
      <c r="E20" s="28"/>
      <c r="F20" s="28">
        <f t="shared" si="2"/>
        <v>0</v>
      </c>
      <c r="G20" s="28"/>
      <c r="H20" s="28">
        <f t="shared" si="3"/>
        <v>0</v>
      </c>
      <c r="I20" s="28">
        <f t="shared" si="3"/>
        <v>0</v>
      </c>
      <c r="J20" s="28">
        <f t="shared" si="3"/>
        <v>0</v>
      </c>
      <c r="K20" s="28">
        <f t="shared" si="3"/>
        <v>0</v>
      </c>
      <c r="L20" s="28">
        <f t="shared" si="4"/>
        <v>0</v>
      </c>
      <c r="M20" s="28"/>
      <c r="N20" s="28">
        <f t="shared" si="3"/>
        <v>0</v>
      </c>
      <c r="O20" s="28">
        <f t="shared" si="3"/>
        <v>0</v>
      </c>
      <c r="P20" s="35">
        <f t="shared" si="3"/>
        <v>-17868836.410925</v>
      </c>
      <c r="Q20" s="28">
        <f t="shared" si="3"/>
        <v>0</v>
      </c>
      <c r="R20" s="35">
        <f t="shared" si="5"/>
        <v>-17868836.410925</v>
      </c>
    </row>
    <row r="21" spans="1:18" ht="12.75">
      <c r="A21" s="82">
        <f t="shared" si="0"/>
        <v>11</v>
      </c>
      <c r="C21" s="83" t="s">
        <v>160</v>
      </c>
      <c r="D21" s="28">
        <f t="shared" si="1"/>
        <v>0</v>
      </c>
      <c r="E21" s="28"/>
      <c r="F21" s="28">
        <f t="shared" si="2"/>
        <v>0</v>
      </c>
      <c r="G21" s="28"/>
      <c r="H21" s="28">
        <f t="shared" si="3"/>
        <v>0</v>
      </c>
      <c r="I21" s="28">
        <f t="shared" si="3"/>
        <v>0</v>
      </c>
      <c r="J21" s="28">
        <f t="shared" si="3"/>
        <v>0</v>
      </c>
      <c r="K21" s="28">
        <f t="shared" si="3"/>
        <v>0</v>
      </c>
      <c r="L21" s="28">
        <f t="shared" si="4"/>
        <v>0</v>
      </c>
      <c r="M21" s="28"/>
      <c r="N21" s="28">
        <f t="shared" si="3"/>
        <v>0</v>
      </c>
      <c r="O21" s="28">
        <f t="shared" si="3"/>
        <v>0</v>
      </c>
      <c r="P21" s="35">
        <f t="shared" si="3"/>
        <v>-18710754.7255783</v>
      </c>
      <c r="Q21" s="28">
        <f t="shared" si="3"/>
        <v>0</v>
      </c>
      <c r="R21" s="35">
        <f t="shared" si="5"/>
        <v>-18710754.7255783</v>
      </c>
    </row>
    <row r="22" spans="1:18" ht="12.75">
      <c r="A22" s="82">
        <f t="shared" si="0"/>
        <v>12</v>
      </c>
      <c r="C22" s="83" t="s">
        <v>161</v>
      </c>
      <c r="D22" s="28">
        <f t="shared" si="1"/>
        <v>0</v>
      </c>
      <c r="E22" s="28"/>
      <c r="F22" s="28">
        <f t="shared" si="2"/>
        <v>0</v>
      </c>
      <c r="G22" s="28"/>
      <c r="H22" s="28">
        <f t="shared" si="3"/>
        <v>0</v>
      </c>
      <c r="I22" s="28">
        <f t="shared" si="3"/>
        <v>0</v>
      </c>
      <c r="J22" s="28">
        <f t="shared" si="3"/>
        <v>0</v>
      </c>
      <c r="K22" s="28">
        <f t="shared" si="3"/>
        <v>0</v>
      </c>
      <c r="L22" s="28">
        <f t="shared" si="4"/>
        <v>0</v>
      </c>
      <c r="M22" s="28"/>
      <c r="N22" s="28">
        <f t="shared" si="3"/>
        <v>0</v>
      </c>
      <c r="O22" s="28">
        <f t="shared" si="3"/>
        <v>0</v>
      </c>
      <c r="P22" s="35">
        <f t="shared" si="3"/>
        <v>-19563261.406482</v>
      </c>
      <c r="Q22" s="28">
        <f t="shared" si="3"/>
        <v>0</v>
      </c>
      <c r="R22" s="35">
        <f t="shared" si="5"/>
        <v>-19563261.406482</v>
      </c>
    </row>
    <row r="23" spans="1:18" ht="12.75">
      <c r="A23" s="82">
        <f t="shared" si="0"/>
        <v>13</v>
      </c>
      <c r="C23" s="83" t="s">
        <v>162</v>
      </c>
      <c r="D23" s="28">
        <f t="shared" si="1"/>
        <v>0</v>
      </c>
      <c r="E23" s="28"/>
      <c r="F23" s="28">
        <f t="shared" si="2"/>
        <v>0</v>
      </c>
      <c r="G23" s="28"/>
      <c r="H23" s="28">
        <f t="shared" si="3"/>
        <v>0</v>
      </c>
      <c r="I23" s="28">
        <f t="shared" si="3"/>
        <v>0</v>
      </c>
      <c r="J23" s="28">
        <f t="shared" si="3"/>
        <v>0</v>
      </c>
      <c r="K23" s="28">
        <f t="shared" si="3"/>
        <v>0</v>
      </c>
      <c r="L23" s="28">
        <f t="shared" si="4"/>
        <v>0</v>
      </c>
      <c r="M23" s="28"/>
      <c r="N23" s="28">
        <f t="shared" si="3"/>
        <v>0</v>
      </c>
      <c r="O23" s="28">
        <f t="shared" si="3"/>
        <v>0</v>
      </c>
      <c r="P23" s="35">
        <f t="shared" si="3"/>
        <v>-20537101.684899</v>
      </c>
      <c r="Q23" s="28">
        <f t="shared" si="3"/>
        <v>0</v>
      </c>
      <c r="R23" s="35">
        <f t="shared" si="5"/>
        <v>-20537101.684899</v>
      </c>
    </row>
    <row r="24" spans="1:18" ht="12.75">
      <c r="A24" s="82">
        <f t="shared" si="0"/>
        <v>14</v>
      </c>
      <c r="C24" s="83" t="s">
        <v>187</v>
      </c>
      <c r="D24" s="27">
        <f t="shared" si="1"/>
        <v>-37839199</v>
      </c>
      <c r="E24" s="28"/>
      <c r="F24" s="27">
        <f t="shared" si="2"/>
        <v>-2470157110</v>
      </c>
      <c r="G24" s="28"/>
      <c r="H24" s="27">
        <f t="shared" si="3"/>
        <v>-207545688</v>
      </c>
      <c r="I24" s="27">
        <f t="shared" si="3"/>
        <v>0</v>
      </c>
      <c r="J24" s="27">
        <f t="shared" si="3"/>
        <v>636388862</v>
      </c>
      <c r="K24" s="28">
        <f t="shared" si="3"/>
        <v>0</v>
      </c>
      <c r="L24" s="27">
        <f t="shared" si="4"/>
        <v>0</v>
      </c>
      <c r="M24" s="28"/>
      <c r="N24" s="28">
        <f t="shared" si="3"/>
        <v>0</v>
      </c>
      <c r="O24" s="28">
        <f t="shared" si="3"/>
        <v>0</v>
      </c>
      <c r="P24" s="35">
        <f t="shared" si="3"/>
        <v>-21634682.9946868</v>
      </c>
      <c r="Q24" s="28">
        <f t="shared" si="3"/>
        <v>0</v>
      </c>
      <c r="R24" s="27">
        <f t="shared" si="5"/>
        <v>-2100787817.9946868</v>
      </c>
    </row>
    <row r="25" spans="1:18" ht="12.75">
      <c r="A25" s="82">
        <f t="shared" si="0"/>
        <v>15</v>
      </c>
      <c r="C25" s="83"/>
      <c r="D25" s="31"/>
      <c r="E25" s="19"/>
      <c r="F25" s="31"/>
      <c r="H25" s="31"/>
      <c r="J25" s="31"/>
      <c r="K25" s="19"/>
      <c r="L25" s="31"/>
      <c r="M25" s="19"/>
      <c r="N25" s="31"/>
      <c r="O25" s="19"/>
      <c r="P25" s="169"/>
      <c r="Q25" s="105"/>
      <c r="R25" s="31"/>
    </row>
    <row r="26" spans="1:18" ht="12.75">
      <c r="A26" s="82">
        <f t="shared" si="0"/>
        <v>16</v>
      </c>
      <c r="C26" s="84" t="s">
        <v>193</v>
      </c>
      <c r="D26" s="37">
        <f>SUM(D12:D24)/2</f>
        <v>-35625722</v>
      </c>
      <c r="E26" s="163"/>
      <c r="F26" s="37">
        <f>SUM(F12:F24)/2</f>
        <v>-2370245105</v>
      </c>
      <c r="G26" s="28"/>
      <c r="H26" s="37">
        <f>SUM(H12:H24)/2</f>
        <v>-189176209.5</v>
      </c>
      <c r="I26" s="170"/>
      <c r="J26" s="37">
        <f>SUM(J12:J24)/2</f>
        <v>665628736.5</v>
      </c>
      <c r="K26" s="171"/>
      <c r="L26" s="37">
        <f>SUM(L12:L24)/2</f>
        <v>0</v>
      </c>
      <c r="M26" s="171"/>
      <c r="N26" s="37">
        <f>SUM(N12:N24)/2</f>
        <v>0</v>
      </c>
      <c r="O26" s="165"/>
      <c r="P26" s="37">
        <f>SUM(P12:P24)/13</f>
        <v>-16709189.606165003</v>
      </c>
      <c r="Q26" s="108"/>
      <c r="R26" s="37">
        <f>SUM(D26:P26)</f>
        <v>-1946127489.606165</v>
      </c>
    </row>
    <row r="27" spans="1:18" ht="12.75">
      <c r="A27" s="82">
        <f t="shared" si="0"/>
        <v>17</v>
      </c>
      <c r="C27" s="84" t="s">
        <v>34</v>
      </c>
      <c r="D27" s="28">
        <f aca="true" t="shared" si="6" ref="D27:F28">+D52+D77</f>
        <v>0</v>
      </c>
      <c r="E27" s="163"/>
      <c r="F27" s="28">
        <v>0</v>
      </c>
      <c r="G27" s="28"/>
      <c r="H27" s="28">
        <f>+H52+H77</f>
        <v>0</v>
      </c>
      <c r="I27" s="170"/>
      <c r="J27" s="28">
        <f>+J52+J77</f>
        <v>31560819.5</v>
      </c>
      <c r="K27" s="171"/>
      <c r="L27" s="28">
        <v>0</v>
      </c>
      <c r="M27" s="171"/>
      <c r="N27" s="28">
        <f>+N52+N77</f>
        <v>0</v>
      </c>
      <c r="O27" s="165"/>
      <c r="P27" s="28">
        <f>+P52+P77</f>
        <v>0</v>
      </c>
      <c r="Q27" s="108"/>
      <c r="R27" s="28">
        <f>+R52+R77</f>
        <v>31560819.5</v>
      </c>
    </row>
    <row r="28" spans="1:18" ht="12.75">
      <c r="A28" s="82">
        <f t="shared" si="0"/>
        <v>18</v>
      </c>
      <c r="C28" s="84" t="s">
        <v>35</v>
      </c>
      <c r="D28" s="38">
        <f t="shared" si="6"/>
        <v>0</v>
      </c>
      <c r="E28" s="163"/>
      <c r="F28" s="39">
        <f t="shared" si="6"/>
        <v>-145128304</v>
      </c>
      <c r="G28" s="28"/>
      <c r="H28" s="39">
        <f>+H53+H78</f>
        <v>-3052532.5</v>
      </c>
      <c r="I28" s="170"/>
      <c r="J28" s="38">
        <f>+J53+J78</f>
        <v>32301772.5</v>
      </c>
      <c r="K28" s="171"/>
      <c r="L28" s="38">
        <v>0</v>
      </c>
      <c r="M28" s="171"/>
      <c r="N28" s="38">
        <f>+N53+N78</f>
        <v>0</v>
      </c>
      <c r="O28" s="165"/>
      <c r="P28" s="38">
        <f>+P53+P78</f>
        <v>0</v>
      </c>
      <c r="Q28" s="108"/>
      <c r="R28" s="39">
        <f>+R53+R78</f>
        <v>-115879064</v>
      </c>
    </row>
    <row r="29" spans="1:18" ht="12.75">
      <c r="A29" s="82">
        <f t="shared" si="0"/>
        <v>19</v>
      </c>
      <c r="C29" s="84"/>
      <c r="D29" s="37"/>
      <c r="E29" s="163"/>
      <c r="F29" s="37"/>
      <c r="G29" s="28"/>
      <c r="H29" s="37"/>
      <c r="I29" s="170"/>
      <c r="J29" s="37"/>
      <c r="K29" s="171"/>
      <c r="L29" s="37"/>
      <c r="M29" s="171"/>
      <c r="N29" s="37"/>
      <c r="O29" s="165"/>
      <c r="P29" s="37"/>
      <c r="Q29" s="108"/>
      <c r="R29" s="37"/>
    </row>
    <row r="30" spans="1:18" ht="13.5" thickBot="1">
      <c r="A30" s="82">
        <f t="shared" si="0"/>
        <v>20</v>
      </c>
      <c r="C30" s="84" t="s">
        <v>194</v>
      </c>
      <c r="D30" s="33">
        <f>+D26-D27-D28</f>
        <v>-35625722</v>
      </c>
      <c r="E30" s="163"/>
      <c r="F30" s="33">
        <f>+F26-F27-F28</f>
        <v>-2225116801</v>
      </c>
      <c r="G30" s="28"/>
      <c r="H30" s="33">
        <f>+H26-H27-H28</f>
        <v>-186123677</v>
      </c>
      <c r="I30" s="170"/>
      <c r="J30" s="33">
        <f>+J26-J27-J28</f>
        <v>601766144.5</v>
      </c>
      <c r="K30" s="171"/>
      <c r="L30" s="33">
        <f>+L26-L27-L28</f>
        <v>0</v>
      </c>
      <c r="M30" s="171"/>
      <c r="N30" s="33">
        <f>+N26-N27-N28</f>
        <v>0</v>
      </c>
      <c r="O30" s="165"/>
      <c r="P30" s="33">
        <f>+P26-P27-P28</f>
        <v>-16709189.606165003</v>
      </c>
      <c r="Q30" s="108"/>
      <c r="R30" s="33">
        <f>+R26-R27-R28</f>
        <v>-1861809245.106165</v>
      </c>
    </row>
    <row r="31" spans="1:18" ht="13.5" thickTop="1">
      <c r="A31" s="82">
        <f t="shared" si="0"/>
        <v>21</v>
      </c>
      <c r="D31" s="19"/>
      <c r="E31" s="19"/>
      <c r="F31" s="19"/>
      <c r="H31" s="19"/>
      <c r="J31" s="19"/>
      <c r="K31" s="19"/>
      <c r="L31" s="19"/>
      <c r="M31" s="19"/>
      <c r="N31" s="19"/>
      <c r="O31" s="19"/>
      <c r="P31" s="19"/>
      <c r="Q31" s="19"/>
      <c r="R31" s="19"/>
    </row>
    <row r="32" spans="1:18" ht="12.75">
      <c r="A32" s="82">
        <f t="shared" si="0"/>
        <v>22</v>
      </c>
      <c r="D32" s="5"/>
      <c r="E32" s="5"/>
      <c r="F32" s="5"/>
      <c r="G32" s="5"/>
      <c r="K32" s="75"/>
      <c r="M32" s="75"/>
      <c r="O32" s="75"/>
      <c r="P32" s="75"/>
      <c r="Q32" s="75"/>
      <c r="R32" s="76"/>
    </row>
    <row r="33" spans="1:18" ht="12.75">
      <c r="A33" s="82">
        <f t="shared" si="0"/>
        <v>23</v>
      </c>
      <c r="D33" s="235" t="s">
        <v>23</v>
      </c>
      <c r="E33" s="235"/>
      <c r="F33" s="235"/>
      <c r="G33" s="235"/>
      <c r="H33" s="235"/>
      <c r="I33" s="235"/>
      <c r="J33" s="235"/>
      <c r="K33" s="75"/>
      <c r="L33" s="167" t="s">
        <v>218</v>
      </c>
      <c r="M33" s="75"/>
      <c r="N33" s="234" t="s">
        <v>24</v>
      </c>
      <c r="O33" s="234"/>
      <c r="P33" s="234"/>
      <c r="Q33" s="75"/>
      <c r="R33" s="76" t="s">
        <v>130</v>
      </c>
    </row>
    <row r="34" spans="1:18" ht="13.5" customHeight="1">
      <c r="A34" s="82">
        <f t="shared" si="0"/>
        <v>24</v>
      </c>
      <c r="D34" s="75" t="s">
        <v>163</v>
      </c>
      <c r="E34" s="77"/>
      <c r="F34" s="75" t="s">
        <v>163</v>
      </c>
      <c r="G34" s="77"/>
      <c r="H34" s="77" t="s">
        <v>163</v>
      </c>
      <c r="I34" s="77"/>
      <c r="J34" s="75" t="s">
        <v>163</v>
      </c>
      <c r="L34" s="75" t="s">
        <v>163</v>
      </c>
      <c r="N34" s="77" t="s">
        <v>26</v>
      </c>
      <c r="O34" s="77"/>
      <c r="P34" s="77" t="s">
        <v>28</v>
      </c>
      <c r="R34" s="76" t="s">
        <v>148</v>
      </c>
    </row>
    <row r="35" spans="1:18" ht="12.75">
      <c r="A35" s="82">
        <f t="shared" si="0"/>
        <v>25</v>
      </c>
      <c r="C35" s="5"/>
      <c r="D35" s="75">
        <v>281</v>
      </c>
      <c r="E35" s="77"/>
      <c r="F35" s="76">
        <v>282</v>
      </c>
      <c r="G35" s="77"/>
      <c r="H35" s="75">
        <v>283</v>
      </c>
      <c r="J35" s="75">
        <v>190</v>
      </c>
      <c r="L35" s="75">
        <v>255</v>
      </c>
      <c r="N35" s="75" t="s">
        <v>27</v>
      </c>
      <c r="P35" s="168" t="s">
        <v>241</v>
      </c>
      <c r="Q35" s="76"/>
      <c r="R35" s="168" t="s">
        <v>25</v>
      </c>
    </row>
    <row r="36" spans="1:18" ht="12.75">
      <c r="A36" s="82">
        <f t="shared" si="0"/>
        <v>26</v>
      </c>
      <c r="B36" s="80" t="s">
        <v>18</v>
      </c>
      <c r="C36" s="81"/>
      <c r="D36" s="32"/>
      <c r="F36" s="32"/>
      <c r="H36" s="32"/>
      <c r="J36" s="32"/>
      <c r="L36" s="32"/>
      <c r="N36" s="32"/>
      <c r="R36" s="32"/>
    </row>
    <row r="37" spans="1:18" ht="12.75">
      <c r="A37" s="82">
        <f t="shared" si="0"/>
        <v>27</v>
      </c>
      <c r="C37" s="83" t="s">
        <v>268</v>
      </c>
      <c r="D37" s="27">
        <v>-32705819</v>
      </c>
      <c r="E37" s="28"/>
      <c r="F37" s="27">
        <v>-2024149916</v>
      </c>
      <c r="G37" s="28"/>
      <c r="H37" s="27">
        <v>-132848352</v>
      </c>
      <c r="I37" s="28"/>
      <c r="J37" s="27">
        <v>627808274</v>
      </c>
      <c r="K37" s="28"/>
      <c r="L37" s="27">
        <f>-36069010+36069010</f>
        <v>0</v>
      </c>
      <c r="M37" s="28"/>
      <c r="N37" s="27">
        <v>0</v>
      </c>
      <c r="O37" s="19"/>
      <c r="P37" s="216">
        <v>-12822159.3925997</v>
      </c>
      <c r="Q37" s="27"/>
      <c r="R37" s="27">
        <f>SUM(D37:Q37)</f>
        <v>-1574717972.3925996</v>
      </c>
    </row>
    <row r="38" spans="1:18" ht="12.75">
      <c r="A38" s="82">
        <f t="shared" si="0"/>
        <v>28</v>
      </c>
      <c r="C38" s="83" t="s">
        <v>287</v>
      </c>
      <c r="D38" s="28"/>
      <c r="E38" s="28"/>
      <c r="F38" s="28"/>
      <c r="G38" s="28"/>
      <c r="H38" s="28"/>
      <c r="I38" s="28"/>
      <c r="J38" s="28"/>
      <c r="K38" s="28"/>
      <c r="L38" s="28"/>
      <c r="M38" s="28"/>
      <c r="N38" s="28"/>
      <c r="O38" s="19"/>
      <c r="P38" s="216">
        <v>-13338084.0651443</v>
      </c>
      <c r="Q38" s="105"/>
      <c r="R38" s="27">
        <f aca="true" t="shared" si="7" ref="R38:R49">SUM(D38:Q38)</f>
        <v>-13338084.0651443</v>
      </c>
    </row>
    <row r="39" spans="1:18" ht="12.75">
      <c r="A39" s="82">
        <f t="shared" si="0"/>
        <v>29</v>
      </c>
      <c r="C39" s="83" t="s">
        <v>154</v>
      </c>
      <c r="D39" s="28"/>
      <c r="E39" s="28"/>
      <c r="F39" s="28"/>
      <c r="G39" s="28"/>
      <c r="H39" s="28"/>
      <c r="I39" s="28"/>
      <c r="J39" s="28"/>
      <c r="K39" s="28"/>
      <c r="L39" s="28"/>
      <c r="M39" s="28"/>
      <c r="N39" s="28"/>
      <c r="O39" s="19"/>
      <c r="P39" s="216">
        <v>-14045827.5390471</v>
      </c>
      <c r="Q39" s="105"/>
      <c r="R39" s="27">
        <f t="shared" si="7"/>
        <v>-14045827.5390471</v>
      </c>
    </row>
    <row r="40" spans="1:18" ht="12.75">
      <c r="A40" s="82">
        <f t="shared" si="0"/>
        <v>30</v>
      </c>
      <c r="C40" s="83" t="s">
        <v>155</v>
      </c>
      <c r="D40" s="28"/>
      <c r="E40" s="28"/>
      <c r="F40" s="28"/>
      <c r="G40" s="28"/>
      <c r="H40" s="28"/>
      <c r="I40" s="28"/>
      <c r="J40" s="28"/>
      <c r="K40" s="28"/>
      <c r="L40" s="28"/>
      <c r="M40" s="28"/>
      <c r="N40" s="28"/>
      <c r="O40" s="19"/>
      <c r="P40" s="216">
        <v>-14561426.3060618</v>
      </c>
      <c r="Q40" s="105"/>
      <c r="R40" s="27">
        <f t="shared" si="7"/>
        <v>-14561426.3060618</v>
      </c>
    </row>
    <row r="41" spans="1:18" ht="12.75">
      <c r="A41" s="82">
        <f t="shared" si="0"/>
        <v>31</v>
      </c>
      <c r="C41" s="83" t="s">
        <v>156</v>
      </c>
      <c r="D41" s="28"/>
      <c r="E41" s="28"/>
      <c r="F41" s="28"/>
      <c r="G41" s="28"/>
      <c r="H41" s="28"/>
      <c r="I41" s="28"/>
      <c r="J41" s="28"/>
      <c r="K41" s="28"/>
      <c r="L41" s="28"/>
      <c r="M41" s="28"/>
      <c r="N41" s="28"/>
      <c r="O41" s="19"/>
      <c r="P41" s="216">
        <v>-15110594.5712634</v>
      </c>
      <c r="Q41" s="105"/>
      <c r="R41" s="27">
        <f t="shared" si="7"/>
        <v>-15110594.5712634</v>
      </c>
    </row>
    <row r="42" spans="1:18" ht="12.75">
      <c r="A42" s="82">
        <f t="shared" si="0"/>
        <v>32</v>
      </c>
      <c r="C42" s="83" t="s">
        <v>128</v>
      </c>
      <c r="D42" s="28"/>
      <c r="E42" s="28"/>
      <c r="F42" s="28"/>
      <c r="G42" s="28"/>
      <c r="H42" s="28"/>
      <c r="I42" s="28"/>
      <c r="J42" s="28"/>
      <c r="K42" s="28"/>
      <c r="L42" s="28"/>
      <c r="M42" s="28"/>
      <c r="N42" s="28"/>
      <c r="O42" s="19"/>
      <c r="P42" s="216">
        <v>-15714816.4488423</v>
      </c>
      <c r="Q42" s="105"/>
      <c r="R42" s="27">
        <f t="shared" si="7"/>
        <v>-15714816.4488423</v>
      </c>
    </row>
    <row r="43" spans="1:18" ht="12.75">
      <c r="A43" s="82">
        <f t="shared" si="0"/>
        <v>33</v>
      </c>
      <c r="C43" s="83" t="s">
        <v>157</v>
      </c>
      <c r="D43" s="28"/>
      <c r="E43" s="28"/>
      <c r="F43" s="28"/>
      <c r="G43" s="28"/>
      <c r="H43" s="28"/>
      <c r="I43" s="28"/>
      <c r="J43" s="28"/>
      <c r="K43" s="28"/>
      <c r="L43" s="28"/>
      <c r="M43" s="28"/>
      <c r="N43" s="28"/>
      <c r="O43" s="19"/>
      <c r="P43" s="216">
        <v>-16274817.8358357</v>
      </c>
      <c r="Q43" s="105"/>
      <c r="R43" s="27">
        <f t="shared" si="7"/>
        <v>-16274817.8358357</v>
      </c>
    </row>
    <row r="44" spans="1:18" ht="12.75">
      <c r="A44" s="82">
        <f t="shared" si="0"/>
        <v>34</v>
      </c>
      <c r="C44" s="83" t="s">
        <v>158</v>
      </c>
      <c r="D44" s="28"/>
      <c r="E44" s="28"/>
      <c r="F44" s="28"/>
      <c r="G44" s="28"/>
      <c r="H44" s="28"/>
      <c r="I44" s="28"/>
      <c r="J44" s="28"/>
      <c r="K44" s="28"/>
      <c r="L44" s="28"/>
      <c r="M44" s="28"/>
      <c r="N44" s="28"/>
      <c r="O44" s="19"/>
      <c r="P44" s="216">
        <v>-17037101.4987796</v>
      </c>
      <c r="Q44" s="105"/>
      <c r="R44" s="27">
        <f t="shared" si="7"/>
        <v>-17037101.4987796</v>
      </c>
    </row>
    <row r="45" spans="1:18" ht="12.75">
      <c r="A45" s="82">
        <f t="shared" si="0"/>
        <v>35</v>
      </c>
      <c r="C45" s="83" t="s">
        <v>159</v>
      </c>
      <c r="D45" s="28"/>
      <c r="E45" s="28"/>
      <c r="F45" s="28"/>
      <c r="G45" s="28"/>
      <c r="H45" s="28"/>
      <c r="I45" s="28"/>
      <c r="J45" s="28"/>
      <c r="K45" s="28"/>
      <c r="L45" s="28"/>
      <c r="M45" s="28"/>
      <c r="N45" s="28"/>
      <c r="O45" s="19"/>
      <c r="P45" s="216">
        <v>-17868836.410925</v>
      </c>
      <c r="Q45" s="105"/>
      <c r="R45" s="27">
        <f t="shared" si="7"/>
        <v>-17868836.410925</v>
      </c>
    </row>
    <row r="46" spans="1:18" ht="12.75">
      <c r="A46" s="82">
        <f t="shared" si="0"/>
        <v>36</v>
      </c>
      <c r="C46" s="83" t="s">
        <v>160</v>
      </c>
      <c r="D46" s="28"/>
      <c r="E46" s="28"/>
      <c r="F46" s="28"/>
      <c r="G46" s="28"/>
      <c r="H46" s="28"/>
      <c r="I46" s="28"/>
      <c r="J46" s="28"/>
      <c r="K46" s="28"/>
      <c r="L46" s="28"/>
      <c r="M46" s="28"/>
      <c r="N46" s="28"/>
      <c r="O46" s="19"/>
      <c r="P46" s="216">
        <v>-18710754.7255783</v>
      </c>
      <c r="Q46" s="105"/>
      <c r="R46" s="27">
        <f t="shared" si="7"/>
        <v>-18710754.7255783</v>
      </c>
    </row>
    <row r="47" spans="1:18" ht="12.75">
      <c r="A47" s="82">
        <f t="shared" si="0"/>
        <v>37</v>
      </c>
      <c r="C47" s="83" t="s">
        <v>161</v>
      </c>
      <c r="D47" s="28"/>
      <c r="E47" s="28"/>
      <c r="F47" s="28"/>
      <c r="G47" s="28"/>
      <c r="H47" s="28"/>
      <c r="I47" s="28"/>
      <c r="J47" s="28"/>
      <c r="K47" s="28"/>
      <c r="L47" s="28"/>
      <c r="M47" s="28"/>
      <c r="N47" s="28"/>
      <c r="O47" s="19"/>
      <c r="P47" s="216">
        <v>-19563261.406482</v>
      </c>
      <c r="Q47" s="105"/>
      <c r="R47" s="27">
        <f t="shared" si="7"/>
        <v>-19563261.406482</v>
      </c>
    </row>
    <row r="48" spans="1:18" ht="12.75">
      <c r="A48" s="82">
        <f t="shared" si="0"/>
        <v>38</v>
      </c>
      <c r="C48" s="83" t="s">
        <v>162</v>
      </c>
      <c r="D48" s="28"/>
      <c r="E48" s="28"/>
      <c r="F48" s="28"/>
      <c r="G48" s="28"/>
      <c r="H48" s="28"/>
      <c r="I48" s="28"/>
      <c r="J48" s="28"/>
      <c r="K48" s="28"/>
      <c r="L48" s="28"/>
      <c r="M48" s="28"/>
      <c r="N48" s="28"/>
      <c r="O48" s="19"/>
      <c r="P48" s="216">
        <v>-20537101.684899</v>
      </c>
      <c r="Q48" s="105"/>
      <c r="R48" s="27">
        <f t="shared" si="7"/>
        <v>-20537101.684899</v>
      </c>
    </row>
    <row r="49" spans="1:18" ht="12.75">
      <c r="A49" s="82">
        <f t="shared" si="0"/>
        <v>39</v>
      </c>
      <c r="C49" s="83" t="s">
        <v>187</v>
      </c>
      <c r="D49" s="27">
        <v>-37047572</v>
      </c>
      <c r="E49" s="28"/>
      <c r="F49" s="27">
        <v>-2200048449</v>
      </c>
      <c r="G49" s="28"/>
      <c r="H49" s="27">
        <v>-171537370</v>
      </c>
      <c r="I49" s="28"/>
      <c r="J49" s="27">
        <v>572433387</v>
      </c>
      <c r="K49" s="28"/>
      <c r="L49" s="27">
        <f>-36069010+36069010</f>
        <v>0</v>
      </c>
      <c r="M49" s="28"/>
      <c r="N49" s="27">
        <v>0</v>
      </c>
      <c r="O49" s="19"/>
      <c r="P49" s="216">
        <v>-21634682.9946868</v>
      </c>
      <c r="Q49" s="105"/>
      <c r="R49" s="27">
        <f t="shared" si="7"/>
        <v>-1857834686.9946868</v>
      </c>
    </row>
    <row r="50" spans="1:18" ht="12.75">
      <c r="A50" s="82">
        <f t="shared" si="0"/>
        <v>40</v>
      </c>
      <c r="C50" s="83"/>
      <c r="D50" s="31"/>
      <c r="E50" s="19"/>
      <c r="F50" s="31"/>
      <c r="H50" s="31"/>
      <c r="J50" s="31"/>
      <c r="K50" s="19"/>
      <c r="L50" s="31"/>
      <c r="M50" s="19"/>
      <c r="N50" s="31"/>
      <c r="O50" s="19"/>
      <c r="P50" s="169"/>
      <c r="Q50" s="105"/>
      <c r="R50" s="31"/>
    </row>
    <row r="51" spans="1:18" ht="12.75">
      <c r="A51" s="82">
        <f t="shared" si="0"/>
        <v>41</v>
      </c>
      <c r="C51" s="84" t="s">
        <v>193</v>
      </c>
      <c r="D51" s="37">
        <f>SUM(D37:D49)/2</f>
        <v>-34876695.5</v>
      </c>
      <c r="E51" s="163"/>
      <c r="F51" s="37">
        <f>SUM(F37:F49)/2</f>
        <v>-2112099182.5</v>
      </c>
      <c r="G51" s="28"/>
      <c r="H51" s="37">
        <f>SUM(H37:H49)/2</f>
        <v>-152192861</v>
      </c>
      <c r="I51" s="170"/>
      <c r="J51" s="37">
        <f>SUM(J37:J49)/2</f>
        <v>600120830.5</v>
      </c>
      <c r="K51" s="171"/>
      <c r="L51" s="37">
        <f>SUM(L37:L49)/2</f>
        <v>0</v>
      </c>
      <c r="M51" s="171"/>
      <c r="N51" s="37">
        <f>SUM(N37:N49)/2</f>
        <v>0</v>
      </c>
      <c r="O51" s="165"/>
      <c r="P51" s="37">
        <f>SUM(P37:P49)/13</f>
        <v>-16709189.606165003</v>
      </c>
      <c r="Q51" s="108"/>
      <c r="R51" s="37">
        <f>SUM(D51:P51)</f>
        <v>-1715757098.106165</v>
      </c>
    </row>
    <row r="52" spans="1:18" ht="12.75">
      <c r="A52" s="82">
        <f t="shared" si="0"/>
        <v>42</v>
      </c>
      <c r="C52" s="84" t="s">
        <v>34</v>
      </c>
      <c r="D52" s="28">
        <v>0</v>
      </c>
      <c r="E52" s="163"/>
      <c r="F52" s="28">
        <v>0</v>
      </c>
      <c r="G52" s="28"/>
      <c r="H52" s="28">
        <v>0</v>
      </c>
      <c r="I52" s="170"/>
      <c r="J52" s="28">
        <f>(28450909+28585348)/2</f>
        <v>28518128.5</v>
      </c>
      <c r="K52" s="171"/>
      <c r="L52" s="35">
        <v>0</v>
      </c>
      <c r="M52" s="171"/>
      <c r="N52" s="28">
        <v>0</v>
      </c>
      <c r="O52" s="165"/>
      <c r="P52" s="28">
        <v>0</v>
      </c>
      <c r="Q52" s="108"/>
      <c r="R52" s="28">
        <f>SUM(D52:P52)</f>
        <v>28518128.5</v>
      </c>
    </row>
    <row r="53" spans="1:18" ht="12.75">
      <c r="A53" s="82">
        <f t="shared" si="0"/>
        <v>43</v>
      </c>
      <c r="C53" s="84" t="s">
        <v>35</v>
      </c>
      <c r="D53" s="38">
        <v>0</v>
      </c>
      <c r="E53" s="19"/>
      <c r="F53" s="39">
        <f>(-177541585+24993223-160699880+30378476)/2</f>
        <v>-141434883</v>
      </c>
      <c r="G53" s="64"/>
      <c r="H53" s="39">
        <f>(-2964298-3140767)/2</f>
        <v>-3052532.5</v>
      </c>
      <c r="I53" s="71"/>
      <c r="J53" s="38">
        <f>(280078+20941911-783349+21705553)/2</f>
        <v>21072096.5</v>
      </c>
      <c r="K53" s="172"/>
      <c r="L53" s="38">
        <v>0</v>
      </c>
      <c r="M53" s="172"/>
      <c r="N53" s="38">
        <v>0</v>
      </c>
      <c r="O53" s="27"/>
      <c r="P53" s="38">
        <v>0</v>
      </c>
      <c r="Q53" s="108"/>
      <c r="R53" s="39">
        <f>SUM(D53:P53)</f>
        <v>-123415319</v>
      </c>
    </row>
    <row r="54" spans="1:18" ht="12.75">
      <c r="A54" s="82">
        <f t="shared" si="0"/>
        <v>44</v>
      </c>
      <c r="C54" s="84"/>
      <c r="D54" s="37"/>
      <c r="E54" s="19"/>
      <c r="F54" s="37"/>
      <c r="H54" s="37"/>
      <c r="I54" s="71"/>
      <c r="J54" s="37"/>
      <c r="K54" s="172"/>
      <c r="L54" s="37"/>
      <c r="M54" s="172"/>
      <c r="N54" s="37"/>
      <c r="O54" s="27"/>
      <c r="P54" s="37"/>
      <c r="Q54" s="108"/>
      <c r="R54" s="37"/>
    </row>
    <row r="55" spans="1:18" ht="13.5" thickBot="1">
      <c r="A55" s="82">
        <f t="shared" si="0"/>
        <v>45</v>
      </c>
      <c r="C55" s="84" t="s">
        <v>194</v>
      </c>
      <c r="D55" s="33">
        <f>+D51-D52-D53</f>
        <v>-34876695.5</v>
      </c>
      <c r="E55" s="27"/>
      <c r="F55" s="33">
        <f>+F51-F52-F53</f>
        <v>-1970664299.5</v>
      </c>
      <c r="G55" s="173"/>
      <c r="H55" s="33">
        <f>+H51-H52-H53</f>
        <v>-149140328.5</v>
      </c>
      <c r="I55" s="174"/>
      <c r="J55" s="33">
        <f>+J51-J52-J53</f>
        <v>550530605.5</v>
      </c>
      <c r="K55" s="175"/>
      <c r="L55" s="33">
        <f>+L51-L52-L53</f>
        <v>0</v>
      </c>
      <c r="M55" s="175"/>
      <c r="N55" s="33">
        <f>+N51-N52-N53</f>
        <v>0</v>
      </c>
      <c r="O55" s="27"/>
      <c r="P55" s="33">
        <f>+P51-P52-P53</f>
        <v>-16709189.606165003</v>
      </c>
      <c r="Q55" s="176"/>
      <c r="R55" s="33">
        <f>+R51-R52-R53</f>
        <v>-1620859907.606165</v>
      </c>
    </row>
    <row r="56" spans="1:18" ht="13.5" thickTop="1">
      <c r="A56" s="82">
        <f t="shared" si="0"/>
        <v>46</v>
      </c>
      <c r="C56" s="177"/>
      <c r="D56" s="37"/>
      <c r="E56" s="19"/>
      <c r="F56" s="37"/>
      <c r="H56" s="37"/>
      <c r="I56" s="71"/>
      <c r="J56" s="40"/>
      <c r="K56" s="172"/>
      <c r="L56" s="37"/>
      <c r="M56" s="172"/>
      <c r="N56" s="37"/>
      <c r="O56" s="27"/>
      <c r="P56" s="37"/>
      <c r="Q56" s="108"/>
      <c r="R56" s="40"/>
    </row>
    <row r="57" spans="1:18" ht="12.75">
      <c r="A57" s="82">
        <f t="shared" si="0"/>
        <v>47</v>
      </c>
      <c r="C57" s="41"/>
      <c r="D57" s="5"/>
      <c r="E57" s="5"/>
      <c r="F57" s="5"/>
      <c r="G57" s="5"/>
      <c r="H57" s="5"/>
      <c r="I57" s="5"/>
      <c r="J57" s="5"/>
      <c r="K57" s="5"/>
      <c r="L57" s="5"/>
      <c r="M57" s="5"/>
      <c r="N57" s="5"/>
      <c r="O57" s="5"/>
      <c r="P57" s="5"/>
      <c r="Q57" s="5"/>
      <c r="R57" s="5"/>
    </row>
    <row r="58" spans="1:18" ht="12.75">
      <c r="A58" s="82">
        <f t="shared" si="0"/>
        <v>48</v>
      </c>
      <c r="C58" s="5"/>
      <c r="D58" s="235" t="s">
        <v>23</v>
      </c>
      <c r="E58" s="235"/>
      <c r="F58" s="235"/>
      <c r="G58" s="235"/>
      <c r="H58" s="235"/>
      <c r="I58" s="235"/>
      <c r="J58" s="235"/>
      <c r="K58" s="75"/>
      <c r="L58" s="167" t="s">
        <v>218</v>
      </c>
      <c r="M58" s="75"/>
      <c r="N58" s="234" t="s">
        <v>24</v>
      </c>
      <c r="O58" s="234"/>
      <c r="P58" s="234"/>
      <c r="Q58" s="75"/>
      <c r="R58" s="76" t="s">
        <v>130</v>
      </c>
    </row>
    <row r="59" spans="1:18" ht="12.75">
      <c r="A59" s="82">
        <f t="shared" si="0"/>
        <v>49</v>
      </c>
      <c r="C59" s="5"/>
      <c r="D59" s="75" t="s">
        <v>163</v>
      </c>
      <c r="E59" s="77"/>
      <c r="F59" s="75" t="s">
        <v>163</v>
      </c>
      <c r="G59" s="77"/>
      <c r="H59" s="77" t="s">
        <v>163</v>
      </c>
      <c r="I59" s="77"/>
      <c r="J59" s="75" t="s">
        <v>163</v>
      </c>
      <c r="L59" s="75" t="s">
        <v>163</v>
      </c>
      <c r="N59" s="77" t="s">
        <v>26</v>
      </c>
      <c r="O59" s="77"/>
      <c r="P59" s="77" t="s">
        <v>28</v>
      </c>
      <c r="R59" s="76" t="s">
        <v>148</v>
      </c>
    </row>
    <row r="60" spans="1:18" ht="12.75">
      <c r="A60" s="82">
        <f t="shared" si="0"/>
        <v>50</v>
      </c>
      <c r="C60" s="5"/>
      <c r="D60" s="75">
        <v>281</v>
      </c>
      <c r="E60" s="77"/>
      <c r="F60" s="76">
        <v>282</v>
      </c>
      <c r="G60" s="77"/>
      <c r="H60" s="75">
        <v>283</v>
      </c>
      <c r="J60" s="75">
        <v>190</v>
      </c>
      <c r="L60" s="75">
        <v>255</v>
      </c>
      <c r="N60" s="75" t="s">
        <v>27</v>
      </c>
      <c r="P60" s="168" t="s">
        <v>241</v>
      </c>
      <c r="Q60" s="76"/>
      <c r="R60" s="168" t="s">
        <v>25</v>
      </c>
    </row>
    <row r="61" spans="1:18" ht="12.75">
      <c r="A61" s="82">
        <f t="shared" si="0"/>
        <v>51</v>
      </c>
      <c r="B61" s="80" t="s">
        <v>19</v>
      </c>
      <c r="C61" s="81"/>
      <c r="D61" s="32"/>
      <c r="F61" s="32"/>
      <c r="H61" s="32"/>
      <c r="J61" s="32"/>
      <c r="L61" s="32"/>
      <c r="N61" s="32"/>
      <c r="R61" s="32"/>
    </row>
    <row r="62" spans="1:18" ht="12.75">
      <c r="A62" s="82">
        <f t="shared" si="0"/>
        <v>52</v>
      </c>
      <c r="C62" s="83" t="s">
        <v>268</v>
      </c>
      <c r="D62" s="27">
        <v>-706426</v>
      </c>
      <c r="E62" s="28"/>
      <c r="F62" s="27">
        <v>-246183184</v>
      </c>
      <c r="G62" s="28"/>
      <c r="H62" s="27">
        <v>-37958379</v>
      </c>
      <c r="I62" s="28"/>
      <c r="J62" s="27">
        <v>67060337</v>
      </c>
      <c r="K62" s="28"/>
      <c r="L62" s="27">
        <f>-10007033+10007033</f>
        <v>0</v>
      </c>
      <c r="M62" s="28"/>
      <c r="N62" s="27">
        <v>0</v>
      </c>
      <c r="O62" s="19"/>
      <c r="P62" s="27">
        <v>0</v>
      </c>
      <c r="Q62" s="27"/>
      <c r="R62" s="27">
        <f>SUM(D62:Q62)</f>
        <v>-217787652</v>
      </c>
    </row>
    <row r="63" spans="1:18" ht="12.75">
      <c r="A63" s="82">
        <f t="shared" si="0"/>
        <v>53</v>
      </c>
      <c r="C63" s="83" t="s">
        <v>287</v>
      </c>
      <c r="D63" s="28"/>
      <c r="E63" s="28"/>
      <c r="F63" s="28"/>
      <c r="G63" s="28"/>
      <c r="H63" s="28"/>
      <c r="I63" s="28"/>
      <c r="J63" s="28"/>
      <c r="K63" s="28"/>
      <c r="L63" s="28"/>
      <c r="M63" s="28"/>
      <c r="N63" s="28"/>
      <c r="O63" s="19"/>
      <c r="P63" s="28">
        <v>0</v>
      </c>
      <c r="Q63" s="105"/>
      <c r="R63" s="27">
        <f aca="true" t="shared" si="8" ref="R63:R74">SUM(D63:Q63)</f>
        <v>0</v>
      </c>
    </row>
    <row r="64" spans="1:18" ht="12.75">
      <c r="A64" s="82">
        <f t="shared" si="0"/>
        <v>54</v>
      </c>
      <c r="C64" s="83" t="s">
        <v>154</v>
      </c>
      <c r="D64" s="28"/>
      <c r="E64" s="28"/>
      <c r="F64" s="28"/>
      <c r="G64" s="28"/>
      <c r="H64" s="28"/>
      <c r="I64" s="28"/>
      <c r="J64" s="28"/>
      <c r="K64" s="28"/>
      <c r="L64" s="28"/>
      <c r="M64" s="28"/>
      <c r="N64" s="28"/>
      <c r="O64" s="19"/>
      <c r="P64" s="28">
        <v>0</v>
      </c>
      <c r="Q64" s="105"/>
      <c r="R64" s="27">
        <f t="shared" si="8"/>
        <v>0</v>
      </c>
    </row>
    <row r="65" spans="1:18" ht="12.75">
      <c r="A65" s="82">
        <f t="shared" si="0"/>
        <v>55</v>
      </c>
      <c r="C65" s="83" t="s">
        <v>155</v>
      </c>
      <c r="D65" s="28"/>
      <c r="E65" s="28"/>
      <c r="F65" s="28"/>
      <c r="G65" s="28"/>
      <c r="H65" s="28"/>
      <c r="I65" s="28"/>
      <c r="J65" s="28"/>
      <c r="K65" s="28"/>
      <c r="L65" s="28"/>
      <c r="M65" s="28"/>
      <c r="N65" s="28"/>
      <c r="O65" s="19"/>
      <c r="P65" s="28">
        <v>0</v>
      </c>
      <c r="Q65" s="105"/>
      <c r="R65" s="27">
        <f t="shared" si="8"/>
        <v>0</v>
      </c>
    </row>
    <row r="66" spans="1:18" ht="12.75">
      <c r="A66" s="82">
        <f t="shared" si="0"/>
        <v>56</v>
      </c>
      <c r="C66" s="83" t="s">
        <v>156</v>
      </c>
      <c r="D66" s="28"/>
      <c r="E66" s="28"/>
      <c r="F66" s="28"/>
      <c r="G66" s="28"/>
      <c r="H66" s="28"/>
      <c r="I66" s="28"/>
      <c r="J66" s="28"/>
      <c r="K66" s="28"/>
      <c r="L66" s="28"/>
      <c r="M66" s="28"/>
      <c r="N66" s="28"/>
      <c r="O66" s="19"/>
      <c r="P66" s="28">
        <v>0</v>
      </c>
      <c r="Q66" s="105"/>
      <c r="R66" s="27">
        <f t="shared" si="8"/>
        <v>0</v>
      </c>
    </row>
    <row r="67" spans="1:18" ht="12.75">
      <c r="A67" s="82">
        <f t="shared" si="0"/>
        <v>57</v>
      </c>
      <c r="C67" s="83" t="s">
        <v>128</v>
      </c>
      <c r="D67" s="28"/>
      <c r="E67" s="28"/>
      <c r="F67" s="28"/>
      <c r="G67" s="28"/>
      <c r="H67" s="28"/>
      <c r="I67" s="28"/>
      <c r="J67" s="28"/>
      <c r="K67" s="28"/>
      <c r="L67" s="28"/>
      <c r="M67" s="28"/>
      <c r="N67" s="28"/>
      <c r="O67" s="19"/>
      <c r="P67" s="28">
        <v>0</v>
      </c>
      <c r="Q67" s="105"/>
      <c r="R67" s="27">
        <f t="shared" si="8"/>
        <v>0</v>
      </c>
    </row>
    <row r="68" spans="1:18" ht="12.75">
      <c r="A68" s="82">
        <f t="shared" si="0"/>
        <v>58</v>
      </c>
      <c r="C68" s="83" t="s">
        <v>157</v>
      </c>
      <c r="D68" s="28"/>
      <c r="E68" s="28"/>
      <c r="F68" s="28"/>
      <c r="G68" s="28"/>
      <c r="H68" s="28"/>
      <c r="I68" s="28"/>
      <c r="J68" s="28"/>
      <c r="K68" s="28"/>
      <c r="L68" s="28"/>
      <c r="M68" s="28"/>
      <c r="N68" s="28"/>
      <c r="O68" s="19"/>
      <c r="P68" s="28">
        <v>0</v>
      </c>
      <c r="Q68" s="105"/>
      <c r="R68" s="27">
        <f t="shared" si="8"/>
        <v>0</v>
      </c>
    </row>
    <row r="69" spans="1:18" ht="12.75">
      <c r="A69" s="82">
        <f t="shared" si="0"/>
        <v>59</v>
      </c>
      <c r="C69" s="83" t="s">
        <v>158</v>
      </c>
      <c r="D69" s="28"/>
      <c r="E69" s="28"/>
      <c r="F69" s="28"/>
      <c r="G69" s="28"/>
      <c r="H69" s="28"/>
      <c r="I69" s="28"/>
      <c r="J69" s="28"/>
      <c r="K69" s="28"/>
      <c r="L69" s="28"/>
      <c r="M69" s="28"/>
      <c r="N69" s="28"/>
      <c r="O69" s="19"/>
      <c r="P69" s="28">
        <v>0</v>
      </c>
      <c r="Q69" s="105"/>
      <c r="R69" s="27">
        <f t="shared" si="8"/>
        <v>0</v>
      </c>
    </row>
    <row r="70" spans="1:18" ht="12.75">
      <c r="A70" s="82">
        <f t="shared" si="0"/>
        <v>60</v>
      </c>
      <c r="C70" s="83" t="s">
        <v>159</v>
      </c>
      <c r="D70" s="28"/>
      <c r="E70" s="28"/>
      <c r="F70" s="28"/>
      <c r="G70" s="28"/>
      <c r="H70" s="28"/>
      <c r="I70" s="28"/>
      <c r="J70" s="28"/>
      <c r="K70" s="28"/>
      <c r="L70" s="28"/>
      <c r="M70" s="28"/>
      <c r="N70" s="28"/>
      <c r="O70" s="19"/>
      <c r="P70" s="28">
        <v>0</v>
      </c>
      <c r="Q70" s="105"/>
      <c r="R70" s="27">
        <f t="shared" si="8"/>
        <v>0</v>
      </c>
    </row>
    <row r="71" spans="1:18" ht="12.75">
      <c r="A71" s="82">
        <f t="shared" si="0"/>
        <v>61</v>
      </c>
      <c r="C71" s="83" t="s">
        <v>160</v>
      </c>
      <c r="D71" s="28"/>
      <c r="E71" s="28"/>
      <c r="F71" s="28"/>
      <c r="G71" s="28"/>
      <c r="H71" s="28"/>
      <c r="I71" s="28"/>
      <c r="J71" s="28"/>
      <c r="K71" s="28"/>
      <c r="L71" s="28"/>
      <c r="M71" s="28"/>
      <c r="N71" s="28"/>
      <c r="O71" s="19"/>
      <c r="P71" s="28">
        <v>0</v>
      </c>
      <c r="Q71" s="105"/>
      <c r="R71" s="27">
        <f t="shared" si="8"/>
        <v>0</v>
      </c>
    </row>
    <row r="72" spans="1:18" ht="12.75">
      <c r="A72" s="82">
        <f t="shared" si="0"/>
        <v>62</v>
      </c>
      <c r="C72" s="83" t="s">
        <v>161</v>
      </c>
      <c r="D72" s="28"/>
      <c r="E72" s="28"/>
      <c r="F72" s="28"/>
      <c r="G72" s="28"/>
      <c r="H72" s="28"/>
      <c r="I72" s="28"/>
      <c r="J72" s="28"/>
      <c r="K72" s="28"/>
      <c r="L72" s="28"/>
      <c r="M72" s="28"/>
      <c r="N72" s="28"/>
      <c r="O72" s="19"/>
      <c r="P72" s="28">
        <v>0</v>
      </c>
      <c r="Q72" s="105"/>
      <c r="R72" s="27">
        <f t="shared" si="8"/>
        <v>0</v>
      </c>
    </row>
    <row r="73" spans="1:18" ht="12.75">
      <c r="A73" s="82">
        <f t="shared" si="0"/>
        <v>63</v>
      </c>
      <c r="C73" s="83" t="s">
        <v>162</v>
      </c>
      <c r="D73" s="28"/>
      <c r="E73" s="28"/>
      <c r="F73" s="28"/>
      <c r="G73" s="28"/>
      <c r="H73" s="28"/>
      <c r="I73" s="28"/>
      <c r="J73" s="28"/>
      <c r="K73" s="28"/>
      <c r="L73" s="28"/>
      <c r="M73" s="28"/>
      <c r="N73" s="28"/>
      <c r="O73" s="19"/>
      <c r="P73" s="28">
        <v>0</v>
      </c>
      <c r="Q73" s="105"/>
      <c r="R73" s="27">
        <f t="shared" si="8"/>
        <v>0</v>
      </c>
    </row>
    <row r="74" spans="1:18" ht="12.75">
      <c r="A74" s="82">
        <f t="shared" si="0"/>
        <v>64</v>
      </c>
      <c r="C74" s="83" t="s">
        <v>187</v>
      </c>
      <c r="D74" s="27">
        <v>-791627</v>
      </c>
      <c r="E74" s="212"/>
      <c r="F74" s="27">
        <v>-270108661</v>
      </c>
      <c r="G74" s="212"/>
      <c r="H74" s="27">
        <v>-36008318</v>
      </c>
      <c r="I74" s="212"/>
      <c r="J74" s="27">
        <v>63955475</v>
      </c>
      <c r="K74" s="28"/>
      <c r="L74" s="27">
        <f>-10007033+10007033</f>
        <v>0</v>
      </c>
      <c r="M74" s="28"/>
      <c r="N74" s="27">
        <v>0</v>
      </c>
      <c r="O74" s="19"/>
      <c r="P74" s="27">
        <v>0</v>
      </c>
      <c r="Q74" s="105"/>
      <c r="R74" s="42">
        <f t="shared" si="8"/>
        <v>-242953131</v>
      </c>
    </row>
    <row r="75" spans="1:18" ht="12.75">
      <c r="A75" s="82">
        <f t="shared" si="0"/>
        <v>65</v>
      </c>
      <c r="C75" s="83"/>
      <c r="D75" s="31"/>
      <c r="E75" s="19"/>
      <c r="F75" s="31"/>
      <c r="H75" s="31"/>
      <c r="J75" s="31"/>
      <c r="K75" s="19"/>
      <c r="L75" s="31"/>
      <c r="M75" s="19"/>
      <c r="N75" s="31"/>
      <c r="O75" s="19"/>
      <c r="P75" s="169"/>
      <c r="Q75" s="105"/>
      <c r="R75" s="31"/>
    </row>
    <row r="76" spans="1:18" ht="12.75">
      <c r="A76" s="82">
        <f>+A75+1</f>
        <v>66</v>
      </c>
      <c r="C76" s="84" t="s">
        <v>193</v>
      </c>
      <c r="D76" s="37">
        <f>SUM(D62:D74)/2</f>
        <v>-749026.5</v>
      </c>
      <c r="E76" s="19"/>
      <c r="F76" s="37">
        <f>SUM(F62:F74)/2</f>
        <v>-258145922.5</v>
      </c>
      <c r="H76" s="37">
        <f>SUM(H62:H74)/2</f>
        <v>-36983348.5</v>
      </c>
      <c r="I76" s="71"/>
      <c r="J76" s="37">
        <f>SUM(J62:J74)/2</f>
        <v>65507906</v>
      </c>
      <c r="K76" s="172"/>
      <c r="L76" s="37">
        <f>SUM(L62:L74)/2</f>
        <v>0</v>
      </c>
      <c r="M76" s="172"/>
      <c r="N76" s="37">
        <f>SUM(N62:N74)/2</f>
        <v>0</v>
      </c>
      <c r="O76" s="27"/>
      <c r="P76" s="37">
        <f>SUM(P62:P74)/13</f>
        <v>0</v>
      </c>
      <c r="Q76" s="108"/>
      <c r="R76" s="37">
        <f>SUM(R62:R74)/2</f>
        <v>-230370391.5</v>
      </c>
    </row>
    <row r="77" spans="1:18" ht="12.75">
      <c r="A77" s="82">
        <f>+A76+1</f>
        <v>67</v>
      </c>
      <c r="C77" s="84" t="s">
        <v>34</v>
      </c>
      <c r="D77" s="28">
        <v>0</v>
      </c>
      <c r="E77" s="163"/>
      <c r="F77" s="28">
        <v>0</v>
      </c>
      <c r="G77" s="28"/>
      <c r="H77" s="28">
        <v>0</v>
      </c>
      <c r="I77" s="170"/>
      <c r="J77" s="28">
        <f>(3013945+3071437)/2</f>
        <v>3042691</v>
      </c>
      <c r="K77" s="171"/>
      <c r="L77" s="28">
        <v>0</v>
      </c>
      <c r="M77" s="171"/>
      <c r="N77" s="28">
        <v>0</v>
      </c>
      <c r="O77" s="165"/>
      <c r="P77" s="28">
        <v>0</v>
      </c>
      <c r="Q77" s="108"/>
      <c r="R77" s="28">
        <f>SUM(D77:P77)</f>
        <v>3042691</v>
      </c>
    </row>
    <row r="78" spans="1:18" ht="12.75">
      <c r="A78" s="82">
        <f>+A77+1</f>
        <v>68</v>
      </c>
      <c r="C78" s="84" t="s">
        <v>35</v>
      </c>
      <c r="D78" s="38">
        <v>0</v>
      </c>
      <c r="E78" s="19"/>
      <c r="F78" s="39">
        <f>((-4046882+-4196081)/2+(-9000830+9856951)/2)</f>
        <v>-3693421</v>
      </c>
      <c r="H78" s="38">
        <v>0</v>
      </c>
      <c r="I78" s="71"/>
      <c r="J78" s="39">
        <f>((1759228+1748485)/2+(9415969+9535670)/2)</f>
        <v>11229676</v>
      </c>
      <c r="K78" s="172"/>
      <c r="L78" s="38">
        <v>0</v>
      </c>
      <c r="M78" s="172"/>
      <c r="N78" s="38">
        <v>0</v>
      </c>
      <c r="O78" s="27"/>
      <c r="P78" s="38">
        <v>0</v>
      </c>
      <c r="Q78" s="108"/>
      <c r="R78" s="39">
        <f>SUM(D78:P78)</f>
        <v>7536255</v>
      </c>
    </row>
    <row r="79" spans="1:18" ht="12.75">
      <c r="A79" s="82">
        <f>+A78+1</f>
        <v>69</v>
      </c>
      <c r="C79" s="84"/>
      <c r="D79" s="37"/>
      <c r="E79" s="19"/>
      <c r="F79" s="37"/>
      <c r="H79" s="37"/>
      <c r="I79" s="71"/>
      <c r="J79" s="37"/>
      <c r="K79" s="172"/>
      <c r="L79" s="37"/>
      <c r="M79" s="172"/>
      <c r="N79" s="37"/>
      <c r="O79" s="27"/>
      <c r="P79" s="37"/>
      <c r="Q79" s="108"/>
      <c r="R79" s="37"/>
    </row>
    <row r="80" spans="1:18" ht="13.5" thickBot="1">
      <c r="A80" s="82">
        <f>+A79+1</f>
        <v>70</v>
      </c>
      <c r="C80" s="84" t="s">
        <v>194</v>
      </c>
      <c r="D80" s="33">
        <f>+D76-D77-D78</f>
        <v>-749026.5</v>
      </c>
      <c r="E80" s="19"/>
      <c r="F80" s="33">
        <f>+F76-F77-F78</f>
        <v>-254452501.5</v>
      </c>
      <c r="H80" s="33">
        <f>+H76-H77-H78</f>
        <v>-36983348.5</v>
      </c>
      <c r="I80" s="71"/>
      <c r="J80" s="33">
        <f>+J76-J77-J78</f>
        <v>51235539</v>
      </c>
      <c r="K80" s="172"/>
      <c r="L80" s="33">
        <f>+L76-L77-L78</f>
        <v>0</v>
      </c>
      <c r="M80" s="172"/>
      <c r="N80" s="33">
        <f>+N76-N77-N78</f>
        <v>0</v>
      </c>
      <c r="O80" s="27"/>
      <c r="P80" s="33">
        <f>+P76-P77-P78</f>
        <v>0</v>
      </c>
      <c r="Q80" s="108"/>
      <c r="R80" s="33">
        <f>+R76-R77-R78</f>
        <v>-240949337.5</v>
      </c>
    </row>
    <row r="81" ht="13.5" thickTop="1"/>
    <row r="83" ht="12.75">
      <c r="C83" s="2" t="s">
        <v>242</v>
      </c>
    </row>
  </sheetData>
  <mergeCells count="6">
    <mergeCell ref="N8:P8"/>
    <mergeCell ref="D33:J33"/>
    <mergeCell ref="N33:P33"/>
    <mergeCell ref="D58:J58"/>
    <mergeCell ref="N58:P58"/>
    <mergeCell ref="D8:J8"/>
  </mergeCells>
  <printOptions horizontalCentered="1"/>
  <pageMargins left="0.75" right="0.25" top="0.75" bottom="0.4" header="0" footer="0.25"/>
  <pageSetup fitToHeight="1" fitToWidth="1" horizontalDpi="600" verticalDpi="600" orientation="portrait" scale="52" r:id="rId3"/>
  <headerFooter alignWithMargins="0">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Xcel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Thomas Kramer</cp:lastModifiedBy>
  <cp:lastPrinted>2013-10-03T12:20:02Z</cp:lastPrinted>
  <dcterms:created xsi:type="dcterms:W3CDTF">2005-09-09T21:44:27Z</dcterms:created>
  <dcterms:modified xsi:type="dcterms:W3CDTF">2013-10-03T12:59:14Z</dcterms:modified>
  <cp:category/>
  <cp:version/>
  <cp:contentType/>
  <cp:contentStatus/>
</cp:coreProperties>
</file>