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2445" windowWidth="15480" windowHeight="2775" tabRatio="914"/>
  </bookViews>
  <sheets>
    <sheet name="Version Control" sheetId="167" r:id="rId1"/>
    <sheet name="Protocol Matrix " sheetId="161" r:id="rId2"/>
    <sheet name="Attachment O" sheetId="159" r:id="rId3"/>
    <sheet name="Attachment GG" sheetId="158" r:id="rId4"/>
    <sheet name="Attach GG Support Data " sheetId="157" r:id="rId5"/>
    <sheet name="Attachment GG Proj Description" sheetId="156" r:id="rId6"/>
    <sheet name="Attachment MM" sheetId="155" r:id="rId7"/>
    <sheet name="Attach MM Support Data " sheetId="154" r:id="rId8"/>
    <sheet name="Attachment MM Proj Description" sheetId="153" r:id="rId9"/>
    <sheet name="Cover" sheetId="134" r:id="rId10"/>
    <sheet name="Gross Plant" sheetId="3" r:id="rId11"/>
    <sheet name="Accum Deprec" sheetId="127" r:id="rId12"/>
    <sheet name="CWIP" sheetId="133" r:id="rId13"/>
    <sheet name="Adj to Rate Base" sheetId="128" r:id="rId14"/>
    <sheet name="ADIT Pro-Rate" sheetId="169" r:id="rId15"/>
    <sheet name="Prefunded AFUDC" sheetId="149" r:id="rId16"/>
    <sheet name="Land HFFU" sheetId="129" r:id="rId17"/>
    <sheet name="Working Capital" sheetId="130" r:id="rId18"/>
    <sheet name="O&amp;M" sheetId="37" r:id="rId19"/>
    <sheet name="A&amp;G" sheetId="168" r:id="rId20"/>
    <sheet name="Dep &amp; Amort Exp" sheetId="42" r:id="rId21"/>
    <sheet name="Taxes Other Than Income" sheetId="84" r:id="rId22"/>
    <sheet name="Support for Allocation Factors" sheetId="131" r:id="rId23"/>
    <sheet name="Capital Structure" sheetId="132" r:id="rId24"/>
    <sheet name="Rev Credits" sheetId="141" r:id="rId25"/>
    <sheet name="Revenue Cr MISO Review" sheetId="140" r:id="rId26"/>
    <sheet name="Prior Year True Up" sheetId="136" r:id="rId27"/>
    <sheet name="True Up Interest Calc " sheetId="137" r:id="rId28"/>
    <sheet name="Divisor " sheetId="135" r:id="rId29"/>
    <sheet name="Attachment GG and MM Proj" sheetId="142" r:id="rId30"/>
    <sheet name="Tax Rate Calc" sheetId="166" r:id="rId31"/>
  </sheets>
  <externalReferences>
    <externalReference r:id="rId32"/>
  </externalReferences>
  <definedNames>
    <definedName name="_Order1" hidden="1">255</definedName>
    <definedName name="_Order2" hidden="1">255</definedName>
    <definedName name="ACwvu.DATABASE." localSheetId="19" hidden="1">[1]DATABASE!#REF!</definedName>
    <definedName name="ACwvu.DATABASE." hidden="1">[1]DATABASE!#REF!</definedName>
    <definedName name="ACwvu.Distplt." localSheetId="11" hidden="1">'Accum Deprec'!#REF!</definedName>
    <definedName name="ACwvu.Distplt." localSheetId="13" hidden="1">'Adj to Rate Base'!#REF!</definedName>
    <definedName name="ACwvu.Distplt." localSheetId="12" hidden="1">CWIP!#REF!</definedName>
    <definedName name="ACwvu.Distplt." localSheetId="10" hidden="1">'Gross Plant'!#REF!</definedName>
    <definedName name="ACwvu.Distplt." localSheetId="16" hidden="1">'Land HFFU'!#REF!</definedName>
    <definedName name="ACwvu.Distplt." localSheetId="17" hidden="1">'Working Capital'!#REF!</definedName>
    <definedName name="ACwvu.Plant." localSheetId="11" hidden="1">'Accum Deprec'!#REF!</definedName>
    <definedName name="ACwvu.Plant." localSheetId="13" hidden="1">'Adj to Rate Base'!#REF!</definedName>
    <definedName name="ACwvu.Plant." localSheetId="12" hidden="1">CWIP!#REF!</definedName>
    <definedName name="ACwvu.Plant." localSheetId="10" hidden="1">'Gross Plant'!#REF!</definedName>
    <definedName name="ACwvu.Plant." localSheetId="16" hidden="1">'Land HFFU'!#REF!</definedName>
    <definedName name="ACwvu.Plant." localSheetId="17" hidden="1">'Working Capital'!#REF!</definedName>
    <definedName name="AS2DocOpenMode" hidden="1">"AS2DocumentEdit"</definedName>
    <definedName name="er" localSheetId="11" hidden="1">{TRUE,TRUE,-1.25,-15.5,484.5,279.75,FALSE,FALSE,TRUE,TRUE,0,3,#N/A,1,#N/A,6.54545454545454,15.55,1,FALSE,FALSE,3,TRUE,1,FALSE,100,"Swvu.WP1.","ACwvu.WP1.",1,FALSE,FALSE,0.25,0.25,0.25,0.25,1,"","&amp;L&amp;D &amp;T NBW&amp;C&amp;P&amp;R&amp;F",FALSE,FALSE,FALSE,FALSE,1,100,#N/A,#N/A,FALSE,FALSE,#N/A,#N/A,FALSE,FALSE}</definedName>
    <definedName name="er" localSheetId="13" hidden="1">{TRUE,TRUE,-1.25,-15.5,484.5,279.75,FALSE,FALSE,TRUE,TRUE,0,3,#N/A,1,#N/A,6.54545454545454,15.55,1,FALSE,FALSE,3,TRUE,1,FALSE,100,"Swvu.WP1.","ACwvu.WP1.",1,FALSE,FALSE,0.25,0.25,0.25,0.25,1,"","&amp;L&amp;D &amp;T NBW&amp;C&amp;P&amp;R&amp;F",FALSE,FALSE,FALSE,FALSE,1,100,#N/A,#N/A,FALSE,FALSE,#N/A,#N/A,FALSE,FALSE}</definedName>
    <definedName name="er" localSheetId="23" hidden="1">{TRUE,TRUE,-1.25,-15.5,484.5,279.75,FALSE,FALSE,TRUE,TRUE,0,3,#N/A,1,#N/A,6.54545454545454,15.55,1,FALSE,FALSE,3,TRUE,1,FALSE,100,"Swvu.WP1.","ACwvu.WP1.",1,FALSE,FALSE,0.25,0.25,0.25,0.25,1,"","&amp;L&amp;D &amp;T NBW&amp;C&amp;P&amp;R&amp;F",FALSE,FALSE,FALSE,FALSE,1,100,#N/A,#N/A,FALSE,FALSE,#N/A,#N/A,FALSE,FALSE}</definedName>
    <definedName name="er" localSheetId="9" hidden="1">{TRUE,TRUE,-1.25,-15.5,484.5,279.75,FALSE,FALSE,TRUE,TRUE,0,3,#N/A,1,#N/A,6.54545454545454,15.55,1,FALSE,FALSE,3,TRUE,1,FALSE,100,"Swvu.WP1.","ACwvu.WP1.",1,FALSE,FALSE,0.25,0.25,0.25,0.25,1,"","&amp;L&amp;D &amp;T NBW&amp;C&amp;P&amp;R&amp;F",FALSE,FALSE,FALSE,FALSE,1,100,#N/A,#N/A,FALSE,FALSE,#N/A,#N/A,FALSE,FALSE}</definedName>
    <definedName name="er" localSheetId="12" hidden="1">{TRUE,TRUE,-1.25,-15.5,484.5,279.75,FALSE,FALSE,TRUE,TRUE,0,3,#N/A,1,#N/A,6.54545454545454,15.55,1,FALSE,FALSE,3,TRUE,1,FALSE,100,"Swvu.WP1.","ACwvu.WP1.",1,FALSE,FALSE,0.25,0.25,0.25,0.25,1,"","&amp;L&amp;D &amp;T NBW&amp;C&amp;P&amp;R&amp;F",FALSE,FALSE,FALSE,FALSE,1,100,#N/A,#N/A,FALSE,FALSE,#N/A,#N/A,FALSE,FALSE}</definedName>
    <definedName name="er" localSheetId="20" hidden="1">{TRUE,TRUE,-1.25,-15.5,484.5,279.75,FALSE,FALSE,TRUE,TRUE,0,3,#N/A,1,#N/A,6.54545454545454,15.55,1,FALSE,FALSE,3,TRUE,1,FALSE,100,"Swvu.WP1.","ACwvu.WP1.",1,FALSE,FALSE,0.25,0.25,0.25,0.25,1,"","&amp;L&amp;D &amp;T NBW&amp;C&amp;P&amp;R&amp;F",FALSE,FALSE,FALSE,FALSE,1,100,#N/A,#N/A,FALSE,FALSE,#N/A,#N/A,FALSE,FALSE}</definedName>
    <definedName name="er" localSheetId="10" hidden="1">{TRUE,TRUE,-1.25,-15.5,484.5,279.75,FALSE,FALSE,TRUE,TRUE,0,3,#N/A,1,#N/A,6.54545454545454,15.55,1,FALSE,FALSE,3,TRUE,1,FALSE,100,"Swvu.WP1.","ACwvu.WP1.",1,FALSE,FALSE,0.25,0.25,0.25,0.25,1,"","&amp;L&amp;D &amp;T NBW&amp;C&amp;P&amp;R&amp;F",FALSE,FALSE,FALSE,FALSE,1,100,#N/A,#N/A,FALSE,FALSE,#N/A,#N/A,FALSE,FALSE}</definedName>
    <definedName name="er" localSheetId="16" hidden="1">{TRUE,TRUE,-1.25,-15.5,484.5,279.75,FALSE,FALSE,TRUE,TRUE,0,3,#N/A,1,#N/A,6.54545454545454,15.55,1,FALSE,FALSE,3,TRUE,1,FALSE,100,"Swvu.WP1.","ACwvu.WP1.",1,FALSE,FALSE,0.25,0.25,0.25,0.25,1,"","&amp;L&amp;D &amp;T NBW&amp;C&amp;P&amp;R&amp;F",FALSE,FALSE,FALSE,FALSE,1,100,#N/A,#N/A,FALSE,FALSE,#N/A,#N/A,FALSE,FALSE}</definedName>
    <definedName name="er" localSheetId="22" hidden="1">{TRUE,TRUE,-1.25,-15.5,484.5,279.75,FALSE,FALSE,TRUE,TRUE,0,3,#N/A,1,#N/A,6.54545454545454,15.55,1,FALSE,FALSE,3,TRUE,1,FALSE,100,"Swvu.WP1.","ACwvu.WP1.",1,FALSE,FALSE,0.25,0.25,0.25,0.25,1,"","&amp;L&amp;D &amp;T NBW&amp;C&amp;P&amp;R&amp;F",FALSE,FALSE,FALSE,FALSE,1,100,#N/A,#N/A,FALSE,FALSE,#N/A,#N/A,FALSE,FALSE}</definedName>
    <definedName name="er" localSheetId="21" hidden="1">{TRUE,TRUE,-1.25,-15.5,484.5,279.75,FALSE,FALSE,TRUE,TRUE,0,3,#N/A,1,#N/A,6.54545454545454,15.55,1,FALSE,FALSE,3,TRUE,1,FALSE,100,"Swvu.WP1.","ACwvu.WP1.",1,FALSE,FALSE,0.25,0.25,0.25,0.25,1,"","&amp;L&amp;D &amp;T NBW&amp;C&amp;P&amp;R&amp;F",FALSE,FALSE,FALSE,FALSE,1,100,#N/A,#N/A,FALSE,FALSE,#N/A,#N/A,FALSE,FALSE}</definedName>
    <definedName name="er" localSheetId="17" hidden="1">{TRUE,TRUE,-1.25,-15.5,484.5,279.75,FALSE,FALSE,TRUE,TRUE,0,3,#N/A,1,#N/A,6.54545454545454,15.55,1,FALSE,FALSE,3,TRUE,1,FALSE,100,"Swvu.WP1.","ACwvu.WP1.",1,FALSE,FALSE,0.25,0.25,0.25,0.25,1,"","&amp;L&amp;D &amp;T NBW&amp;C&amp;P&amp;R&amp;F",FALSE,FALSE,FALSE,FALSE,1,100,#N/A,#N/A,FALSE,FALSE,#N/A,#N/A,FALSE,FALSE}</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_xlnm.Print_Area" localSheetId="11">'Accum Deprec'!$A$1:$N$70</definedName>
    <definedName name="_xlnm.Print_Area" localSheetId="14">'ADIT Pro-Rate'!$A$1:$K$251</definedName>
    <definedName name="_xlnm.Print_Area" localSheetId="13">'Adj to Rate Base'!$A$1:$T$82</definedName>
    <definedName name="_xlnm.Print_Area" localSheetId="3">'Attachment GG'!$A$1:$N$112</definedName>
    <definedName name="_xlnm.Print_Area" localSheetId="29">'Attachment GG and MM Proj'!$A$4:$I$48</definedName>
    <definedName name="_xlnm.Print_Area" localSheetId="6">'Attachment MM'!$A$1:$R$106</definedName>
    <definedName name="_xlnm.Print_Area" localSheetId="2">'Attachment O'!$A$1:$K$371</definedName>
    <definedName name="_xlnm.Print_Area" localSheetId="23">'Capital Structure'!$A$1:$L$34</definedName>
    <definedName name="_xlnm.Print_Area" localSheetId="12">CWIP!$A$1:$R$87</definedName>
    <definedName name="_xlnm.Print_Area" localSheetId="20">'Dep &amp; Amort Exp'!$A$1:$N$64</definedName>
    <definedName name="_xlnm.Print_Area" localSheetId="28">'Divisor '!$A$1:$T$26</definedName>
    <definedName name="_xlnm.Print_Area" localSheetId="10">'Gross Plant'!$A$1:$N$70</definedName>
    <definedName name="_xlnm.Print_Area" localSheetId="16">'Land HFFU'!$A$1:$M$64</definedName>
    <definedName name="_xlnm.Print_Area" localSheetId="15">'Prefunded AFUDC'!$A$1:$I$59</definedName>
    <definedName name="_xlnm.Print_Area" localSheetId="25">'Revenue Cr MISO Review'!$A$1:$K$44</definedName>
    <definedName name="_xlnm.Print_Area" localSheetId="22">'Support for Allocation Factors'!$A$1:$J$39</definedName>
    <definedName name="_xlnm.Print_Area" localSheetId="21">'Taxes Other Than Income'!$A$1:$J$28</definedName>
    <definedName name="_xlnm.Print_Area" localSheetId="17">'Working Capital'!$A$1:$F$61</definedName>
    <definedName name="q" localSheetId="11" hidden="1">{"MATALL",#N/A,FALSE,"Sheet4";"matclass",#N/A,FALSE,"Sheet4"}</definedName>
    <definedName name="q" localSheetId="13" hidden="1">{"MATALL",#N/A,FALSE,"Sheet4";"matclass",#N/A,FALSE,"Sheet4"}</definedName>
    <definedName name="q" localSheetId="23" hidden="1">{"MATALL",#N/A,FALSE,"Sheet4";"matclass",#N/A,FALSE,"Sheet4"}</definedName>
    <definedName name="q" localSheetId="9" hidden="1">{"MATALL",#N/A,FALSE,"Sheet4";"matclass",#N/A,FALSE,"Sheet4"}</definedName>
    <definedName name="q" localSheetId="12" hidden="1">{"MATALL",#N/A,FALSE,"Sheet4";"matclass",#N/A,FALSE,"Sheet4"}</definedName>
    <definedName name="q" localSheetId="16" hidden="1">{"MATALL",#N/A,FALSE,"Sheet4";"matclass",#N/A,FALSE,"Sheet4"}</definedName>
    <definedName name="q" localSheetId="22" hidden="1">{"MATALL",#N/A,FALSE,"Sheet4";"matclass",#N/A,FALSE,"Sheet4"}</definedName>
    <definedName name="q" localSheetId="17" hidden="1">{"MATALL",#N/A,FALSE,"Sheet4";"matclass",#N/A,FALSE,"Sheet4"}</definedName>
    <definedName name="q" hidden="1">{"MATALL",#N/A,FALSE,"Sheet4";"matclass",#N/A,FALSE,"Sheet4"}</definedName>
    <definedName name="Swvu.DATABASE." localSheetId="19" hidden="1">[1]DATABASE!#REF!</definedName>
    <definedName name="Swvu.DATABASE." hidden="1">[1]DATABASE!#REF!</definedName>
    <definedName name="Swvu.Distplt." localSheetId="11" hidden="1">'Accum Deprec'!#REF!</definedName>
    <definedName name="Swvu.Distplt." localSheetId="13" hidden="1">'Adj to Rate Base'!#REF!</definedName>
    <definedName name="Swvu.Distplt." localSheetId="12" hidden="1">CWIP!#REF!</definedName>
    <definedName name="Swvu.Distplt." localSheetId="10" hidden="1">'Gross Plant'!#REF!</definedName>
    <definedName name="Swvu.Distplt." localSheetId="16" hidden="1">'Land HFFU'!#REF!</definedName>
    <definedName name="Swvu.Distplt." localSheetId="17" hidden="1">'Working Capital'!#REF!</definedName>
    <definedName name="Swvu.Plant." localSheetId="11" hidden="1">'Accum Deprec'!#REF!</definedName>
    <definedName name="Swvu.Plant." localSheetId="13" hidden="1">'Adj to Rate Base'!#REF!</definedName>
    <definedName name="Swvu.Plant." localSheetId="12" hidden="1">CWIP!#REF!</definedName>
    <definedName name="Swvu.Plant." localSheetId="10" hidden="1">'Gross Plant'!#REF!</definedName>
    <definedName name="Swvu.Plant." localSheetId="16" hidden="1">'Land HFFU'!#REF!</definedName>
    <definedName name="Swvu.Plant." localSheetId="17" hidden="1">'Working Capital'!#REF!</definedName>
    <definedName name="TEST" localSheetId="11" hidden="1">{TRUE,TRUE,-1.25,-15.5,484.5,279.75,FALSE,FALSE,TRUE,TRUE,0,3,#N/A,1,#N/A,6.54545454545454,15.55,1,FALSE,FALSE,3,TRUE,1,FALSE,100,"Swvu.WP1.","ACwvu.WP1.",1,FALSE,FALSE,0.25,0.25,0.25,0.25,1,"","&amp;L&amp;D &amp;T NBW&amp;C&amp;P&amp;R&amp;F",FALSE,FALSE,FALSE,FALSE,1,100,#N/A,#N/A,FALSE,FALSE,#N/A,#N/A,FALSE,FALSE}</definedName>
    <definedName name="TEST" localSheetId="13" hidden="1">{TRUE,TRUE,-1.25,-15.5,484.5,279.75,FALSE,FALSE,TRUE,TRUE,0,3,#N/A,1,#N/A,6.54545454545454,15.55,1,FALSE,FALSE,3,TRUE,1,FALSE,100,"Swvu.WP1.","ACwvu.WP1.",1,FALSE,FALSE,0.25,0.25,0.25,0.25,1,"","&amp;L&amp;D &amp;T NBW&amp;C&amp;P&amp;R&amp;F",FALSE,FALSE,FALSE,FALSE,1,100,#N/A,#N/A,FALSE,FALSE,#N/A,#N/A,FALSE,FALSE}</definedName>
    <definedName name="TEST" localSheetId="23" hidden="1">{TRUE,TRUE,-1.25,-15.5,484.5,279.75,FALSE,FALSE,TRUE,TRUE,0,3,#N/A,1,#N/A,6.54545454545454,15.55,1,FALSE,FALSE,3,TRUE,1,FALSE,100,"Swvu.WP1.","ACwvu.WP1.",1,FALSE,FALSE,0.25,0.25,0.25,0.25,1,"","&amp;L&amp;D &amp;T NBW&amp;C&amp;P&amp;R&amp;F",FALSE,FALSE,FALSE,FALSE,1,100,#N/A,#N/A,FALSE,FALSE,#N/A,#N/A,FALSE,FALSE}</definedName>
    <definedName name="TEST" localSheetId="9" hidden="1">{TRUE,TRUE,-1.25,-15.5,484.5,279.75,FALSE,FALSE,TRUE,TRUE,0,3,#N/A,1,#N/A,6.54545454545454,15.55,1,FALSE,FALSE,3,TRUE,1,FALSE,100,"Swvu.WP1.","ACwvu.WP1.",1,FALSE,FALSE,0.25,0.25,0.25,0.25,1,"","&amp;L&amp;D &amp;T NBW&amp;C&amp;P&amp;R&amp;F",FALSE,FALSE,FALSE,FALSE,1,100,#N/A,#N/A,FALSE,FALSE,#N/A,#N/A,FALSE,FALSE}</definedName>
    <definedName name="TEST" localSheetId="12" hidden="1">{TRUE,TRUE,-1.25,-15.5,484.5,279.75,FALSE,FALSE,TRUE,TRUE,0,3,#N/A,1,#N/A,6.54545454545454,15.55,1,FALSE,FALSE,3,TRUE,1,FALSE,100,"Swvu.WP1.","ACwvu.WP1.",1,FALSE,FALSE,0.25,0.25,0.25,0.25,1,"","&amp;L&amp;D &amp;T NBW&amp;C&amp;P&amp;R&amp;F",FALSE,FALSE,FALSE,FALSE,1,100,#N/A,#N/A,FALSE,FALSE,#N/A,#N/A,FALSE,FALSE}</definedName>
    <definedName name="TEST" localSheetId="20" hidden="1">{TRUE,TRUE,-1.25,-15.5,484.5,279.75,FALSE,FALSE,TRUE,TRUE,0,3,#N/A,1,#N/A,6.54545454545454,15.55,1,FALSE,FALSE,3,TRUE,1,FALSE,100,"Swvu.WP1.","ACwvu.WP1.",1,FALSE,FALSE,0.25,0.25,0.25,0.25,1,"","&amp;L&amp;D &amp;T NBW&amp;C&amp;P&amp;R&amp;F",FALSE,FALSE,FALSE,FALSE,1,100,#N/A,#N/A,FALSE,FALSE,#N/A,#N/A,FALSE,FALSE}</definedName>
    <definedName name="TEST" localSheetId="10" hidden="1">{TRUE,TRUE,-1.25,-15.5,484.5,279.75,FALSE,FALSE,TRUE,TRUE,0,3,#N/A,1,#N/A,6.54545454545454,15.55,1,FALSE,FALSE,3,TRUE,1,FALSE,100,"Swvu.WP1.","ACwvu.WP1.",1,FALSE,FALSE,0.25,0.25,0.25,0.25,1,"","&amp;L&amp;D &amp;T NBW&amp;C&amp;P&amp;R&amp;F",FALSE,FALSE,FALSE,FALSE,1,100,#N/A,#N/A,FALSE,FALSE,#N/A,#N/A,FALSE,FALSE}</definedName>
    <definedName name="TEST" localSheetId="16" hidden="1">{TRUE,TRUE,-1.25,-15.5,484.5,279.75,FALSE,FALSE,TRUE,TRUE,0,3,#N/A,1,#N/A,6.54545454545454,15.55,1,FALSE,FALSE,3,TRUE,1,FALSE,100,"Swvu.WP1.","ACwvu.WP1.",1,FALSE,FALSE,0.25,0.25,0.25,0.25,1,"","&amp;L&amp;D &amp;T NBW&amp;C&amp;P&amp;R&amp;F",FALSE,FALSE,FALSE,FALSE,1,100,#N/A,#N/A,FALSE,FALSE,#N/A,#N/A,FALSE,FALSE}</definedName>
    <definedName name="TEST" localSheetId="22" hidden="1">{TRUE,TRUE,-1.25,-15.5,484.5,279.75,FALSE,FALSE,TRUE,TRUE,0,3,#N/A,1,#N/A,6.54545454545454,15.55,1,FALSE,FALSE,3,TRUE,1,FALSE,100,"Swvu.WP1.","ACwvu.WP1.",1,FALSE,FALSE,0.25,0.25,0.25,0.25,1,"","&amp;L&amp;D &amp;T NBW&amp;C&amp;P&amp;R&amp;F",FALSE,FALSE,FALSE,FALSE,1,100,#N/A,#N/A,FALSE,FALSE,#N/A,#N/A,FALSE,FALSE}</definedName>
    <definedName name="TEST" localSheetId="21" hidden="1">{TRUE,TRUE,-1.25,-15.5,484.5,279.75,FALSE,FALSE,TRUE,TRUE,0,3,#N/A,1,#N/A,6.54545454545454,15.55,1,FALSE,FALSE,3,TRUE,1,FALSE,100,"Swvu.WP1.","ACwvu.WP1.",1,FALSE,FALSE,0.25,0.25,0.25,0.25,1,"","&amp;L&amp;D &amp;T NBW&amp;C&amp;P&amp;R&amp;F",FALSE,FALSE,FALSE,FALSE,1,100,#N/A,#N/A,FALSE,FALSE,#N/A,#N/A,FALSE,FALSE}</definedName>
    <definedName name="TEST" localSheetId="17" hidden="1">{TRUE,TRUE,-1.25,-15.5,484.5,279.75,FALSE,FALSE,TRUE,TRUE,0,3,#N/A,1,#N/A,6.54545454545454,15.55,1,FALSE,FALSE,3,TRUE,1,FALSE,100,"Swvu.WP1.","ACwvu.WP1.",1,FALSE,FALSE,0.25,0.25,0.25,0.25,1,"","&amp;L&amp;D &amp;T NBW&amp;C&amp;P&amp;R&amp;F",FALSE,FALSE,FALSE,FALSE,1,100,#N/A,#N/A,FALSE,FALSE,#N/A,#N/A,FALSE,FALSE}</definedName>
    <definedName name="TEST" hidden="1">{TRUE,TRUE,-1.25,-15.5,484.5,279.75,FALSE,FALSE,TRUE,TRUE,0,3,#N/A,1,#N/A,6.54545454545454,15.55,1,FALSE,FALSE,3,TRUE,1,FALSE,100,"Swvu.WP1.","ACwvu.WP1.",1,FALSE,FALSE,0.25,0.25,0.25,0.25,1,"","&amp;L&amp;D &amp;T NBW&amp;C&amp;P&amp;R&amp;F",FALSE,FALSE,FALSE,FALSE,1,100,#N/A,#N/A,FALSE,FALSE,#N/A,#N/A,FALSE,FALSE}</definedName>
    <definedName name="w" localSheetId="11" hidden="1">{"MATALL",#N/A,FALSE,"Sheet4";"matclass",#N/A,FALSE,"Sheet4"}</definedName>
    <definedName name="w" localSheetId="13" hidden="1">{"MATALL",#N/A,FALSE,"Sheet4";"matclass",#N/A,FALSE,"Sheet4"}</definedName>
    <definedName name="w" localSheetId="23" hidden="1">{"MATALL",#N/A,FALSE,"Sheet4";"matclass",#N/A,FALSE,"Sheet4"}</definedName>
    <definedName name="w" localSheetId="9" hidden="1">{"MATALL",#N/A,FALSE,"Sheet4";"matclass",#N/A,FALSE,"Sheet4"}</definedName>
    <definedName name="w" localSheetId="12" hidden="1">{"MATALL",#N/A,FALSE,"Sheet4";"matclass",#N/A,FALSE,"Sheet4"}</definedName>
    <definedName name="w" localSheetId="16" hidden="1">{"MATALL",#N/A,FALSE,"Sheet4";"matclass",#N/A,FALSE,"Sheet4"}</definedName>
    <definedName name="w" localSheetId="22" hidden="1">{"MATALL",#N/A,FALSE,"Sheet4";"matclass",#N/A,FALSE,"Sheet4"}</definedName>
    <definedName name="w" localSheetId="17" hidden="1">{"MATALL",#N/A,FALSE,"Sheet4";"matclass",#N/A,FALSE,"Sheet4"}</definedName>
    <definedName name="w" hidden="1">{"MATALL",#N/A,FALSE,"Sheet4";"matclass",#N/A,FALSE,"Sheet4"}</definedName>
    <definedName name="WORKCAPa" localSheetId="19" hidden="1">{"WCCWCLL",#N/A,FALSE,"Sheet3";"PP",#N/A,FALSE,"Sheet3";"MAT1",#N/A,FALSE,"Sheet3";"MAT2",#N/A,FALSE,"Sheet3"}</definedName>
    <definedName name="WORKCAPa" localSheetId="11" hidden="1">{"WCCWCLL",#N/A,FALSE,"Sheet3";"PP",#N/A,FALSE,"Sheet3";"MAT1",#N/A,FALSE,"Sheet3";"MAT2",#N/A,FALSE,"Sheet3"}</definedName>
    <definedName name="WORKCAPa" localSheetId="13" hidden="1">{"WCCWCLL",#N/A,FALSE,"Sheet3";"PP",#N/A,FALSE,"Sheet3";"MAT1",#N/A,FALSE,"Sheet3";"MAT2",#N/A,FALSE,"Sheet3"}</definedName>
    <definedName name="WORKCAPa" localSheetId="23" hidden="1">{"WCCWCLL",#N/A,FALSE,"Sheet3";"PP",#N/A,FALSE,"Sheet3";"MAT1",#N/A,FALSE,"Sheet3";"MAT2",#N/A,FALSE,"Sheet3"}</definedName>
    <definedName name="WORKCAPa" localSheetId="9" hidden="1">{"WCCWCLL",#N/A,FALSE,"Sheet3";"PP",#N/A,FALSE,"Sheet3";"MAT1",#N/A,FALSE,"Sheet3";"MAT2",#N/A,FALSE,"Sheet3"}</definedName>
    <definedName name="WORKCAPa" localSheetId="12" hidden="1">{"WCCWCLL",#N/A,FALSE,"Sheet3";"PP",#N/A,FALSE,"Sheet3";"MAT1",#N/A,FALSE,"Sheet3";"MAT2",#N/A,FALSE,"Sheet3"}</definedName>
    <definedName name="WORKCAPa" localSheetId="20" hidden="1">{"WCCWCLL",#N/A,FALSE,"Sheet3";"PP",#N/A,FALSE,"Sheet3";"MAT1",#N/A,FALSE,"Sheet3";"MAT2",#N/A,FALSE,"Sheet3"}</definedName>
    <definedName name="WORKCAPa" localSheetId="10" hidden="1">{"WCCWCLL",#N/A,FALSE,"Sheet3";"PP",#N/A,FALSE,"Sheet3";"MAT1",#N/A,FALSE,"Sheet3";"MAT2",#N/A,FALSE,"Sheet3"}</definedName>
    <definedName name="WORKCAPa" localSheetId="16" hidden="1">{"WCCWCLL",#N/A,FALSE,"Sheet3";"PP",#N/A,FALSE,"Sheet3";"MAT1",#N/A,FALSE,"Sheet3";"MAT2",#N/A,FALSE,"Sheet3"}</definedName>
    <definedName name="WORKCAPa" localSheetId="18" hidden="1">{"WCCWCLL",#N/A,FALSE,"Sheet3";"PP",#N/A,FALSE,"Sheet3";"MAT1",#N/A,FALSE,"Sheet3";"MAT2",#N/A,FALSE,"Sheet3"}</definedName>
    <definedName name="WORKCAPa" localSheetId="22" hidden="1">{"WCCWCLL",#N/A,FALSE,"Sheet3";"PP",#N/A,FALSE,"Sheet3";"MAT1",#N/A,FALSE,"Sheet3";"MAT2",#N/A,FALSE,"Sheet3"}</definedName>
    <definedName name="WORKCAPa" localSheetId="21" hidden="1">{"WCCWCLL",#N/A,FALSE,"Sheet3";"PP",#N/A,FALSE,"Sheet3";"MAT1",#N/A,FALSE,"Sheet3";"MAT2",#N/A,FALSE,"Sheet3"}</definedName>
    <definedName name="WORKCAPa" localSheetId="17" hidden="1">{"WCCWCLL",#N/A,FALSE,"Sheet3";"PP",#N/A,FALSE,"Sheet3";"MAT1",#N/A,FALSE,"Sheet3";"MAT2",#N/A,FALSE,"Sheet3"}</definedName>
    <definedName name="WORKCAPa" hidden="1">{"WCCWCLL",#N/A,FALSE,"Sheet3";"PP",#N/A,FALSE,"Sheet3";"MAT1",#N/A,FALSE,"Sheet3";"MAT2",#N/A,FALSE,"Sheet3"}</definedName>
    <definedName name="wrn.cwip." localSheetId="19" hidden="1">{"CWIP2",#N/A,FALSE,"CWIP";"CWIP3",#N/A,FALSE,"CWIP"}</definedName>
    <definedName name="wrn.cwip." localSheetId="11" hidden="1">{"CWIP2",#N/A,FALSE,"CWIP";"CWIP3",#N/A,FALSE,"CWIP"}</definedName>
    <definedName name="wrn.cwip." localSheetId="13" hidden="1">{"CWIP2",#N/A,FALSE,"CWIP";"CWIP3",#N/A,FALSE,"CWIP"}</definedName>
    <definedName name="wrn.cwip." localSheetId="23" hidden="1">{"CWIP2",#N/A,FALSE,"CWIP";"CWIP3",#N/A,FALSE,"CWIP"}</definedName>
    <definedName name="wrn.cwip." localSheetId="9" hidden="1">{"CWIP2",#N/A,FALSE,"CWIP";"CWIP3",#N/A,FALSE,"CWIP"}</definedName>
    <definedName name="wrn.cwip." localSheetId="12" hidden="1">{"CWIP2",#N/A,FALSE,"CWIP";"CWIP3",#N/A,FALSE,"CWIP"}</definedName>
    <definedName name="wrn.cwip." localSheetId="20" hidden="1">{"CWIP2",#N/A,FALSE,"CWIP";"CWIP3",#N/A,FALSE,"CWIP"}</definedName>
    <definedName name="wrn.cwip." localSheetId="10" hidden="1">{"CWIP2",#N/A,FALSE,"CWIP";"CWIP3",#N/A,FALSE,"CWIP"}</definedName>
    <definedName name="wrn.cwip." localSheetId="16" hidden="1">{"CWIP2",#N/A,FALSE,"CWIP";"CWIP3",#N/A,FALSE,"CWIP"}</definedName>
    <definedName name="wrn.cwip." localSheetId="18" hidden="1">{"CWIP2",#N/A,FALSE,"CWIP";"CWIP3",#N/A,FALSE,"CWIP"}</definedName>
    <definedName name="wrn.cwip." localSheetId="22" hidden="1">{"CWIP2",#N/A,FALSE,"CWIP";"CWIP3",#N/A,FALSE,"CWIP"}</definedName>
    <definedName name="wrn.cwip." localSheetId="21" hidden="1">{"CWIP2",#N/A,FALSE,"CWIP";"CWIP3",#N/A,FALSE,"CWIP"}</definedName>
    <definedName name="wrn.cwip." localSheetId="17" hidden="1">{"CWIP2",#N/A,FALSE,"CWIP";"CWIP3",#N/A,FALSE,"CWIP"}</definedName>
    <definedName name="wrn.cwip." hidden="1">{"CWIP2",#N/A,FALSE,"CWIP";"CWIP3",#N/A,FALSE,"CWIP"}</definedName>
    <definedName name="wrn.cwipa" localSheetId="19" hidden="1">{"CWIP2",#N/A,FALSE,"CWIP";"CWIP3",#N/A,FALSE,"CWIP"}</definedName>
    <definedName name="wrn.cwipa" localSheetId="11" hidden="1">{"CWIP2",#N/A,FALSE,"CWIP";"CWIP3",#N/A,FALSE,"CWIP"}</definedName>
    <definedName name="wrn.cwipa" localSheetId="13" hidden="1">{"CWIP2",#N/A,FALSE,"CWIP";"CWIP3",#N/A,FALSE,"CWIP"}</definedName>
    <definedName name="wrn.cwipa" localSheetId="23" hidden="1">{"CWIP2",#N/A,FALSE,"CWIP";"CWIP3",#N/A,FALSE,"CWIP"}</definedName>
    <definedName name="wrn.cwipa" localSheetId="9" hidden="1">{"CWIP2",#N/A,FALSE,"CWIP";"CWIP3",#N/A,FALSE,"CWIP"}</definedName>
    <definedName name="wrn.cwipa" localSheetId="12" hidden="1">{"CWIP2",#N/A,FALSE,"CWIP";"CWIP3",#N/A,FALSE,"CWIP"}</definedName>
    <definedName name="wrn.cwipa" localSheetId="20" hidden="1">{"CWIP2",#N/A,FALSE,"CWIP";"CWIP3",#N/A,FALSE,"CWIP"}</definedName>
    <definedName name="wrn.cwipa" localSheetId="10" hidden="1">{"CWIP2",#N/A,FALSE,"CWIP";"CWIP3",#N/A,FALSE,"CWIP"}</definedName>
    <definedName name="wrn.cwipa" localSheetId="16" hidden="1">{"CWIP2",#N/A,FALSE,"CWIP";"CWIP3",#N/A,FALSE,"CWIP"}</definedName>
    <definedName name="wrn.cwipa" localSheetId="18" hidden="1">{"CWIP2",#N/A,FALSE,"CWIP";"CWIP3",#N/A,FALSE,"CWIP"}</definedName>
    <definedName name="wrn.cwipa" localSheetId="22" hidden="1">{"CWIP2",#N/A,FALSE,"CWIP";"CWIP3",#N/A,FALSE,"CWIP"}</definedName>
    <definedName name="wrn.cwipa" localSheetId="21" hidden="1">{"CWIP2",#N/A,FALSE,"CWIP";"CWIP3",#N/A,FALSE,"CWIP"}</definedName>
    <definedName name="wrn.cwipa" localSheetId="17" hidden="1">{"CWIP2",#N/A,FALSE,"CWIP";"CWIP3",#N/A,FALSE,"CWIP"}</definedName>
    <definedName name="wrn.cwipa" hidden="1">{"CWIP2",#N/A,FALSE,"CWIP";"CWIP3",#N/A,FALSE,"CWIP"}</definedName>
    <definedName name="wrn.Earnings._.Test." localSheetId="19"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1"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3"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23"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9"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2"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20"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0"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6"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8"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22"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21"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7"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full._.print." localSheetId="19"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1"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3"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23"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9"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2"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20"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0"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6"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8"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22"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21"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7"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matdtl." localSheetId="19" hidden="1">{"MATALL",#N/A,FALSE,"Sheet4";"matclass",#N/A,FALSE,"Sheet4"}</definedName>
    <definedName name="wrn.matdtl." localSheetId="11" hidden="1">{"MATALL",#N/A,FALSE,"Sheet4";"matclass",#N/A,FALSE,"Sheet4"}</definedName>
    <definedName name="wrn.matdtl." localSheetId="13" hidden="1">{"MATALL",#N/A,FALSE,"Sheet4";"matclass",#N/A,FALSE,"Sheet4"}</definedName>
    <definedName name="wrn.matdtl." localSheetId="23" hidden="1">{"MATALL",#N/A,FALSE,"Sheet4";"matclass",#N/A,FALSE,"Sheet4"}</definedName>
    <definedName name="wrn.matdtl." localSheetId="9" hidden="1">{"MATALL",#N/A,FALSE,"Sheet4";"matclass",#N/A,FALSE,"Sheet4"}</definedName>
    <definedName name="wrn.matdtl." localSheetId="12" hidden="1">{"MATALL",#N/A,FALSE,"Sheet4";"matclass",#N/A,FALSE,"Sheet4"}</definedName>
    <definedName name="wrn.matdtl." localSheetId="20" hidden="1">{"MATALL",#N/A,FALSE,"Sheet4";"matclass",#N/A,FALSE,"Sheet4"}</definedName>
    <definedName name="wrn.matdtl." localSheetId="10" hidden="1">{"MATALL",#N/A,FALSE,"Sheet4";"matclass",#N/A,FALSE,"Sheet4"}</definedName>
    <definedName name="wrn.matdtl." localSheetId="16" hidden="1">{"MATALL",#N/A,FALSE,"Sheet4";"matclass",#N/A,FALSE,"Sheet4"}</definedName>
    <definedName name="wrn.matdtl." localSheetId="18" hidden="1">{"MATALL",#N/A,FALSE,"Sheet4";"matclass",#N/A,FALSE,"Sheet4"}</definedName>
    <definedName name="wrn.matdtl." localSheetId="22" hidden="1">{"MATALL",#N/A,FALSE,"Sheet4";"matclass",#N/A,FALSE,"Sheet4"}</definedName>
    <definedName name="wrn.matdtl." localSheetId="21" hidden="1">{"MATALL",#N/A,FALSE,"Sheet4";"matclass",#N/A,FALSE,"Sheet4"}</definedName>
    <definedName name="wrn.matdtl." localSheetId="17" hidden="1">{"MATALL",#N/A,FALSE,"Sheet4";"matclass",#N/A,FALSE,"Sheet4"}</definedName>
    <definedName name="wrn.matdtl." hidden="1">{"MATALL",#N/A,FALSE,"Sheet4";"matclass",#N/A,FALSE,"Sheet4"}</definedName>
    <definedName name="wrn.matdtla" localSheetId="19" hidden="1">{"MATALL",#N/A,FALSE,"Sheet4";"matclass",#N/A,FALSE,"Sheet4"}</definedName>
    <definedName name="wrn.matdtla" localSheetId="11" hidden="1">{"MATALL",#N/A,FALSE,"Sheet4";"matclass",#N/A,FALSE,"Sheet4"}</definedName>
    <definedName name="wrn.matdtla" localSheetId="13" hidden="1">{"MATALL",#N/A,FALSE,"Sheet4";"matclass",#N/A,FALSE,"Sheet4"}</definedName>
    <definedName name="wrn.matdtla" localSheetId="23" hidden="1">{"MATALL",#N/A,FALSE,"Sheet4";"matclass",#N/A,FALSE,"Sheet4"}</definedName>
    <definedName name="wrn.matdtla" localSheetId="9" hidden="1">{"MATALL",#N/A,FALSE,"Sheet4";"matclass",#N/A,FALSE,"Sheet4"}</definedName>
    <definedName name="wrn.matdtla" localSheetId="12" hidden="1">{"MATALL",#N/A,FALSE,"Sheet4";"matclass",#N/A,FALSE,"Sheet4"}</definedName>
    <definedName name="wrn.matdtla" localSheetId="20" hidden="1">{"MATALL",#N/A,FALSE,"Sheet4";"matclass",#N/A,FALSE,"Sheet4"}</definedName>
    <definedName name="wrn.matdtla" localSheetId="10" hidden="1">{"MATALL",#N/A,FALSE,"Sheet4";"matclass",#N/A,FALSE,"Sheet4"}</definedName>
    <definedName name="wrn.matdtla" localSheetId="16" hidden="1">{"MATALL",#N/A,FALSE,"Sheet4";"matclass",#N/A,FALSE,"Sheet4"}</definedName>
    <definedName name="wrn.matdtla" localSheetId="18" hidden="1">{"MATALL",#N/A,FALSE,"Sheet4";"matclass",#N/A,FALSE,"Sheet4"}</definedName>
    <definedName name="wrn.matdtla" localSheetId="22" hidden="1">{"MATALL",#N/A,FALSE,"Sheet4";"matclass",#N/A,FALSE,"Sheet4"}</definedName>
    <definedName name="wrn.matdtla" localSheetId="21" hidden="1">{"MATALL",#N/A,FALSE,"Sheet4";"matclass",#N/A,FALSE,"Sheet4"}</definedName>
    <definedName name="wrn.matdtla" localSheetId="17" hidden="1">{"MATALL",#N/A,FALSE,"Sheet4";"matclass",#N/A,FALSE,"Sheet4"}</definedName>
    <definedName name="wrn.matdtla" hidden="1">{"MATALL",#N/A,FALSE,"Sheet4";"matclass",#N/A,FALSE,"Sheet4"}</definedName>
    <definedName name="wrn.PPJOURNAL._.ENTRY." localSheetId="11" hidden="1">{"PPDEFERREDBAL",#N/A,FALSE,"PRIOR PERIOD ADJMT";#N/A,#N/A,FALSE,"PRIOR PERIOD ADJMT";"PPJOURNALENTRY",#N/A,FALSE,"PRIOR PERIOD ADJMT"}</definedName>
    <definedName name="wrn.PPJOURNAL._.ENTRY." localSheetId="13" hidden="1">{"PPDEFERREDBAL",#N/A,FALSE,"PRIOR PERIOD ADJMT";#N/A,#N/A,FALSE,"PRIOR PERIOD ADJMT";"PPJOURNALENTRY",#N/A,FALSE,"PRIOR PERIOD ADJMT"}</definedName>
    <definedName name="wrn.PPJOURNAL._.ENTRY." localSheetId="23" hidden="1">{"PPDEFERREDBAL",#N/A,FALSE,"PRIOR PERIOD ADJMT";#N/A,#N/A,FALSE,"PRIOR PERIOD ADJMT";"PPJOURNALENTRY",#N/A,FALSE,"PRIOR PERIOD ADJMT"}</definedName>
    <definedName name="wrn.PPJOURNAL._.ENTRY." localSheetId="9" hidden="1">{"PPDEFERREDBAL",#N/A,FALSE,"PRIOR PERIOD ADJMT";#N/A,#N/A,FALSE,"PRIOR PERIOD ADJMT";"PPJOURNALENTRY",#N/A,FALSE,"PRIOR PERIOD ADJMT"}</definedName>
    <definedName name="wrn.PPJOURNAL._.ENTRY." localSheetId="12" hidden="1">{"PPDEFERREDBAL",#N/A,FALSE,"PRIOR PERIOD ADJMT";#N/A,#N/A,FALSE,"PRIOR PERIOD ADJMT";"PPJOURNALENTRY",#N/A,FALSE,"PRIOR PERIOD ADJMT"}</definedName>
    <definedName name="wrn.PPJOURNAL._.ENTRY." localSheetId="20" hidden="1">{"PPDEFERREDBAL",#N/A,FALSE,"PRIOR PERIOD ADJMT";#N/A,#N/A,FALSE,"PRIOR PERIOD ADJMT";"PPJOURNALENTRY",#N/A,FALSE,"PRIOR PERIOD ADJMT"}</definedName>
    <definedName name="wrn.PPJOURNAL._.ENTRY." localSheetId="10" hidden="1">{"PPDEFERREDBAL",#N/A,FALSE,"PRIOR PERIOD ADJMT";#N/A,#N/A,FALSE,"PRIOR PERIOD ADJMT";"PPJOURNALENTRY",#N/A,FALSE,"PRIOR PERIOD ADJMT"}</definedName>
    <definedName name="wrn.PPJOURNAL._.ENTRY." localSheetId="16" hidden="1">{"PPDEFERREDBAL",#N/A,FALSE,"PRIOR PERIOD ADJMT";#N/A,#N/A,FALSE,"PRIOR PERIOD ADJMT";"PPJOURNALENTRY",#N/A,FALSE,"PRIOR PERIOD ADJMT"}</definedName>
    <definedName name="wrn.PPJOURNAL._.ENTRY." localSheetId="22" hidden="1">{"PPDEFERREDBAL",#N/A,FALSE,"PRIOR PERIOD ADJMT";#N/A,#N/A,FALSE,"PRIOR PERIOD ADJMT";"PPJOURNALENTRY",#N/A,FALSE,"PRIOR PERIOD ADJMT"}</definedName>
    <definedName name="wrn.PPJOURNAL._.ENTRY." localSheetId="21" hidden="1">{"PPDEFERREDBAL",#N/A,FALSE,"PRIOR PERIOD ADJMT";#N/A,#N/A,FALSE,"PRIOR PERIOD ADJMT";"PPJOURNALENTRY",#N/A,FALSE,"PRIOR PERIOD ADJMT"}</definedName>
    <definedName name="wrn.PPJOURNAL._.ENTRY." localSheetId="17" hidden="1">{"PPDEFERREDBAL",#N/A,FALSE,"PRIOR PERIOD ADJMT";#N/A,#N/A,FALSE,"PRIOR PERIOD ADJMT";"PPJOURNALENTRY",#N/A,FALSE,"PRIOR PERIOD ADJMT"}</definedName>
    <definedName name="wrn.PPJOURNAL._.ENTRY." hidden="1">{"PPDEFERREDBAL",#N/A,FALSE,"PRIOR PERIOD ADJMT";#N/A,#N/A,FALSE,"PRIOR PERIOD ADJMT";"PPJOURNALENTRY",#N/A,FALSE,"PRIOR PERIOD ADJMT"}</definedName>
    <definedName name="wrn.PRIOR._.PERIOD._.ADJMT." localSheetId="11" hidden="1">{#N/A,#N/A,FALSE,"PRIOR PERIOD ADJMT"}</definedName>
    <definedName name="wrn.PRIOR._.PERIOD._.ADJMT." localSheetId="13" hidden="1">{#N/A,#N/A,FALSE,"PRIOR PERIOD ADJMT"}</definedName>
    <definedName name="wrn.PRIOR._.PERIOD._.ADJMT." localSheetId="23" hidden="1">{#N/A,#N/A,FALSE,"PRIOR PERIOD ADJMT"}</definedName>
    <definedName name="wrn.PRIOR._.PERIOD._.ADJMT." localSheetId="9" hidden="1">{#N/A,#N/A,FALSE,"PRIOR PERIOD ADJMT"}</definedName>
    <definedName name="wrn.PRIOR._.PERIOD._.ADJMT." localSheetId="12" hidden="1">{#N/A,#N/A,FALSE,"PRIOR PERIOD ADJMT"}</definedName>
    <definedName name="wrn.PRIOR._.PERIOD._.ADJMT." localSheetId="20" hidden="1">{#N/A,#N/A,FALSE,"PRIOR PERIOD ADJMT"}</definedName>
    <definedName name="wrn.PRIOR._.PERIOD._.ADJMT." localSheetId="10" hidden="1">{#N/A,#N/A,FALSE,"PRIOR PERIOD ADJMT"}</definedName>
    <definedName name="wrn.PRIOR._.PERIOD._.ADJMT." localSheetId="16" hidden="1">{#N/A,#N/A,FALSE,"PRIOR PERIOD ADJMT"}</definedName>
    <definedName name="wrn.PRIOR._.PERIOD._.ADJMT." localSheetId="22" hidden="1">{#N/A,#N/A,FALSE,"PRIOR PERIOD ADJMT"}</definedName>
    <definedName name="wrn.PRIOR._.PERIOD._.ADJMT." localSheetId="21" hidden="1">{#N/A,#N/A,FALSE,"PRIOR PERIOD ADJMT"}</definedName>
    <definedName name="wrn.PRIOR._.PERIOD._.ADJMT." localSheetId="17" hidden="1">{#N/A,#N/A,FALSE,"PRIOR PERIOD ADJMT"}</definedName>
    <definedName name="wrn.PRIOR._.PERIOD._.ADJMT." hidden="1">{#N/A,#N/A,FALSE,"PRIOR PERIOD ADJMT"}</definedName>
    <definedName name="wrn.Production." localSheetId="19" hidden="1">{"Production",#N/A,FALSE,"Electric O&amp;M Functionalization"}</definedName>
    <definedName name="wrn.Production." localSheetId="11" hidden="1">{"Production",#N/A,FALSE,"Electric O&amp;M Functionalization"}</definedName>
    <definedName name="wrn.Production." localSheetId="13" hidden="1">{"Production",#N/A,FALSE,"Electric O&amp;M Functionalization"}</definedName>
    <definedName name="wrn.Production." localSheetId="23" hidden="1">{"Production",#N/A,FALSE,"Electric O&amp;M Functionalization"}</definedName>
    <definedName name="wrn.Production." localSheetId="9" hidden="1">{"Production",#N/A,FALSE,"Electric O&amp;M Functionalization"}</definedName>
    <definedName name="wrn.Production." localSheetId="12" hidden="1">{"Production",#N/A,FALSE,"Electric O&amp;M Functionalization"}</definedName>
    <definedName name="wrn.Production." localSheetId="20" hidden="1">{"Production",#N/A,FALSE,"Electric O&amp;M Functionalization"}</definedName>
    <definedName name="wrn.Production." localSheetId="10" hidden="1">{"Production",#N/A,FALSE,"Electric O&amp;M Functionalization"}</definedName>
    <definedName name="wrn.Production." localSheetId="16" hidden="1">{"Production",#N/A,FALSE,"Electric O&amp;M Functionalization"}</definedName>
    <definedName name="wrn.Production." localSheetId="18" hidden="1">{"Production",#N/A,FALSE,"Electric O&amp;M Functionalization"}</definedName>
    <definedName name="wrn.Production." localSheetId="22" hidden="1">{"Production",#N/A,FALSE,"Electric O&amp;M Functionalization"}</definedName>
    <definedName name="wrn.Production." localSheetId="21" hidden="1">{"Production",#N/A,FALSE,"Electric O&amp;M Functionalization"}</definedName>
    <definedName name="wrn.Production." localSheetId="17" hidden="1">{"Production",#N/A,FALSE,"Electric O&amp;M Functionalization"}</definedName>
    <definedName name="wrn.Production." hidden="1">{"Production",#N/A,FALSE,"Electric O&amp;M Functionalization"}</definedName>
    <definedName name="wrn.Transmission." localSheetId="19" hidden="1">{"Transmission",#N/A,FALSE,"Electric O&amp;M Functionalization"}</definedName>
    <definedName name="wrn.Transmission." localSheetId="11" hidden="1">{"Transmission",#N/A,FALSE,"Electric O&amp;M Functionalization"}</definedName>
    <definedName name="wrn.Transmission." localSheetId="13" hidden="1">{"Transmission",#N/A,FALSE,"Electric O&amp;M Functionalization"}</definedName>
    <definedName name="wrn.Transmission." localSheetId="23" hidden="1">{"Transmission",#N/A,FALSE,"Electric O&amp;M Functionalization"}</definedName>
    <definedName name="wrn.Transmission." localSheetId="9" hidden="1">{"Transmission",#N/A,FALSE,"Electric O&amp;M Functionalization"}</definedName>
    <definedName name="wrn.Transmission." localSheetId="12" hidden="1">{"Transmission",#N/A,FALSE,"Electric O&amp;M Functionalization"}</definedName>
    <definedName name="wrn.Transmission." localSheetId="20" hidden="1">{"Transmission",#N/A,FALSE,"Electric O&amp;M Functionalization"}</definedName>
    <definedName name="wrn.Transmission." localSheetId="10" hidden="1">{"Transmission",#N/A,FALSE,"Electric O&amp;M Functionalization"}</definedName>
    <definedName name="wrn.Transmission." localSheetId="16" hidden="1">{"Transmission",#N/A,FALSE,"Electric O&amp;M Functionalization"}</definedName>
    <definedName name="wrn.Transmission." localSheetId="18" hidden="1">{"Transmission",#N/A,FALSE,"Electric O&amp;M Functionalization"}</definedName>
    <definedName name="wrn.Transmission." localSheetId="22" hidden="1">{"Transmission",#N/A,FALSE,"Electric O&amp;M Functionalization"}</definedName>
    <definedName name="wrn.Transmission." localSheetId="21" hidden="1">{"Transmission",#N/A,FALSE,"Electric O&amp;M Functionalization"}</definedName>
    <definedName name="wrn.Transmission." localSheetId="17" hidden="1">{"Transmission",#N/A,FALSE,"Electric O&amp;M Functionalization"}</definedName>
    <definedName name="wrn.Transmission." hidden="1">{"Transmission",#N/A,FALSE,"Electric O&amp;M Functionalization"}</definedName>
    <definedName name="wrn.WORKCAP." localSheetId="19" hidden="1">{"WCCWCLL",#N/A,FALSE,"Sheet3";"PP",#N/A,FALSE,"Sheet3";"MAT1",#N/A,FALSE,"Sheet3";"MAT2",#N/A,FALSE,"Sheet3"}</definedName>
    <definedName name="wrn.WORKCAP." localSheetId="11" hidden="1">{"WCCWCLL",#N/A,FALSE,"Sheet3";"PP",#N/A,FALSE,"Sheet3";"MAT1",#N/A,FALSE,"Sheet3";"MAT2",#N/A,FALSE,"Sheet3"}</definedName>
    <definedName name="wrn.WORKCAP." localSheetId="13" hidden="1">{"WCCWCLL",#N/A,FALSE,"Sheet3";"PP",#N/A,FALSE,"Sheet3";"MAT1",#N/A,FALSE,"Sheet3";"MAT2",#N/A,FALSE,"Sheet3"}</definedName>
    <definedName name="wrn.WORKCAP." localSheetId="23" hidden="1">{"WCCWCLL",#N/A,FALSE,"Sheet3";"PP",#N/A,FALSE,"Sheet3";"MAT1",#N/A,FALSE,"Sheet3";"MAT2",#N/A,FALSE,"Sheet3"}</definedName>
    <definedName name="wrn.WORKCAP." localSheetId="9" hidden="1">{"WCCWCLL",#N/A,FALSE,"Sheet3";"PP",#N/A,FALSE,"Sheet3";"MAT1",#N/A,FALSE,"Sheet3";"MAT2",#N/A,FALSE,"Sheet3"}</definedName>
    <definedName name="wrn.WORKCAP." localSheetId="12" hidden="1">{"WCCWCLL",#N/A,FALSE,"Sheet3";"PP",#N/A,FALSE,"Sheet3";"MAT1",#N/A,FALSE,"Sheet3";"MAT2",#N/A,FALSE,"Sheet3"}</definedName>
    <definedName name="wrn.WORKCAP." localSheetId="20" hidden="1">{"WCCWCLL",#N/A,FALSE,"Sheet3";"PP",#N/A,FALSE,"Sheet3";"MAT1",#N/A,FALSE,"Sheet3";"MAT2",#N/A,FALSE,"Sheet3"}</definedName>
    <definedName name="wrn.WORKCAP." localSheetId="10" hidden="1">{"WCCWCLL",#N/A,FALSE,"Sheet3";"PP",#N/A,FALSE,"Sheet3";"MAT1",#N/A,FALSE,"Sheet3";"MAT2",#N/A,FALSE,"Sheet3"}</definedName>
    <definedName name="wrn.WORKCAP." localSheetId="16" hidden="1">{"WCCWCLL",#N/A,FALSE,"Sheet3";"PP",#N/A,FALSE,"Sheet3";"MAT1",#N/A,FALSE,"Sheet3";"MAT2",#N/A,FALSE,"Sheet3"}</definedName>
    <definedName name="wrn.WORKCAP." localSheetId="18" hidden="1">{"WCCWCLL",#N/A,FALSE,"Sheet3";"PP",#N/A,FALSE,"Sheet3";"MAT1",#N/A,FALSE,"Sheet3";"MAT2",#N/A,FALSE,"Sheet3"}</definedName>
    <definedName name="wrn.WORKCAP." localSheetId="22" hidden="1">{"WCCWCLL",#N/A,FALSE,"Sheet3";"PP",#N/A,FALSE,"Sheet3";"MAT1",#N/A,FALSE,"Sheet3";"MAT2",#N/A,FALSE,"Sheet3"}</definedName>
    <definedName name="wrn.WORKCAP." localSheetId="21" hidden="1">{"WCCWCLL",#N/A,FALSE,"Sheet3";"PP",#N/A,FALSE,"Sheet3";"MAT1",#N/A,FALSE,"Sheet3";"MAT2",#N/A,FALSE,"Sheet3"}</definedName>
    <definedName name="wrn.WORKCAP." localSheetId="17" hidden="1">{"WCCWCLL",#N/A,FALSE,"Sheet3";"PP",#N/A,FALSE,"Sheet3";"MAT1",#N/A,FALSE,"Sheet3";"MAT2",#N/A,FALSE,"Sheet3"}</definedName>
    <definedName name="wrn.WORKCAP." hidden="1">{"WCCWCLL",#N/A,FALSE,"Sheet3";"PP",#N/A,FALSE,"Sheet3";"MAT1",#N/A,FALSE,"Sheet3";"MAT2",#N/A,FALSE,"Sheet3"}</definedName>
    <definedName name="wvu.DATABASE." localSheetId="11"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3"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23"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9"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2"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20"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0"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6"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22"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21"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7"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istplt." localSheetId="11" hidden="1">{FALSE,TRUE,-1.25,-15.5,484.5,274.5,FALSE,TRUE,TRUE,TRUE,0,24,#N/A,1,#N/A,12.03,20,1,FALSE,FALSE,3,TRUE,1,FALSE,75,"Swvu.Distplt.","ACwvu.Distplt.",#N/A,FALSE,FALSE,1,0.75,0.75,0.75,1,"","",FALSE,FALSE,FALSE,FALSE,1,#N/A,1,1,FALSE,FALSE,#N/A,#N/A,FALSE,FALSE,FALSE,1,300,300,FALSE,FALSE,TRUE,TRUE,TRUE}</definedName>
    <definedName name="wvu.Distplt." localSheetId="13" hidden="1">{FALSE,TRUE,-1.25,-15.5,484.5,274.5,FALSE,TRUE,TRUE,TRUE,0,24,#N/A,1,#N/A,12.03,20,1,FALSE,FALSE,3,TRUE,1,FALSE,75,"Swvu.Distplt.","ACwvu.Distplt.",#N/A,FALSE,FALSE,1,0.75,0.75,0.75,1,"","",FALSE,FALSE,FALSE,FALSE,1,#N/A,1,1,FALSE,FALSE,#N/A,#N/A,FALSE,FALSE,FALSE,1,300,300,FALSE,FALSE,TRUE,TRUE,TRUE}</definedName>
    <definedName name="wvu.Distplt." localSheetId="12" hidden="1">{FALSE,TRUE,-1.25,-15.5,484.5,274.5,FALSE,TRUE,TRUE,TRUE,0,24,#N/A,1,#N/A,12.03,20,1,FALSE,FALSE,3,TRUE,1,FALSE,75,"Swvu.Distplt.","ACwvu.Distplt.",#N/A,FALSE,FALSE,1,0.75,0.75,0.75,1,"","",FALSE,FALSE,FALSE,FALSE,1,#N/A,1,1,FALSE,FALSE,#N/A,#N/A,FALSE,FALSE,FALSE,1,300,300,FALSE,FALSE,TRUE,TRUE,TRUE}</definedName>
    <definedName name="wvu.Distplt." localSheetId="10" hidden="1">{FALSE,TRUE,-1.25,-15.5,484.5,274.5,FALSE,TRUE,TRUE,TRUE,0,24,#N/A,1,#N/A,12.03,20,1,FALSE,FALSE,3,TRUE,1,FALSE,75,"Swvu.Distplt.","ACwvu.Distplt.",#N/A,FALSE,FALSE,1,0.75,0.75,0.75,1,"","",FALSE,FALSE,FALSE,FALSE,1,#N/A,1,1,FALSE,FALSE,#N/A,#N/A,FALSE,FALSE,FALSE,1,300,300,FALSE,FALSE,TRUE,TRUE,TRUE}</definedName>
    <definedName name="wvu.Distplt." localSheetId="16" hidden="1">{FALSE,TRUE,-1.25,-15.5,484.5,274.5,FALSE,TRUE,TRUE,TRUE,0,24,#N/A,1,#N/A,12.03,20,1,FALSE,FALSE,3,TRUE,1,FALSE,75,"Swvu.Distplt.","ACwvu.Distplt.",#N/A,FALSE,FALSE,1,0.75,0.75,0.75,1,"","",FALSE,FALSE,FALSE,FALSE,1,#N/A,1,1,FALSE,FALSE,#N/A,#N/A,FALSE,FALSE,FALSE,1,300,300,FALSE,FALSE,TRUE,TRUE,TRUE}</definedName>
    <definedName name="wvu.Distplt." localSheetId="17" hidden="1">{FALSE,TRUE,-1.25,-15.5,484.5,274.5,FALSE,TRUE,TRUE,TRUE,0,24,#N/A,1,#N/A,12.03,20,1,FALSE,FALSE,3,TRUE,1,FALSE,75,"Swvu.Distplt.","ACwvu.Distplt.",#N/A,FALSE,FALSE,1,0.75,0.75,0.75,1,"","",FALSE,FALSE,FALSE,FALSE,1,#N/A,1,1,FALSE,FALSE,#N/A,#N/A,FALSE,FALSE,FALSE,1,300,300,FALSE,FALSE,TRUE,TRUE,TRUE}</definedName>
    <definedName name="wvu.OP." localSheetId="11"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3"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23"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9"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2"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20"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0"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6"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22"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21"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7"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Plant." localSheetId="11" hidden="1">{TRUE,TRUE,-1.25,-15.5,484.5,274.5,FALSE,TRUE,TRUE,TRUE,0,11,#N/A,47,#N/A,11.030303030303,20.4375,1,FALSE,FALSE,3,TRUE,1,FALSE,75,"Swvu.Plant.","ACwvu.Plant.",#N/A,FALSE,FALSE,0.75,0.75,0.5,0.5,2,"","",FALSE,FALSE,FALSE,FALSE,1,#N/A,1,1,"=R1C2:R60C21",FALSE,#N/A,#N/A,FALSE,FALSE,FALSE,1,300,300,FALSE,FALSE,TRUE,TRUE,TRUE}</definedName>
    <definedName name="wvu.Plant." localSheetId="13" hidden="1">{TRUE,TRUE,-1.25,-15.5,484.5,274.5,FALSE,TRUE,TRUE,TRUE,0,11,#N/A,47,#N/A,11.030303030303,20.4375,1,FALSE,FALSE,3,TRUE,1,FALSE,75,"Swvu.Plant.","ACwvu.Plant.",#N/A,FALSE,FALSE,0.75,0.75,0.5,0.5,2,"","",FALSE,FALSE,FALSE,FALSE,1,#N/A,1,1,"=R1C2:R60C21",FALSE,#N/A,#N/A,FALSE,FALSE,FALSE,1,300,300,FALSE,FALSE,TRUE,TRUE,TRUE}</definedName>
    <definedName name="wvu.Plant." localSheetId="12" hidden="1">{TRUE,TRUE,-1.25,-15.5,484.5,274.5,FALSE,TRUE,TRUE,TRUE,0,11,#N/A,47,#N/A,11.030303030303,20.4375,1,FALSE,FALSE,3,TRUE,1,FALSE,75,"Swvu.Plant.","ACwvu.Plant.",#N/A,FALSE,FALSE,0.75,0.75,0.5,0.5,2,"","",FALSE,FALSE,FALSE,FALSE,1,#N/A,1,1,"=R1C2:R60C21",FALSE,#N/A,#N/A,FALSE,FALSE,FALSE,1,300,300,FALSE,FALSE,TRUE,TRUE,TRUE}</definedName>
    <definedName name="wvu.Plant." localSheetId="10" hidden="1">{TRUE,TRUE,-1.25,-15.5,484.5,274.5,FALSE,TRUE,TRUE,TRUE,0,11,#N/A,47,#N/A,11.030303030303,20.4375,1,FALSE,FALSE,3,TRUE,1,FALSE,75,"Swvu.Plant.","ACwvu.Plant.",#N/A,FALSE,FALSE,0.75,0.75,0.5,0.5,2,"","",FALSE,FALSE,FALSE,FALSE,1,#N/A,1,1,"=R1C2:R60C21",FALSE,#N/A,#N/A,FALSE,FALSE,FALSE,1,300,300,FALSE,FALSE,TRUE,TRUE,TRUE}</definedName>
    <definedName name="wvu.Plant." localSheetId="16" hidden="1">{TRUE,TRUE,-1.25,-15.5,484.5,274.5,FALSE,TRUE,TRUE,TRUE,0,11,#N/A,47,#N/A,11.030303030303,20.4375,1,FALSE,FALSE,3,TRUE,1,FALSE,75,"Swvu.Plant.","ACwvu.Plant.",#N/A,FALSE,FALSE,0.75,0.75,0.5,0.5,2,"","",FALSE,FALSE,FALSE,FALSE,1,#N/A,1,1,"=R1C2:R60C21",FALSE,#N/A,#N/A,FALSE,FALSE,FALSE,1,300,300,FALSE,FALSE,TRUE,TRUE,TRUE}</definedName>
    <definedName name="wvu.Plant." localSheetId="17" hidden="1">{TRUE,TRUE,-1.25,-15.5,484.5,274.5,FALSE,TRUE,TRUE,TRUE,0,11,#N/A,47,#N/A,11.030303030303,20.4375,1,FALSE,FALSE,3,TRUE,1,FALSE,75,"Swvu.Plant.","ACwvu.Plant.",#N/A,FALSE,FALSE,0.75,0.75,0.5,0.5,2,"","",FALSE,FALSE,FALSE,FALSE,1,#N/A,1,1,"=R1C2:R60C21",FALSE,#N/A,#N/A,FALSE,FALSE,FALSE,1,300,300,FALSE,FALSE,TRUE,TRUE,TRUE}</definedName>
    <definedName name="wvu.WP1." localSheetId="11" hidden="1">{TRUE,TRUE,-1.25,-15.5,484.5,279.75,FALSE,FALSE,TRUE,TRUE,0,3,#N/A,1,#N/A,6.54545454545454,15.55,1,FALSE,FALSE,3,TRUE,1,FALSE,100,"Swvu.WP1.","ACwvu.WP1.",1,FALSE,FALSE,0.25,0.25,0.25,0.25,1,"","&amp;L&amp;D &amp;T NBW&amp;C&amp;P&amp;R&amp;F",FALSE,FALSE,FALSE,FALSE,1,100,#N/A,#N/A,FALSE,FALSE,#N/A,#N/A,FALSE,FALSE}</definedName>
    <definedName name="wvu.WP1." localSheetId="13" hidden="1">{TRUE,TRUE,-1.25,-15.5,484.5,279.75,FALSE,FALSE,TRUE,TRUE,0,3,#N/A,1,#N/A,6.54545454545454,15.55,1,FALSE,FALSE,3,TRUE,1,FALSE,100,"Swvu.WP1.","ACwvu.WP1.",1,FALSE,FALSE,0.25,0.25,0.25,0.25,1,"","&amp;L&amp;D &amp;T NBW&amp;C&amp;P&amp;R&amp;F",FALSE,FALSE,FALSE,FALSE,1,100,#N/A,#N/A,FALSE,FALSE,#N/A,#N/A,FALSE,FALSE}</definedName>
    <definedName name="wvu.WP1." localSheetId="23" hidden="1">{TRUE,TRUE,-1.25,-15.5,484.5,279.75,FALSE,FALSE,TRUE,TRUE,0,3,#N/A,1,#N/A,6.54545454545454,15.55,1,FALSE,FALSE,3,TRUE,1,FALSE,100,"Swvu.WP1.","ACwvu.WP1.",1,FALSE,FALSE,0.25,0.25,0.25,0.25,1,"","&amp;L&amp;D &amp;T NBW&amp;C&amp;P&amp;R&amp;F",FALSE,FALSE,FALSE,FALSE,1,100,#N/A,#N/A,FALSE,FALSE,#N/A,#N/A,FALSE,FALSE}</definedName>
    <definedName name="wvu.WP1." localSheetId="9" hidden="1">{TRUE,TRUE,-1.25,-15.5,484.5,279.75,FALSE,FALSE,TRUE,TRUE,0,3,#N/A,1,#N/A,6.54545454545454,15.55,1,FALSE,FALSE,3,TRUE,1,FALSE,100,"Swvu.WP1.","ACwvu.WP1.",1,FALSE,FALSE,0.25,0.25,0.25,0.25,1,"","&amp;L&amp;D &amp;T NBW&amp;C&amp;P&amp;R&amp;F",FALSE,FALSE,FALSE,FALSE,1,100,#N/A,#N/A,FALSE,FALSE,#N/A,#N/A,FALSE,FALSE}</definedName>
    <definedName name="wvu.WP1." localSheetId="12" hidden="1">{TRUE,TRUE,-1.25,-15.5,484.5,279.75,FALSE,FALSE,TRUE,TRUE,0,3,#N/A,1,#N/A,6.54545454545454,15.55,1,FALSE,FALSE,3,TRUE,1,FALSE,100,"Swvu.WP1.","ACwvu.WP1.",1,FALSE,FALSE,0.25,0.25,0.25,0.25,1,"","&amp;L&amp;D &amp;T NBW&amp;C&amp;P&amp;R&amp;F",FALSE,FALSE,FALSE,FALSE,1,100,#N/A,#N/A,FALSE,FALSE,#N/A,#N/A,FALSE,FALSE}</definedName>
    <definedName name="wvu.WP1." localSheetId="20" hidden="1">{TRUE,TRUE,-1.25,-15.5,484.5,279.75,FALSE,FALSE,TRUE,TRUE,0,3,#N/A,1,#N/A,6.54545454545454,15.55,1,FALSE,FALSE,3,TRUE,1,FALSE,100,"Swvu.WP1.","ACwvu.WP1.",1,FALSE,FALSE,0.25,0.25,0.25,0.25,1,"","&amp;L&amp;D &amp;T NBW&amp;C&amp;P&amp;R&amp;F",FALSE,FALSE,FALSE,FALSE,1,100,#N/A,#N/A,FALSE,FALSE,#N/A,#N/A,FALSE,FALSE}</definedName>
    <definedName name="wvu.WP1." localSheetId="10" hidden="1">{TRUE,TRUE,-1.25,-15.5,484.5,279.75,FALSE,FALSE,TRUE,TRUE,0,3,#N/A,1,#N/A,6.54545454545454,15.55,1,FALSE,FALSE,3,TRUE,1,FALSE,100,"Swvu.WP1.","ACwvu.WP1.",1,FALSE,FALSE,0.25,0.25,0.25,0.25,1,"","&amp;L&amp;D &amp;T NBW&amp;C&amp;P&amp;R&amp;F",FALSE,FALSE,FALSE,FALSE,1,100,#N/A,#N/A,FALSE,FALSE,#N/A,#N/A,FALSE,FALSE}</definedName>
    <definedName name="wvu.WP1." localSheetId="16" hidden="1">{TRUE,TRUE,-1.25,-15.5,484.5,279.75,FALSE,FALSE,TRUE,TRUE,0,3,#N/A,1,#N/A,6.54545454545454,15.55,1,FALSE,FALSE,3,TRUE,1,FALSE,100,"Swvu.WP1.","ACwvu.WP1.",1,FALSE,FALSE,0.25,0.25,0.25,0.25,1,"","&amp;L&amp;D &amp;T NBW&amp;C&amp;P&amp;R&amp;F",FALSE,FALSE,FALSE,FALSE,1,100,#N/A,#N/A,FALSE,FALSE,#N/A,#N/A,FALSE,FALSE}</definedName>
    <definedName name="wvu.WP1." localSheetId="22" hidden="1">{TRUE,TRUE,-1.25,-15.5,484.5,279.75,FALSE,FALSE,TRUE,TRUE,0,3,#N/A,1,#N/A,6.54545454545454,15.55,1,FALSE,FALSE,3,TRUE,1,FALSE,100,"Swvu.WP1.","ACwvu.WP1.",1,FALSE,FALSE,0.25,0.25,0.25,0.25,1,"","&amp;L&amp;D &amp;T NBW&amp;C&amp;P&amp;R&amp;F",FALSE,FALSE,FALSE,FALSE,1,100,#N/A,#N/A,FALSE,FALSE,#N/A,#N/A,FALSE,FALSE}</definedName>
    <definedName name="wvu.WP1." localSheetId="21" hidden="1">{TRUE,TRUE,-1.25,-15.5,484.5,279.75,FALSE,FALSE,TRUE,TRUE,0,3,#N/A,1,#N/A,6.54545454545454,15.55,1,FALSE,FALSE,3,TRUE,1,FALSE,100,"Swvu.WP1.","ACwvu.WP1.",1,FALSE,FALSE,0.25,0.25,0.25,0.25,1,"","&amp;L&amp;D &amp;T NBW&amp;C&amp;P&amp;R&amp;F",FALSE,FALSE,FALSE,FALSE,1,100,#N/A,#N/A,FALSE,FALSE,#N/A,#N/A,FALSE,FALSE}</definedName>
    <definedName name="wvu.WP1." localSheetId="17" hidden="1">{TRUE,TRUE,-1.25,-15.5,484.5,279.75,FALSE,FALSE,TRUE,TRUE,0,3,#N/A,1,#N/A,6.54545454545454,15.55,1,FALSE,FALSE,3,TRUE,1,FALSE,100,"Swvu.WP1.","ACwvu.WP1.",1,FALSE,FALSE,0.25,0.25,0.25,0.25,1,"","&amp;L&amp;D &amp;T NBW&amp;C&amp;P&amp;R&amp;F",FALSE,FALSE,FALSE,FALSE,1,100,#N/A,#N/A,FALSE,FALSE,#N/A,#N/A,FALSE,FALSE}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Z_2AB39ABB_3056_11D2_9A0A_002035671DEC_.wvu.PrintArea" localSheetId="11" hidden="1">'Accum Deprec'!$B$1:$N$64</definedName>
    <definedName name="Z_2AB39ABB_3056_11D2_9A0A_002035671DEC_.wvu.PrintArea" localSheetId="13" hidden="1">'Adj to Rate Base'!$B$1:$T$72</definedName>
    <definedName name="Z_2AB39ABB_3056_11D2_9A0A_002035671DEC_.wvu.PrintArea" localSheetId="12" hidden="1">CWIP!$B$1:$I$76</definedName>
    <definedName name="Z_2AB39ABB_3056_11D2_9A0A_002035671DEC_.wvu.PrintArea" localSheetId="10" hidden="1">'Gross Plant'!$B$1:$N$64</definedName>
    <definedName name="Z_2AB39ABB_3056_11D2_9A0A_002035671DEC_.wvu.PrintArea" localSheetId="16" hidden="1">'Land HFFU'!$B$1:$P$58</definedName>
    <definedName name="Z_2AB39ABB_3056_11D2_9A0A_002035671DEC_.wvu.PrintArea" localSheetId="17" hidden="1">'Working Capital'!$B$1:$P$38</definedName>
    <definedName name="Z_2EBC390F_35AC_11D2_9A0A_002035671DEC_.wvu.PrintArea" localSheetId="11" hidden="1">'Accum Deprec'!$B$1:$N$64</definedName>
    <definedName name="Z_2EBC390F_35AC_11D2_9A0A_002035671DEC_.wvu.PrintArea" localSheetId="13" hidden="1">'Adj to Rate Base'!$B$1:$T$72</definedName>
    <definedName name="Z_2EBC390F_35AC_11D2_9A0A_002035671DEC_.wvu.PrintArea" localSheetId="12" hidden="1">CWIP!$B$1:$I$76</definedName>
    <definedName name="Z_2EBC390F_35AC_11D2_9A0A_002035671DEC_.wvu.PrintArea" localSheetId="10" hidden="1">'Gross Plant'!$B$1:$N$64</definedName>
    <definedName name="Z_2EBC390F_35AC_11D2_9A0A_002035671DEC_.wvu.PrintArea" localSheetId="16" hidden="1">'Land HFFU'!$B$1:$P$58</definedName>
    <definedName name="Z_2EBC390F_35AC_11D2_9A0A_002035671DEC_.wvu.PrintArea" localSheetId="17" hidden="1">'Working Capital'!$B$1:$P$38</definedName>
    <definedName name="Z_695B8C1F_3695_11D2_9A0A_002035671DEC_.wvu.PrintArea" localSheetId="11" hidden="1">'Accum Deprec'!$B$1:$N$64</definedName>
    <definedName name="Z_695B8C1F_3695_11D2_9A0A_002035671DEC_.wvu.PrintArea" localSheetId="13" hidden="1">'Adj to Rate Base'!$B$1:$T$72</definedName>
    <definedName name="Z_695B8C1F_3695_11D2_9A0A_002035671DEC_.wvu.PrintArea" localSheetId="12" hidden="1">CWIP!$B$1:$I$76</definedName>
    <definedName name="Z_695B8C1F_3695_11D2_9A0A_002035671DEC_.wvu.PrintArea" localSheetId="10" hidden="1">'Gross Plant'!$B$1:$N$64</definedName>
    <definedName name="Z_695B8C1F_3695_11D2_9A0A_002035671DEC_.wvu.PrintArea" localSheetId="16" hidden="1">'Land HFFU'!$B$1:$P$58</definedName>
    <definedName name="Z_695B8C1F_3695_11D2_9A0A_002035671DEC_.wvu.PrintArea" localSheetId="17" hidden="1">'Working Capital'!$B$1:$P$38</definedName>
    <definedName name="Z_7530C500_3E4D_11D2_9A0A_002035671DEC_.wvu.PrintArea" localSheetId="11" hidden="1">'Accum Deprec'!$B$1:$N$64</definedName>
    <definedName name="Z_7530C500_3E4D_11D2_9A0A_002035671DEC_.wvu.PrintArea" localSheetId="13" hidden="1">'Adj to Rate Base'!$B$1:$T$72</definedName>
    <definedName name="Z_7530C500_3E4D_11D2_9A0A_002035671DEC_.wvu.PrintArea" localSheetId="12" hidden="1">CWIP!$B$1:$I$76</definedName>
    <definedName name="Z_7530C500_3E4D_11D2_9A0A_002035671DEC_.wvu.PrintArea" localSheetId="10" hidden="1">'Gross Plant'!$B$1:$N$64</definedName>
    <definedName name="Z_7530C500_3E4D_11D2_9A0A_002035671DEC_.wvu.PrintArea" localSheetId="16" hidden="1">'Land HFFU'!$B$1:$P$58</definedName>
    <definedName name="Z_7530C500_3E4D_11D2_9A0A_002035671DEC_.wvu.PrintArea" localSheetId="17" hidden="1">'Working Capital'!$B$1:$P$38</definedName>
    <definedName name="Z_83CCC42C_3811_11D2_9A0A_002035671DEC_.wvu.PrintArea" localSheetId="11" hidden="1">'Accum Deprec'!$B$1:$N$64</definedName>
    <definedName name="Z_83CCC42C_3811_11D2_9A0A_002035671DEC_.wvu.PrintArea" localSheetId="13" hidden="1">'Adj to Rate Base'!$B$1:$T$72</definedName>
    <definedName name="Z_83CCC42C_3811_11D2_9A0A_002035671DEC_.wvu.PrintArea" localSheetId="12" hidden="1">CWIP!$B$1:$I$76</definedName>
    <definedName name="Z_83CCC42C_3811_11D2_9A0A_002035671DEC_.wvu.PrintArea" localSheetId="10" hidden="1">'Gross Plant'!$B$1:$N$64</definedName>
    <definedName name="Z_83CCC42C_3811_11D2_9A0A_002035671DEC_.wvu.PrintArea" localSheetId="16" hidden="1">'Land HFFU'!$B$1:$P$58</definedName>
    <definedName name="Z_83CCC42C_3811_11D2_9A0A_002035671DEC_.wvu.PrintArea" localSheetId="17" hidden="1">'Working Capital'!$B$1:$P$38</definedName>
    <definedName name="Z_85FF1678_2AB5_11D2_9A0A_002035671DEC_.wvu.PrintArea" localSheetId="11" hidden="1">'Accum Deprec'!$A$1:$N$64</definedName>
    <definedName name="Z_85FF1678_2AB5_11D2_9A0A_002035671DEC_.wvu.PrintArea" localSheetId="13" hidden="1">'Adj to Rate Base'!$A$1:$T$72</definedName>
    <definedName name="Z_85FF1678_2AB5_11D2_9A0A_002035671DEC_.wvu.PrintArea" localSheetId="12" hidden="1">CWIP!$A$1:$I$76</definedName>
    <definedName name="Z_85FF1678_2AB5_11D2_9A0A_002035671DEC_.wvu.PrintArea" localSheetId="10" hidden="1">'Gross Plant'!$A$1:$N$64</definedName>
    <definedName name="Z_85FF1678_2AB5_11D2_9A0A_002035671DEC_.wvu.PrintArea" localSheetId="16" hidden="1">'Land HFFU'!$A$1:$P$58</definedName>
    <definedName name="Z_85FF1678_2AB5_11D2_9A0A_002035671DEC_.wvu.PrintArea" localSheetId="17" hidden="1">'Working Capital'!$A$1:$P$38</definedName>
    <definedName name="Z_85FF169C_2AB5_11D2_9A0A_002035671DEC_.wvu.PrintArea" localSheetId="11" hidden="1">'Accum Deprec'!$A$1:$N$64</definedName>
    <definedName name="Z_85FF169C_2AB5_11D2_9A0A_002035671DEC_.wvu.PrintArea" localSheetId="13" hidden="1">'Adj to Rate Base'!$A$1:$T$72</definedName>
    <definedName name="Z_85FF169C_2AB5_11D2_9A0A_002035671DEC_.wvu.PrintArea" localSheetId="12" hidden="1">CWIP!$A$1:$I$76</definedName>
    <definedName name="Z_85FF169C_2AB5_11D2_9A0A_002035671DEC_.wvu.PrintArea" localSheetId="10" hidden="1">'Gross Plant'!$A$1:$N$64</definedName>
    <definedName name="Z_85FF169C_2AB5_11D2_9A0A_002035671DEC_.wvu.PrintArea" localSheetId="16" hidden="1">'Land HFFU'!$A$1:$P$58</definedName>
    <definedName name="Z_85FF169C_2AB5_11D2_9A0A_002035671DEC_.wvu.PrintArea" localSheetId="17" hidden="1">'Working Capital'!$A$1:$P$38</definedName>
    <definedName name="Z_899A2362_3D94_11D2_9A0A_002035671DEC_.wvu.PrintArea" localSheetId="11" hidden="1">'Accum Deprec'!$B$1:$N$64</definedName>
    <definedName name="Z_899A2362_3D94_11D2_9A0A_002035671DEC_.wvu.PrintArea" localSheetId="13" hidden="1">'Adj to Rate Base'!$B$1:$T$72</definedName>
    <definedName name="Z_899A2362_3D94_11D2_9A0A_002035671DEC_.wvu.PrintArea" localSheetId="12" hidden="1">CWIP!$B$1:$I$76</definedName>
    <definedName name="Z_899A2362_3D94_11D2_9A0A_002035671DEC_.wvu.PrintArea" localSheetId="10" hidden="1">'Gross Plant'!$B$1:$N$64</definedName>
    <definedName name="Z_899A2362_3D94_11D2_9A0A_002035671DEC_.wvu.PrintArea" localSheetId="16" hidden="1">'Land HFFU'!$B$1:$P$58</definedName>
    <definedName name="Z_899A2362_3D94_11D2_9A0A_002035671DEC_.wvu.PrintArea" localSheetId="17" hidden="1">'Working Capital'!$B$1:$P$38</definedName>
    <definedName name="Z_96F833DF_38CF_11D2_9A0A_002035671DEC_.wvu.PrintArea" localSheetId="11" hidden="1">'Accum Deprec'!$B$1:$N$64</definedName>
    <definedName name="Z_96F833DF_38CF_11D2_9A0A_002035671DEC_.wvu.PrintArea" localSheetId="13" hidden="1">'Adj to Rate Base'!$B$1:$T$72</definedName>
    <definedName name="Z_96F833DF_38CF_11D2_9A0A_002035671DEC_.wvu.PrintArea" localSheetId="12" hidden="1">CWIP!$B$1:$I$76</definedName>
    <definedName name="Z_96F833DF_38CF_11D2_9A0A_002035671DEC_.wvu.PrintArea" localSheetId="10" hidden="1">'Gross Plant'!$B$1:$N$64</definedName>
    <definedName name="Z_96F833DF_38CF_11D2_9A0A_002035671DEC_.wvu.PrintArea" localSheetId="16" hidden="1">'Land HFFU'!$B$1:$P$58</definedName>
    <definedName name="Z_96F833DF_38CF_11D2_9A0A_002035671DEC_.wvu.PrintArea" localSheetId="17" hidden="1">'Working Capital'!$B$1:$P$38</definedName>
    <definedName name="Z_A82EF67A_30F0_11D2_9A0A_002035671DEC_.wvu.PrintArea" localSheetId="11" hidden="1">'Accum Deprec'!$B$1:$N$64</definedName>
    <definedName name="Z_A82EF67A_30F0_11D2_9A0A_002035671DEC_.wvu.PrintArea" localSheetId="13" hidden="1">'Adj to Rate Base'!$B$1:$T$72</definedName>
    <definedName name="Z_A82EF67A_30F0_11D2_9A0A_002035671DEC_.wvu.PrintArea" localSheetId="12" hidden="1">CWIP!$B$1:$I$76</definedName>
    <definedName name="Z_A82EF67A_30F0_11D2_9A0A_002035671DEC_.wvu.PrintArea" localSheetId="10" hidden="1">'Gross Plant'!$B$1:$N$64</definedName>
    <definedName name="Z_A82EF67A_30F0_11D2_9A0A_002035671DEC_.wvu.PrintArea" localSheetId="16" hidden="1">'Land HFFU'!$B$1:$P$58</definedName>
    <definedName name="Z_A82EF67A_30F0_11D2_9A0A_002035671DEC_.wvu.PrintArea" localSheetId="17" hidden="1">'Working Capital'!$B$1:$P$38</definedName>
    <definedName name="Z_B219561F_35C5_11D2_9A0A_002035671DEC_.wvu.PrintArea" localSheetId="11" hidden="1">'Accum Deprec'!$B$1:$N$64</definedName>
    <definedName name="Z_B219561F_35C5_11D2_9A0A_002035671DEC_.wvu.PrintArea" localSheetId="13" hidden="1">'Adj to Rate Base'!$B$1:$T$72</definedName>
    <definedName name="Z_B219561F_35C5_11D2_9A0A_002035671DEC_.wvu.PrintArea" localSheetId="12" hidden="1">CWIP!$B$1:$I$76</definedName>
    <definedName name="Z_B219561F_35C5_11D2_9A0A_002035671DEC_.wvu.PrintArea" localSheetId="10" hidden="1">'Gross Plant'!$B$1:$N$64</definedName>
    <definedName name="Z_B219561F_35C5_11D2_9A0A_002035671DEC_.wvu.PrintArea" localSheetId="16" hidden="1">'Land HFFU'!$B$1:$P$58</definedName>
    <definedName name="Z_B219561F_35C5_11D2_9A0A_002035671DEC_.wvu.PrintArea" localSheetId="17" hidden="1">'Working Capital'!$B$1:$P$38</definedName>
    <definedName name="Z_B6920318_2AE7_11D2_9A0A_002035671DEC_.wvu.PrintArea" localSheetId="11" hidden="1">'Accum Deprec'!$A$1:$N$64</definedName>
    <definedName name="Z_B6920318_2AE7_11D2_9A0A_002035671DEC_.wvu.PrintArea" localSheetId="13" hidden="1">'Adj to Rate Base'!$A$1:$T$72</definedName>
    <definedName name="Z_B6920318_2AE7_11D2_9A0A_002035671DEC_.wvu.PrintArea" localSheetId="12" hidden="1">CWIP!$A$1:$I$76</definedName>
    <definedName name="Z_B6920318_2AE7_11D2_9A0A_002035671DEC_.wvu.PrintArea" localSheetId="10" hidden="1">'Gross Plant'!$A$1:$N$64</definedName>
    <definedName name="Z_B6920318_2AE7_11D2_9A0A_002035671DEC_.wvu.PrintArea" localSheetId="16" hidden="1">'Land HFFU'!$A$1:$P$58</definedName>
    <definedName name="Z_B6920318_2AE7_11D2_9A0A_002035671DEC_.wvu.PrintArea" localSheetId="17" hidden="1">'Working Capital'!$A$1:$P$38</definedName>
    <definedName name="Z_B7219758_2F65_11D2_9A0A_002035671DEC_.wvu.PrintArea" localSheetId="11" hidden="1">'Accum Deprec'!$A$1:$N$64</definedName>
    <definedName name="Z_B7219758_2F65_11D2_9A0A_002035671DEC_.wvu.PrintArea" localSheetId="13" hidden="1">'Adj to Rate Base'!$A$1:$T$72</definedName>
    <definedName name="Z_B7219758_2F65_11D2_9A0A_002035671DEC_.wvu.PrintArea" localSheetId="12" hidden="1">CWIP!$A$1:$I$76</definedName>
    <definedName name="Z_B7219758_2F65_11D2_9A0A_002035671DEC_.wvu.PrintArea" localSheetId="10" hidden="1">'Gross Plant'!$A$1:$N$64</definedName>
    <definedName name="Z_B7219758_2F65_11D2_9A0A_002035671DEC_.wvu.PrintArea" localSheetId="16" hidden="1">'Land HFFU'!$A$1:$P$58</definedName>
    <definedName name="Z_B7219758_2F65_11D2_9A0A_002035671DEC_.wvu.PrintArea" localSheetId="17" hidden="1">'Working Capital'!$A$1:$P$38</definedName>
    <definedName name="Z_B8997BC0_3CD6_11D2_9A0A_002035671DEC_.wvu.PrintArea" localSheetId="11" hidden="1">'Accum Deprec'!$B$1:$N$64</definedName>
    <definedName name="Z_B8997BC0_3CD6_11D2_9A0A_002035671DEC_.wvu.PrintArea" localSheetId="13" hidden="1">'Adj to Rate Base'!$B$1:$T$72</definedName>
    <definedName name="Z_B8997BC0_3CD6_11D2_9A0A_002035671DEC_.wvu.PrintArea" localSheetId="12" hidden="1">CWIP!$B$1:$I$76</definedName>
    <definedName name="Z_B8997BC0_3CD6_11D2_9A0A_002035671DEC_.wvu.PrintArea" localSheetId="10" hidden="1">'Gross Plant'!$B$1:$N$64</definedName>
    <definedName name="Z_B8997BC0_3CD6_11D2_9A0A_002035671DEC_.wvu.PrintArea" localSheetId="16" hidden="1">'Land HFFU'!$B$1:$P$58</definedName>
    <definedName name="Z_B8997BC0_3CD6_11D2_9A0A_002035671DEC_.wvu.PrintArea" localSheetId="17" hidden="1">'Working Capital'!$B$1:$P$38</definedName>
    <definedName name="Z_D20BDA67_374C_11D2_9A0A_002035671DEC_.wvu.PrintArea" localSheetId="11" hidden="1">'Accum Deprec'!$B$1:$N$64</definedName>
    <definedName name="Z_D20BDA67_374C_11D2_9A0A_002035671DEC_.wvu.PrintArea" localSheetId="13" hidden="1">'Adj to Rate Base'!$B$1:$T$72</definedName>
    <definedName name="Z_D20BDA67_374C_11D2_9A0A_002035671DEC_.wvu.PrintArea" localSheetId="12" hidden="1">CWIP!$B$1:$I$76</definedName>
    <definedName name="Z_D20BDA67_374C_11D2_9A0A_002035671DEC_.wvu.PrintArea" localSheetId="10" hidden="1">'Gross Plant'!$B$1:$N$64</definedName>
    <definedName name="Z_D20BDA67_374C_11D2_9A0A_002035671DEC_.wvu.PrintArea" localSheetId="16" hidden="1">'Land HFFU'!$B$1:$P$58</definedName>
    <definedName name="Z_D20BDA67_374C_11D2_9A0A_002035671DEC_.wvu.PrintArea" localSheetId="17" hidden="1">'Working Capital'!$B$1:$P$38</definedName>
    <definedName name="Z_D7887CBF_30F6_11D2_9A0A_002035671DEC_.wvu.PrintArea" localSheetId="11" hidden="1">'Accum Deprec'!$B$1:$N$64</definedName>
    <definedName name="Z_D7887CBF_30F6_11D2_9A0A_002035671DEC_.wvu.PrintArea" localSheetId="13" hidden="1">'Adj to Rate Base'!$B$1:$T$72</definedName>
    <definedName name="Z_D7887CBF_30F6_11D2_9A0A_002035671DEC_.wvu.PrintArea" localSheetId="12" hidden="1">CWIP!$B$1:$I$76</definedName>
    <definedName name="Z_D7887CBF_30F6_11D2_9A0A_002035671DEC_.wvu.PrintArea" localSheetId="10" hidden="1">'Gross Plant'!$B$1:$N$64</definedName>
    <definedName name="Z_D7887CBF_30F6_11D2_9A0A_002035671DEC_.wvu.PrintArea" localSheetId="16" hidden="1">'Land HFFU'!$B$1:$P$58</definedName>
    <definedName name="Z_D7887CBF_30F6_11D2_9A0A_002035671DEC_.wvu.PrintArea" localSheetId="17" hidden="1">'Working Capital'!$B$1:$P$38</definedName>
    <definedName name="Z_DBF8361F_30FA_11D2_9A0A_002035671DEC_.wvu.PrintArea" localSheetId="11" hidden="1">'Accum Deprec'!$B$1:$N$64</definedName>
    <definedName name="Z_DBF8361F_30FA_11D2_9A0A_002035671DEC_.wvu.PrintArea" localSheetId="13" hidden="1">'Adj to Rate Base'!$B$1:$T$72</definedName>
    <definedName name="Z_DBF8361F_30FA_11D2_9A0A_002035671DEC_.wvu.PrintArea" localSheetId="12" hidden="1">CWIP!$B$1:$I$76</definedName>
    <definedName name="Z_DBF8361F_30FA_11D2_9A0A_002035671DEC_.wvu.PrintArea" localSheetId="10" hidden="1">'Gross Plant'!$B$1:$N$64</definedName>
    <definedName name="Z_DBF8361F_30FA_11D2_9A0A_002035671DEC_.wvu.PrintArea" localSheetId="16" hidden="1">'Land HFFU'!$B$1:$P$58</definedName>
    <definedName name="Z_DBF8361F_30FA_11D2_9A0A_002035671DEC_.wvu.PrintArea" localSheetId="17" hidden="1">'Working Capital'!$B$1:$P$38</definedName>
    <definedName name="Z_E400ADB6_2875_11D2_9A0A_002035671DEC_.wvu.PrintArea" localSheetId="11" hidden="1">'Accum Deprec'!$A$1:$N$64</definedName>
    <definedName name="Z_E400ADB6_2875_11D2_9A0A_002035671DEC_.wvu.PrintArea" localSheetId="13" hidden="1">'Adj to Rate Base'!$A$1:$T$72</definedName>
    <definedName name="Z_E400ADB6_2875_11D2_9A0A_002035671DEC_.wvu.PrintArea" localSheetId="12" hidden="1">CWIP!$A$1:$I$76</definedName>
    <definedName name="Z_E400ADB6_2875_11D2_9A0A_002035671DEC_.wvu.PrintArea" localSheetId="10" hidden="1">'Gross Plant'!$A$1:$N$64</definedName>
    <definedName name="Z_E400ADB6_2875_11D2_9A0A_002035671DEC_.wvu.PrintArea" localSheetId="16" hidden="1">'Land HFFU'!$A$1:$P$58</definedName>
    <definedName name="Z_E400ADB6_2875_11D2_9A0A_002035671DEC_.wvu.PrintArea" localSheetId="17" hidden="1">'Working Capital'!$A$1:$P$38</definedName>
    <definedName name="Z_E400ADFD_2875_11D2_9A0A_002035671DEC_.wvu.PrintArea" localSheetId="11" hidden="1">'Accum Deprec'!$A$1:$N$64</definedName>
    <definedName name="Z_E400ADFD_2875_11D2_9A0A_002035671DEC_.wvu.PrintArea" localSheetId="13" hidden="1">'Adj to Rate Base'!$A$1:$T$72</definedName>
    <definedName name="Z_E400ADFD_2875_11D2_9A0A_002035671DEC_.wvu.PrintArea" localSheetId="12" hidden="1">CWIP!$A$1:$I$76</definedName>
    <definedName name="Z_E400ADFD_2875_11D2_9A0A_002035671DEC_.wvu.PrintArea" localSheetId="10" hidden="1">'Gross Plant'!$A$1:$N$64</definedName>
    <definedName name="Z_E400ADFD_2875_11D2_9A0A_002035671DEC_.wvu.PrintArea" localSheetId="16" hidden="1">'Land HFFU'!$A$1:$P$58</definedName>
    <definedName name="Z_E400ADFD_2875_11D2_9A0A_002035671DEC_.wvu.PrintArea" localSheetId="17" hidden="1">'Working Capital'!$A$1:$P$38</definedName>
    <definedName name="Z_E400AE47_2875_11D2_9A0A_002035671DEC_.wvu.PrintArea" localSheetId="11" hidden="1">'Accum Deprec'!$A$1:$N$64</definedName>
    <definedName name="Z_E400AE47_2875_11D2_9A0A_002035671DEC_.wvu.PrintArea" localSheetId="13" hidden="1">'Adj to Rate Base'!$A$1:$T$72</definedName>
    <definedName name="Z_E400AE47_2875_11D2_9A0A_002035671DEC_.wvu.PrintArea" localSheetId="12" hidden="1">CWIP!$A$1:$I$76</definedName>
    <definedName name="Z_E400AE47_2875_11D2_9A0A_002035671DEC_.wvu.PrintArea" localSheetId="10" hidden="1">'Gross Plant'!$A$1:$N$64</definedName>
    <definedName name="Z_E400AE47_2875_11D2_9A0A_002035671DEC_.wvu.PrintArea" localSheetId="16" hidden="1">'Land HFFU'!$A$1:$P$58</definedName>
    <definedName name="Z_E400AE47_2875_11D2_9A0A_002035671DEC_.wvu.PrintArea" localSheetId="17" hidden="1">'Working Capital'!$A$1:$P$38</definedName>
  </definedNames>
  <calcPr calcId="145621"/>
</workbook>
</file>

<file path=xl/calcChain.xml><?xml version="1.0" encoding="utf-8"?>
<calcChain xmlns="http://schemas.openxmlformats.org/spreadsheetml/2006/main">
  <c r="F8" i="136" l="1"/>
  <c r="F15" i="136"/>
  <c r="D15" i="136"/>
  <c r="D8" i="136"/>
  <c r="H15" i="136" l="1"/>
  <c r="H28" i="136" s="1"/>
  <c r="E6" i="166"/>
  <c r="C8" i="166" l="1"/>
  <c r="J29" i="169" l="1"/>
  <c r="J26" i="169"/>
  <c r="J153" i="169" l="1"/>
  <c r="J150" i="169"/>
  <c r="J246" i="169"/>
  <c r="J243" i="169"/>
  <c r="J122" i="169" l="1"/>
  <c r="J119" i="169"/>
  <c r="J57" i="149" l="1"/>
  <c r="F57" i="149"/>
  <c r="D57" i="149"/>
  <c r="H56" i="149"/>
  <c r="L56" i="149" s="1"/>
  <c r="H55" i="149"/>
  <c r="L55" i="149" s="1"/>
  <c r="H54" i="149"/>
  <c r="L54" i="149" s="1"/>
  <c r="H53" i="149"/>
  <c r="L53" i="149" s="1"/>
  <c r="H52" i="149"/>
  <c r="L52" i="149" s="1"/>
  <c r="H51" i="149"/>
  <c r="L51" i="149" s="1"/>
  <c r="H50" i="149"/>
  <c r="L50" i="149" s="1"/>
  <c r="J46" i="149"/>
  <c r="F46" i="149"/>
  <c r="D46" i="149"/>
  <c r="H45" i="149"/>
  <c r="L45" i="149" s="1"/>
  <c r="H44" i="149"/>
  <c r="L44" i="149" s="1"/>
  <c r="H43" i="149"/>
  <c r="L43" i="149" s="1"/>
  <c r="H42" i="149"/>
  <c r="L42" i="149" s="1"/>
  <c r="H41" i="149"/>
  <c r="L41" i="149" s="1"/>
  <c r="H40" i="149"/>
  <c r="L40" i="149" s="1"/>
  <c r="H39" i="149"/>
  <c r="L57" i="149" l="1"/>
  <c r="H57" i="149"/>
  <c r="H46" i="149"/>
  <c r="L39" i="149"/>
  <c r="L46" i="149" s="1"/>
  <c r="G23" i="157" l="1"/>
  <c r="G39" i="157"/>
  <c r="J79" i="128" l="1"/>
  <c r="J53" i="128"/>
  <c r="J135" i="169"/>
  <c r="B247" i="169" l="1"/>
  <c r="Q245" i="169"/>
  <c r="Q244" i="169" s="1"/>
  <c r="J245" i="169"/>
  <c r="J244" i="169" s="1"/>
  <c r="L241" i="169"/>
  <c r="H241" i="169"/>
  <c r="P240" i="169"/>
  <c r="M240" i="169"/>
  <c r="N240" i="169" s="1"/>
  <c r="D240" i="169"/>
  <c r="P239" i="169"/>
  <c r="M239" i="169"/>
  <c r="N239" i="169" s="1"/>
  <c r="P238" i="169"/>
  <c r="M238" i="169"/>
  <c r="N238" i="169" s="1"/>
  <c r="P237" i="169"/>
  <c r="M237" i="169"/>
  <c r="N237" i="169" s="1"/>
  <c r="P236" i="169"/>
  <c r="M236" i="169"/>
  <c r="N236" i="169" s="1"/>
  <c r="P235" i="169"/>
  <c r="M235" i="169"/>
  <c r="N235" i="169" s="1"/>
  <c r="P234" i="169"/>
  <c r="M234" i="169"/>
  <c r="N234" i="169" s="1"/>
  <c r="P233" i="169"/>
  <c r="M233" i="169"/>
  <c r="N233" i="169" s="1"/>
  <c r="P232" i="169"/>
  <c r="M232" i="169"/>
  <c r="N232" i="169" s="1"/>
  <c r="P231" i="169"/>
  <c r="M231" i="169"/>
  <c r="P230" i="169"/>
  <c r="M230" i="169"/>
  <c r="N230" i="169" s="1"/>
  <c r="P229" i="169"/>
  <c r="M229" i="169"/>
  <c r="N229" i="169" s="1"/>
  <c r="E229" i="169"/>
  <c r="E230" i="169" s="1"/>
  <c r="E231" i="169" s="1"/>
  <c r="E232" i="169" s="1"/>
  <c r="E233" i="169" s="1"/>
  <c r="E234" i="169" s="1"/>
  <c r="E235" i="169" s="1"/>
  <c r="E236" i="169" s="1"/>
  <c r="E237" i="169" s="1"/>
  <c r="E238" i="169" s="1"/>
  <c r="E239" i="169" s="1"/>
  <c r="E240" i="169" s="1"/>
  <c r="B216" i="169"/>
  <c r="Q214" i="169"/>
  <c r="Q213" i="169" s="1"/>
  <c r="J214" i="169"/>
  <c r="J213" i="169" s="1"/>
  <c r="L210" i="169"/>
  <c r="H210" i="169"/>
  <c r="P209" i="169"/>
  <c r="M209" i="169"/>
  <c r="N209" i="169" s="1"/>
  <c r="D209" i="169"/>
  <c r="D208" i="169" s="1"/>
  <c r="P208" i="169"/>
  <c r="M208" i="169"/>
  <c r="N208" i="169" s="1"/>
  <c r="P207" i="169"/>
  <c r="M207" i="169"/>
  <c r="N207" i="169" s="1"/>
  <c r="P206" i="169"/>
  <c r="M206" i="169"/>
  <c r="N206" i="169" s="1"/>
  <c r="P205" i="169"/>
  <c r="M205" i="169"/>
  <c r="N205" i="169" s="1"/>
  <c r="P204" i="169"/>
  <c r="M204" i="169"/>
  <c r="N204" i="169" s="1"/>
  <c r="P203" i="169"/>
  <c r="M203" i="169"/>
  <c r="N203" i="169" s="1"/>
  <c r="P202" i="169"/>
  <c r="M202" i="169"/>
  <c r="N202" i="169" s="1"/>
  <c r="P201" i="169"/>
  <c r="M201" i="169"/>
  <c r="N201" i="169" s="1"/>
  <c r="P200" i="169"/>
  <c r="M200" i="169"/>
  <c r="N200" i="169" s="1"/>
  <c r="P199" i="169"/>
  <c r="M199" i="169"/>
  <c r="N199" i="169" s="1"/>
  <c r="P198" i="169"/>
  <c r="M198" i="169"/>
  <c r="N198" i="169" s="1"/>
  <c r="E198" i="169"/>
  <c r="E199" i="169" s="1"/>
  <c r="E200" i="169" s="1"/>
  <c r="E201" i="169" s="1"/>
  <c r="E202" i="169" s="1"/>
  <c r="E203" i="169" s="1"/>
  <c r="E204" i="169" s="1"/>
  <c r="E205" i="169" s="1"/>
  <c r="E206" i="169" s="1"/>
  <c r="E207" i="169" s="1"/>
  <c r="E208" i="169" s="1"/>
  <c r="E209" i="169" s="1"/>
  <c r="B185" i="169"/>
  <c r="Q183" i="169"/>
  <c r="Q182" i="169" s="1"/>
  <c r="J183" i="169"/>
  <c r="J182" i="169" s="1"/>
  <c r="L179" i="169"/>
  <c r="H179" i="169"/>
  <c r="P178" i="169"/>
  <c r="M178" i="169"/>
  <c r="N178" i="169" s="1"/>
  <c r="D178" i="169"/>
  <c r="P177" i="169"/>
  <c r="M177" i="169"/>
  <c r="N177" i="169" s="1"/>
  <c r="P176" i="169"/>
  <c r="M176" i="169"/>
  <c r="N176" i="169" s="1"/>
  <c r="P175" i="169"/>
  <c r="M175" i="169"/>
  <c r="N175" i="169" s="1"/>
  <c r="P174" i="169"/>
  <c r="M174" i="169"/>
  <c r="N174" i="169" s="1"/>
  <c r="P173" i="169"/>
  <c r="M173" i="169"/>
  <c r="N173" i="169" s="1"/>
  <c r="P172" i="169"/>
  <c r="M172" i="169"/>
  <c r="N172" i="169" s="1"/>
  <c r="P171" i="169"/>
  <c r="M171" i="169"/>
  <c r="N171" i="169" s="1"/>
  <c r="P170" i="169"/>
  <c r="M170" i="169"/>
  <c r="N170" i="169" s="1"/>
  <c r="P169" i="169"/>
  <c r="M169" i="169"/>
  <c r="N169" i="169" s="1"/>
  <c r="P168" i="169"/>
  <c r="M168" i="169"/>
  <c r="N168" i="169" s="1"/>
  <c r="P167" i="169"/>
  <c r="M167" i="169"/>
  <c r="E167" i="169"/>
  <c r="E168" i="169" s="1"/>
  <c r="E169" i="169" s="1"/>
  <c r="E170" i="169" s="1"/>
  <c r="E171" i="169" s="1"/>
  <c r="E172" i="169" s="1"/>
  <c r="E173" i="169" s="1"/>
  <c r="E174" i="169" s="1"/>
  <c r="E175" i="169" s="1"/>
  <c r="E176" i="169" s="1"/>
  <c r="E177" i="169" s="1"/>
  <c r="E178" i="169" s="1"/>
  <c r="B154" i="169"/>
  <c r="Q152" i="169"/>
  <c r="Q151" i="169" s="1"/>
  <c r="J151" i="169"/>
  <c r="L148" i="169"/>
  <c r="H148" i="169"/>
  <c r="P147" i="169"/>
  <c r="M147" i="169"/>
  <c r="N147" i="169" s="1"/>
  <c r="D147" i="169"/>
  <c r="P146" i="169"/>
  <c r="M146" i="169"/>
  <c r="N146" i="169" s="1"/>
  <c r="P145" i="169"/>
  <c r="M145" i="169"/>
  <c r="N145" i="169" s="1"/>
  <c r="P144" i="169"/>
  <c r="M144" i="169"/>
  <c r="N144" i="169" s="1"/>
  <c r="P143" i="169"/>
  <c r="M143" i="169"/>
  <c r="N143" i="169" s="1"/>
  <c r="P142" i="169"/>
  <c r="M142" i="169"/>
  <c r="N142" i="169" s="1"/>
  <c r="P141" i="169"/>
  <c r="M141" i="169"/>
  <c r="N141" i="169" s="1"/>
  <c r="P140" i="169"/>
  <c r="M140" i="169"/>
  <c r="N140" i="169" s="1"/>
  <c r="P139" i="169"/>
  <c r="M139" i="169"/>
  <c r="N139" i="169" s="1"/>
  <c r="P138" i="169"/>
  <c r="M138" i="169"/>
  <c r="N138" i="169" s="1"/>
  <c r="P137" i="169"/>
  <c r="M137" i="169"/>
  <c r="N137" i="169" s="1"/>
  <c r="P136" i="169"/>
  <c r="M136" i="169"/>
  <c r="E136" i="169"/>
  <c r="E137" i="169" s="1"/>
  <c r="E138" i="169" s="1"/>
  <c r="E139" i="169" s="1"/>
  <c r="E140" i="169" s="1"/>
  <c r="E141" i="169" s="1"/>
  <c r="E142" i="169" s="1"/>
  <c r="E143" i="169" s="1"/>
  <c r="E144" i="169" s="1"/>
  <c r="E145" i="169" s="1"/>
  <c r="E146" i="169" s="1"/>
  <c r="E147" i="169" s="1"/>
  <c r="B123" i="169"/>
  <c r="Q121" i="169"/>
  <c r="Q120" i="169" s="1"/>
  <c r="J121" i="169"/>
  <c r="J120" i="169" s="1"/>
  <c r="L117" i="169"/>
  <c r="H117" i="169"/>
  <c r="P116" i="169"/>
  <c r="M116" i="169"/>
  <c r="N116" i="169" s="1"/>
  <c r="D116" i="169"/>
  <c r="D115" i="169" s="1"/>
  <c r="P115" i="169"/>
  <c r="M115" i="169"/>
  <c r="N115" i="169" s="1"/>
  <c r="P114" i="169"/>
  <c r="M114" i="169"/>
  <c r="N114" i="169" s="1"/>
  <c r="P113" i="169"/>
  <c r="M113" i="169"/>
  <c r="N113" i="169" s="1"/>
  <c r="P112" i="169"/>
  <c r="M112" i="169"/>
  <c r="N112" i="169" s="1"/>
  <c r="P111" i="169"/>
  <c r="M111" i="169"/>
  <c r="N111" i="169" s="1"/>
  <c r="P110" i="169"/>
  <c r="M110" i="169"/>
  <c r="N110" i="169" s="1"/>
  <c r="P109" i="169"/>
  <c r="M109" i="169"/>
  <c r="N109" i="169" s="1"/>
  <c r="P108" i="169"/>
  <c r="M108" i="169"/>
  <c r="N108" i="169" s="1"/>
  <c r="P107" i="169"/>
  <c r="M107" i="169"/>
  <c r="N107" i="169" s="1"/>
  <c r="P106" i="169"/>
  <c r="M106" i="169"/>
  <c r="N106" i="169" s="1"/>
  <c r="P105" i="169"/>
  <c r="M105" i="169"/>
  <c r="E105" i="169"/>
  <c r="E106" i="169" s="1"/>
  <c r="E107" i="169" s="1"/>
  <c r="E108" i="169" s="1"/>
  <c r="E109" i="169" s="1"/>
  <c r="E110" i="169" s="1"/>
  <c r="E111" i="169" s="1"/>
  <c r="E112" i="169" s="1"/>
  <c r="E113" i="169" s="1"/>
  <c r="E114" i="169" s="1"/>
  <c r="E115" i="169" s="1"/>
  <c r="E116" i="169" s="1"/>
  <c r="B92" i="169"/>
  <c r="Q90" i="169"/>
  <c r="Q89" i="169" s="1"/>
  <c r="J90" i="169"/>
  <c r="J89" i="169" s="1"/>
  <c r="L86" i="169"/>
  <c r="H86" i="169"/>
  <c r="P85" i="169"/>
  <c r="M85" i="169"/>
  <c r="N85" i="169" s="1"/>
  <c r="D85" i="169"/>
  <c r="P84" i="169"/>
  <c r="M84" i="169"/>
  <c r="N84" i="169" s="1"/>
  <c r="P83" i="169"/>
  <c r="M83" i="169"/>
  <c r="N83" i="169" s="1"/>
  <c r="P82" i="169"/>
  <c r="M82" i="169"/>
  <c r="N82" i="169" s="1"/>
  <c r="P81" i="169"/>
  <c r="M81" i="169"/>
  <c r="N81" i="169" s="1"/>
  <c r="P80" i="169"/>
  <c r="M80" i="169"/>
  <c r="N80" i="169" s="1"/>
  <c r="P79" i="169"/>
  <c r="M79" i="169"/>
  <c r="N79" i="169" s="1"/>
  <c r="P78" i="169"/>
  <c r="M78" i="169"/>
  <c r="N78" i="169" s="1"/>
  <c r="P77" i="169"/>
  <c r="M77" i="169"/>
  <c r="N77" i="169" s="1"/>
  <c r="P76" i="169"/>
  <c r="M76" i="169"/>
  <c r="N76" i="169" s="1"/>
  <c r="P75" i="169"/>
  <c r="M75" i="169"/>
  <c r="N75" i="169" s="1"/>
  <c r="P74" i="169"/>
  <c r="M74" i="169"/>
  <c r="N74" i="169" s="1"/>
  <c r="E74" i="169"/>
  <c r="E75" i="169" s="1"/>
  <c r="E76" i="169" s="1"/>
  <c r="E77" i="169" s="1"/>
  <c r="E78" i="169" s="1"/>
  <c r="E79" i="169" s="1"/>
  <c r="E80" i="169" s="1"/>
  <c r="E81" i="169" s="1"/>
  <c r="E82" i="169" s="1"/>
  <c r="E83" i="169" s="1"/>
  <c r="E84" i="169" s="1"/>
  <c r="E85" i="169" s="1"/>
  <c r="B61" i="169"/>
  <c r="Q59" i="169"/>
  <c r="Q58" i="169" s="1"/>
  <c r="J59" i="169"/>
  <c r="J58" i="169" s="1"/>
  <c r="L55" i="169"/>
  <c r="H55" i="169"/>
  <c r="P54" i="169"/>
  <c r="M54" i="169"/>
  <c r="N54" i="169" s="1"/>
  <c r="D54" i="169"/>
  <c r="D53" i="169" s="1"/>
  <c r="D52" i="169" s="1"/>
  <c r="D51" i="169" s="1"/>
  <c r="D50" i="169" s="1"/>
  <c r="P53" i="169"/>
  <c r="M53" i="169"/>
  <c r="N53" i="169" s="1"/>
  <c r="P52" i="169"/>
  <c r="M52" i="169"/>
  <c r="N52" i="169" s="1"/>
  <c r="P51" i="169"/>
  <c r="M51" i="169"/>
  <c r="N51" i="169" s="1"/>
  <c r="P50" i="169"/>
  <c r="M50" i="169"/>
  <c r="N50" i="169" s="1"/>
  <c r="P49" i="169"/>
  <c r="M49" i="169"/>
  <c r="N49" i="169" s="1"/>
  <c r="P48" i="169"/>
  <c r="M48" i="169"/>
  <c r="N48" i="169" s="1"/>
  <c r="P47" i="169"/>
  <c r="M47" i="169"/>
  <c r="N47" i="169" s="1"/>
  <c r="P46" i="169"/>
  <c r="M46" i="169"/>
  <c r="N46" i="169" s="1"/>
  <c r="P45" i="169"/>
  <c r="M45" i="169"/>
  <c r="N45" i="169" s="1"/>
  <c r="P44" i="169"/>
  <c r="M44" i="169"/>
  <c r="N44" i="169" s="1"/>
  <c r="P43" i="169"/>
  <c r="M43" i="169"/>
  <c r="E43" i="169"/>
  <c r="E44" i="169" s="1"/>
  <c r="E45" i="169" s="1"/>
  <c r="E46" i="169" s="1"/>
  <c r="E47" i="169" s="1"/>
  <c r="E48" i="169" s="1"/>
  <c r="E49" i="169" s="1"/>
  <c r="E50" i="169" s="1"/>
  <c r="E51" i="169" s="1"/>
  <c r="E52" i="169" s="1"/>
  <c r="B30" i="169"/>
  <c r="Q28" i="169"/>
  <c r="Q27" i="169" s="1"/>
  <c r="J28" i="169"/>
  <c r="J27" i="169" s="1"/>
  <c r="L24" i="169"/>
  <c r="H24" i="169"/>
  <c r="P23" i="169"/>
  <c r="M23" i="169"/>
  <c r="N23" i="169" s="1"/>
  <c r="D23" i="169"/>
  <c r="P22" i="169"/>
  <c r="M22" i="169"/>
  <c r="N22" i="169" s="1"/>
  <c r="P21" i="169"/>
  <c r="M21" i="169"/>
  <c r="N21" i="169" s="1"/>
  <c r="P20" i="169"/>
  <c r="M20" i="169"/>
  <c r="N20" i="169" s="1"/>
  <c r="P19" i="169"/>
  <c r="M19" i="169"/>
  <c r="N19" i="169" s="1"/>
  <c r="P18" i="169"/>
  <c r="M18" i="169"/>
  <c r="N18" i="169" s="1"/>
  <c r="P17" i="169"/>
  <c r="M17" i="169"/>
  <c r="N17" i="169" s="1"/>
  <c r="P16" i="169"/>
  <c r="M16" i="169"/>
  <c r="N16" i="169" s="1"/>
  <c r="P15" i="169"/>
  <c r="M15" i="169"/>
  <c r="N15" i="169" s="1"/>
  <c r="P14" i="169"/>
  <c r="M14" i="169"/>
  <c r="N14" i="169" s="1"/>
  <c r="P13" i="169"/>
  <c r="M13" i="169"/>
  <c r="N13" i="169" s="1"/>
  <c r="P12" i="169"/>
  <c r="M12" i="169"/>
  <c r="N12" i="169" s="1"/>
  <c r="E12" i="169"/>
  <c r="E13" i="169" s="1"/>
  <c r="E14" i="169" s="1"/>
  <c r="E15" i="169" s="1"/>
  <c r="E16" i="169" s="1"/>
  <c r="E17" i="169" s="1"/>
  <c r="E18" i="169" s="1"/>
  <c r="E19" i="169" s="1"/>
  <c r="E20" i="169" s="1"/>
  <c r="E21" i="169" s="1"/>
  <c r="E22" i="169" s="1"/>
  <c r="E23" i="169" s="1"/>
  <c r="A7" i="169"/>
  <c r="A9" i="169" s="1"/>
  <c r="A10" i="169" s="1"/>
  <c r="A11" i="169" s="1"/>
  <c r="O116" i="169" l="1"/>
  <c r="F23" i="169"/>
  <c r="I23" i="169" s="1"/>
  <c r="F85" i="169"/>
  <c r="I85" i="169" s="1"/>
  <c r="P24" i="169"/>
  <c r="D22" i="169"/>
  <c r="D21" i="169" s="1"/>
  <c r="D20" i="169" s="1"/>
  <c r="D19" i="169" s="1"/>
  <c r="F19" i="169" s="1"/>
  <c r="I19" i="169" s="1"/>
  <c r="M179" i="169"/>
  <c r="N167" i="169"/>
  <c r="N179" i="169" s="1"/>
  <c r="N24" i="169"/>
  <c r="M24" i="169"/>
  <c r="P117" i="169"/>
  <c r="E53" i="169"/>
  <c r="F53" i="169" s="1"/>
  <c r="I53" i="169" s="1"/>
  <c r="F52" i="169"/>
  <c r="I52" i="169" s="1"/>
  <c r="A12" i="169"/>
  <c r="A13" i="169" s="1"/>
  <c r="A14" i="169" s="1"/>
  <c r="A15" i="169" s="1"/>
  <c r="A16" i="169" s="1"/>
  <c r="A17" i="169" s="1"/>
  <c r="A18" i="169" s="1"/>
  <c r="A19" i="169" s="1"/>
  <c r="A20" i="169" s="1"/>
  <c r="A21" i="169" s="1"/>
  <c r="A22" i="169" s="1"/>
  <c r="A23" i="169" s="1"/>
  <c r="F28" i="169"/>
  <c r="O23" i="169"/>
  <c r="F50" i="169"/>
  <c r="I50" i="169" s="1"/>
  <c r="D49" i="169"/>
  <c r="F51" i="169"/>
  <c r="I51" i="169" s="1"/>
  <c r="O52" i="169"/>
  <c r="N86" i="169"/>
  <c r="M55" i="169"/>
  <c r="N43" i="169"/>
  <c r="O51" i="169"/>
  <c r="P86" i="169"/>
  <c r="O85" i="169"/>
  <c r="D114" i="169"/>
  <c r="F115" i="169"/>
  <c r="I115" i="169" s="1"/>
  <c r="F116" i="169"/>
  <c r="I116" i="169" s="1"/>
  <c r="O178" i="169"/>
  <c r="P55" i="169"/>
  <c r="O50" i="169"/>
  <c r="M117" i="169"/>
  <c r="N105" i="169"/>
  <c r="O115" i="169"/>
  <c r="F209" i="169"/>
  <c r="I209" i="169" s="1"/>
  <c r="O209" i="169"/>
  <c r="N231" i="169"/>
  <c r="M241" i="169"/>
  <c r="D84" i="169"/>
  <c r="M86" i="169"/>
  <c r="N136" i="169"/>
  <c r="M148" i="169"/>
  <c r="D146" i="169"/>
  <c r="F147" i="169"/>
  <c r="I147" i="169" s="1"/>
  <c r="F208" i="169"/>
  <c r="I208" i="169" s="1"/>
  <c r="D207" i="169"/>
  <c r="O207" i="169" s="1"/>
  <c r="O240" i="169"/>
  <c r="O147" i="169"/>
  <c r="P210" i="169"/>
  <c r="D239" i="169"/>
  <c r="F240" i="169"/>
  <c r="I240" i="169" s="1"/>
  <c r="D177" i="169"/>
  <c r="F178" i="169"/>
  <c r="I178" i="169" s="1"/>
  <c r="P148" i="169"/>
  <c r="O208" i="169"/>
  <c r="N210" i="169"/>
  <c r="M210" i="169"/>
  <c r="P179" i="169"/>
  <c r="P241" i="169"/>
  <c r="F21" i="169" l="1"/>
  <c r="I21" i="169" s="1"/>
  <c r="F20" i="169"/>
  <c r="I20" i="169" s="1"/>
  <c r="O20" i="169"/>
  <c r="F22" i="169"/>
  <c r="I22" i="169" s="1"/>
  <c r="D18" i="169"/>
  <c r="D17" i="169" s="1"/>
  <c r="O22" i="169"/>
  <c r="O19" i="169"/>
  <c r="O21" i="169"/>
  <c r="F146" i="169"/>
  <c r="I146" i="169" s="1"/>
  <c r="D145" i="169"/>
  <c r="D113" i="169"/>
  <c r="F114" i="169"/>
  <c r="I114" i="169" s="1"/>
  <c r="D48" i="169"/>
  <c r="F49" i="169"/>
  <c r="I49" i="169" s="1"/>
  <c r="F84" i="169"/>
  <c r="I84" i="169" s="1"/>
  <c r="D83" i="169"/>
  <c r="O146" i="169"/>
  <c r="O49" i="169"/>
  <c r="N241" i="169"/>
  <c r="F239" i="169"/>
  <c r="I239" i="169" s="1"/>
  <c r="D238" i="169"/>
  <c r="O239" i="169"/>
  <c r="N148" i="169"/>
  <c r="O114" i="169"/>
  <c r="O84" i="169"/>
  <c r="F31" i="169"/>
  <c r="A24" i="169"/>
  <c r="A26" i="169" s="1"/>
  <c r="O53" i="169"/>
  <c r="E54" i="169"/>
  <c r="N117" i="169"/>
  <c r="D176" i="169"/>
  <c r="F177" i="169"/>
  <c r="I177" i="169" s="1"/>
  <c r="F207" i="169"/>
  <c r="I207" i="169" s="1"/>
  <c r="D206" i="169"/>
  <c r="O177" i="169"/>
  <c r="N55" i="169"/>
  <c r="F18" i="169" l="1"/>
  <c r="I18" i="169" s="1"/>
  <c r="O18" i="169"/>
  <c r="A27" i="169"/>
  <c r="D82" i="169"/>
  <c r="F83" i="169"/>
  <c r="I83" i="169" s="1"/>
  <c r="O83" i="169"/>
  <c r="D47" i="169"/>
  <c r="F48" i="169"/>
  <c r="I48" i="169" s="1"/>
  <c r="O48" i="169"/>
  <c r="D112" i="169"/>
  <c r="F113" i="169"/>
  <c r="I113" i="169" s="1"/>
  <c r="O113" i="169"/>
  <c r="D175" i="169"/>
  <c r="F176" i="169"/>
  <c r="I176" i="169" s="1"/>
  <c r="O176" i="169"/>
  <c r="O54" i="169"/>
  <c r="F54" i="169"/>
  <c r="I54" i="169" s="1"/>
  <c r="D237" i="169"/>
  <c r="F238" i="169"/>
  <c r="I238" i="169" s="1"/>
  <c r="O238" i="169"/>
  <c r="D16" i="169"/>
  <c r="F17" i="169"/>
  <c r="I17" i="169" s="1"/>
  <c r="O17" i="169"/>
  <c r="D144" i="169"/>
  <c r="F145" i="169"/>
  <c r="I145" i="169" s="1"/>
  <c r="O145" i="169"/>
  <c r="D205" i="169"/>
  <c r="F206" i="169"/>
  <c r="I206" i="169" s="1"/>
  <c r="O206" i="169"/>
  <c r="F144" i="169" l="1"/>
  <c r="I144" i="169" s="1"/>
  <c r="D143" i="169"/>
  <c r="O144" i="169"/>
  <c r="F82" i="169"/>
  <c r="I82" i="169" s="1"/>
  <c r="D81" i="169"/>
  <c r="O82" i="169"/>
  <c r="F205" i="169"/>
  <c r="I205" i="169" s="1"/>
  <c r="D204" i="169"/>
  <c r="O205" i="169"/>
  <c r="D46" i="169"/>
  <c r="F47" i="169"/>
  <c r="I47" i="169" s="1"/>
  <c r="O47" i="169"/>
  <c r="D236" i="169"/>
  <c r="F237" i="169"/>
  <c r="I237" i="169" s="1"/>
  <c r="O237" i="169"/>
  <c r="F112" i="169"/>
  <c r="I112" i="169" s="1"/>
  <c r="D111" i="169"/>
  <c r="O112" i="169"/>
  <c r="A28" i="169"/>
  <c r="F16" i="169"/>
  <c r="I16" i="169" s="1"/>
  <c r="D15" i="169"/>
  <c r="O16" i="169"/>
  <c r="F175" i="169"/>
  <c r="I175" i="169" s="1"/>
  <c r="D174" i="169"/>
  <c r="O175" i="169"/>
  <c r="F174" i="169" l="1"/>
  <c r="I174" i="169" s="1"/>
  <c r="D173" i="169"/>
  <c r="O174" i="169"/>
  <c r="D14" i="169"/>
  <c r="F15" i="169"/>
  <c r="I15" i="169" s="1"/>
  <c r="O15" i="169"/>
  <c r="F236" i="169"/>
  <c r="I236" i="169" s="1"/>
  <c r="D235" i="169"/>
  <c r="O236" i="169"/>
  <c r="F46" i="169"/>
  <c r="I46" i="169" s="1"/>
  <c r="D45" i="169"/>
  <c r="O46" i="169"/>
  <c r="F204" i="169"/>
  <c r="I204" i="169" s="1"/>
  <c r="D203" i="169"/>
  <c r="O204" i="169"/>
  <c r="A29" i="169"/>
  <c r="F27" i="169"/>
  <c r="D110" i="169"/>
  <c r="F111" i="169"/>
  <c r="I111" i="169" s="1"/>
  <c r="O111" i="169"/>
  <c r="F81" i="169"/>
  <c r="I81" i="169" s="1"/>
  <c r="D80" i="169"/>
  <c r="O81" i="169"/>
  <c r="D142" i="169"/>
  <c r="F143" i="169"/>
  <c r="I143" i="169" s="1"/>
  <c r="O143" i="169"/>
  <c r="F80" i="169" l="1"/>
  <c r="I80" i="169" s="1"/>
  <c r="O80" i="169"/>
  <c r="D79" i="169"/>
  <c r="F173" i="169"/>
  <c r="I173" i="169" s="1"/>
  <c r="O173" i="169"/>
  <c r="D172" i="169"/>
  <c r="A30" i="169"/>
  <c r="F235" i="169"/>
  <c r="I235" i="169" s="1"/>
  <c r="D234" i="169"/>
  <c r="O235" i="169"/>
  <c r="F142" i="169"/>
  <c r="I142" i="169" s="1"/>
  <c r="D141" i="169"/>
  <c r="O142" i="169"/>
  <c r="D109" i="169"/>
  <c r="F110" i="169"/>
  <c r="I110" i="169" s="1"/>
  <c r="O110" i="169"/>
  <c r="D44" i="169"/>
  <c r="F45" i="169"/>
  <c r="I45" i="169" s="1"/>
  <c r="O45" i="169"/>
  <c r="F14" i="169"/>
  <c r="I14" i="169" s="1"/>
  <c r="O14" i="169"/>
  <c r="D13" i="169"/>
  <c r="F203" i="169"/>
  <c r="I203" i="169" s="1"/>
  <c r="D202" i="169"/>
  <c r="O203" i="169"/>
  <c r="D12" i="169" l="1"/>
  <c r="O13" i="169"/>
  <c r="F13" i="169"/>
  <c r="I13" i="169" s="1"/>
  <c r="D233" i="169"/>
  <c r="F234" i="169"/>
  <c r="I234" i="169" s="1"/>
  <c r="O234" i="169"/>
  <c r="D108" i="169"/>
  <c r="F109" i="169"/>
  <c r="I109" i="169" s="1"/>
  <c r="O109" i="169"/>
  <c r="D201" i="169"/>
  <c r="F202" i="169"/>
  <c r="I202" i="169" s="1"/>
  <c r="O202" i="169"/>
  <c r="O44" i="169"/>
  <c r="F44" i="169"/>
  <c r="I44" i="169" s="1"/>
  <c r="D43" i="169"/>
  <c r="F141" i="169"/>
  <c r="I141" i="169" s="1"/>
  <c r="D140" i="169"/>
  <c r="O141" i="169"/>
  <c r="A31" i="169"/>
  <c r="F32" i="169"/>
  <c r="D171" i="169"/>
  <c r="F172" i="169"/>
  <c r="I172" i="169" s="1"/>
  <c r="O172" i="169"/>
  <c r="D78" i="169"/>
  <c r="F79" i="169"/>
  <c r="I79" i="169" s="1"/>
  <c r="O79" i="169"/>
  <c r="F43" i="169" l="1"/>
  <c r="I43" i="169" s="1"/>
  <c r="O43" i="169"/>
  <c r="O55" i="169" s="1"/>
  <c r="F108" i="169"/>
  <c r="I108" i="169" s="1"/>
  <c r="O108" i="169"/>
  <c r="D107" i="169"/>
  <c r="F233" i="169"/>
  <c r="I233" i="169" s="1"/>
  <c r="D232" i="169"/>
  <c r="O233" i="169"/>
  <c r="D77" i="169"/>
  <c r="F78" i="169"/>
  <c r="I78" i="169" s="1"/>
  <c r="O78" i="169"/>
  <c r="D200" i="169"/>
  <c r="F201" i="169"/>
  <c r="I201" i="169" s="1"/>
  <c r="O201" i="169"/>
  <c r="A32" i="169"/>
  <c r="F30" i="169"/>
  <c r="F171" i="169"/>
  <c r="I171" i="169" s="1"/>
  <c r="D170" i="169"/>
  <c r="O171" i="169"/>
  <c r="F140" i="169"/>
  <c r="I140" i="169" s="1"/>
  <c r="D139" i="169"/>
  <c r="O140" i="169"/>
  <c r="F12" i="169"/>
  <c r="I12" i="169" s="1"/>
  <c r="O12" i="169"/>
  <c r="O24" i="169" s="1"/>
  <c r="F170" i="169" l="1"/>
  <c r="I170" i="169" s="1"/>
  <c r="D169" i="169"/>
  <c r="O170" i="169"/>
  <c r="F232" i="169"/>
  <c r="I232" i="169" s="1"/>
  <c r="D231" i="169"/>
  <c r="O232" i="169"/>
  <c r="J12" i="169"/>
  <c r="Q12" i="169"/>
  <c r="I24" i="169"/>
  <c r="D138" i="169"/>
  <c r="F139" i="169"/>
  <c r="I139" i="169" s="1"/>
  <c r="O139" i="169"/>
  <c r="D199" i="169"/>
  <c r="F200" i="169"/>
  <c r="I200" i="169" s="1"/>
  <c r="O200" i="169"/>
  <c r="D76" i="169"/>
  <c r="F77" i="169"/>
  <c r="I77" i="169" s="1"/>
  <c r="O77" i="169"/>
  <c r="A33" i="169"/>
  <c r="A34" i="169" s="1"/>
  <c r="A37" i="169" s="1"/>
  <c r="A38" i="169" s="1"/>
  <c r="A40" i="169" s="1"/>
  <c r="A41" i="169" s="1"/>
  <c r="A42" i="169" s="1"/>
  <c r="D106" i="169"/>
  <c r="F107" i="169"/>
  <c r="I107" i="169" s="1"/>
  <c r="O107" i="169"/>
  <c r="I55" i="169"/>
  <c r="Q43" i="169"/>
  <c r="J43" i="169"/>
  <c r="F59" i="169" l="1"/>
  <c r="A43" i="169"/>
  <c r="A44" i="169" s="1"/>
  <c r="A45" i="169" s="1"/>
  <c r="A46" i="169" s="1"/>
  <c r="A47" i="169" s="1"/>
  <c r="A48" i="169" s="1"/>
  <c r="A49" i="169" s="1"/>
  <c r="A50" i="169" s="1"/>
  <c r="A51" i="169" s="1"/>
  <c r="A52" i="169" s="1"/>
  <c r="A53" i="169" s="1"/>
  <c r="A54" i="169" s="1"/>
  <c r="F138" i="169"/>
  <c r="I138" i="169" s="1"/>
  <c r="D137" i="169"/>
  <c r="O138" i="169"/>
  <c r="F169" i="169"/>
  <c r="I169" i="169" s="1"/>
  <c r="D168" i="169"/>
  <c r="O169" i="169"/>
  <c r="F34" i="169"/>
  <c r="F199" i="169"/>
  <c r="I199" i="169" s="1"/>
  <c r="O199" i="169"/>
  <c r="D198" i="169"/>
  <c r="J44" i="169"/>
  <c r="J45" i="169" s="1"/>
  <c r="J46" i="169" s="1"/>
  <c r="J47" i="169" s="1"/>
  <c r="J48" i="169" s="1"/>
  <c r="J49" i="169" s="1"/>
  <c r="J50" i="169" s="1"/>
  <c r="J51" i="169" s="1"/>
  <c r="J52" i="169" s="1"/>
  <c r="J53" i="169" s="1"/>
  <c r="J54" i="169" s="1"/>
  <c r="J62" i="169" s="1"/>
  <c r="J61" i="169" s="1"/>
  <c r="F76" i="169"/>
  <c r="I76" i="169" s="1"/>
  <c r="D75" i="169"/>
  <c r="O76" i="169"/>
  <c r="Q13" i="169"/>
  <c r="Q14" i="169" s="1"/>
  <c r="Q15" i="169" s="1"/>
  <c r="Q16" i="169" s="1"/>
  <c r="Q17" i="169" s="1"/>
  <c r="Q18" i="169" s="1"/>
  <c r="Q19" i="169" s="1"/>
  <c r="Q20" i="169" s="1"/>
  <c r="Q21" i="169" s="1"/>
  <c r="Q22" i="169" s="1"/>
  <c r="Q23" i="169" s="1"/>
  <c r="Q31" i="169" s="1"/>
  <c r="Q30" i="169" s="1"/>
  <c r="F231" i="169"/>
  <c r="I231" i="169" s="1"/>
  <c r="D230" i="169"/>
  <c r="O231" i="169"/>
  <c r="Q44" i="169"/>
  <c r="Q45" i="169" s="1"/>
  <c r="Q46" i="169" s="1"/>
  <c r="Q47" i="169" s="1"/>
  <c r="Q48" i="169" s="1"/>
  <c r="Q49" i="169" s="1"/>
  <c r="Q50" i="169" s="1"/>
  <c r="Q51" i="169" s="1"/>
  <c r="Q52" i="169" s="1"/>
  <c r="Q53" i="169" s="1"/>
  <c r="Q54" i="169" s="1"/>
  <c r="Q62" i="169" s="1"/>
  <c r="Q61" i="169" s="1"/>
  <c r="F106" i="169"/>
  <c r="I106" i="169" s="1"/>
  <c r="D105" i="169"/>
  <c r="O106" i="169"/>
  <c r="J13" i="169"/>
  <c r="J14" i="169" s="1"/>
  <c r="J15" i="169" s="1"/>
  <c r="J16" i="169" s="1"/>
  <c r="J17" i="169" s="1"/>
  <c r="J18" i="169" s="1"/>
  <c r="J19" i="169" s="1"/>
  <c r="J20" i="169" s="1"/>
  <c r="J21" i="169" s="1"/>
  <c r="J22" i="169" s="1"/>
  <c r="J23" i="169" s="1"/>
  <c r="J31" i="169" s="1"/>
  <c r="J30" i="169" s="1"/>
  <c r="Q63" i="169" l="1"/>
  <c r="Q65" i="169" s="1"/>
  <c r="Q32" i="169"/>
  <c r="Q34" i="169" s="1"/>
  <c r="J32" i="169"/>
  <c r="F105" i="169"/>
  <c r="I105" i="169" s="1"/>
  <c r="O105" i="169"/>
  <c r="O117" i="169" s="1"/>
  <c r="F198" i="169"/>
  <c r="I198" i="169" s="1"/>
  <c r="O198" i="169"/>
  <c r="O210" i="169" s="1"/>
  <c r="D229" i="169"/>
  <c r="O230" i="169"/>
  <c r="F230" i="169"/>
  <c r="I230" i="169" s="1"/>
  <c r="F137" i="169"/>
  <c r="I137" i="169" s="1"/>
  <c r="D136" i="169"/>
  <c r="O137" i="169"/>
  <c r="A55" i="169"/>
  <c r="A57" i="169" s="1"/>
  <c r="F62" i="169"/>
  <c r="D74" i="169"/>
  <c r="F75" i="169"/>
  <c r="I75" i="169" s="1"/>
  <c r="O75" i="169"/>
  <c r="J63" i="169"/>
  <c r="D167" i="169"/>
  <c r="F168" i="169"/>
  <c r="I168" i="169" s="1"/>
  <c r="O168" i="169"/>
  <c r="J34" i="169" l="1"/>
  <c r="J57" i="128" s="1"/>
  <c r="J52" i="128"/>
  <c r="J65" i="169"/>
  <c r="D57" i="128" s="1"/>
  <c r="D52" i="128"/>
  <c r="F136" i="169"/>
  <c r="I136" i="169" s="1"/>
  <c r="O136" i="169"/>
  <c r="O148" i="169" s="1"/>
  <c r="Q105" i="169"/>
  <c r="J105" i="169"/>
  <c r="I117" i="169"/>
  <c r="F167" i="169"/>
  <c r="I167" i="169" s="1"/>
  <c r="O167" i="169"/>
  <c r="O179" i="169" s="1"/>
  <c r="A58" i="169"/>
  <c r="I210" i="169"/>
  <c r="Q198" i="169"/>
  <c r="J198" i="169"/>
  <c r="F74" i="169"/>
  <c r="I74" i="169" s="1"/>
  <c r="O74" i="169"/>
  <c r="O86" i="169" s="1"/>
  <c r="F229" i="169"/>
  <c r="I229" i="169" s="1"/>
  <c r="O229" i="169"/>
  <c r="O241" i="169" s="1"/>
  <c r="J199" i="169" l="1"/>
  <c r="J200" i="169" s="1"/>
  <c r="J201" i="169" s="1"/>
  <c r="J202" i="169" s="1"/>
  <c r="J203" i="169" s="1"/>
  <c r="J204" i="169" s="1"/>
  <c r="J205" i="169" s="1"/>
  <c r="J206" i="169" s="1"/>
  <c r="J207" i="169" s="1"/>
  <c r="J208" i="169" s="1"/>
  <c r="J209" i="169" s="1"/>
  <c r="J217" i="169" s="1"/>
  <c r="J216" i="169" s="1"/>
  <c r="A59" i="169"/>
  <c r="I179" i="169"/>
  <c r="J167" i="169"/>
  <c r="Q167" i="169"/>
  <c r="J106" i="169"/>
  <c r="J107" i="169" s="1"/>
  <c r="J108" i="169" s="1"/>
  <c r="J109" i="169" s="1"/>
  <c r="J110" i="169" s="1"/>
  <c r="J111" i="169" s="1"/>
  <c r="J112" i="169" s="1"/>
  <c r="J113" i="169" s="1"/>
  <c r="J114" i="169" s="1"/>
  <c r="J115" i="169" s="1"/>
  <c r="J116" i="169" s="1"/>
  <c r="J124" i="169" s="1"/>
  <c r="J123" i="169" s="1"/>
  <c r="J229" i="169"/>
  <c r="Q229" i="169"/>
  <c r="I241" i="169"/>
  <c r="Q199" i="169"/>
  <c r="Q200" i="169" s="1"/>
  <c r="Q201" i="169" s="1"/>
  <c r="Q202" i="169" s="1"/>
  <c r="Q203" i="169" s="1"/>
  <c r="Q204" i="169" s="1"/>
  <c r="Q205" i="169" s="1"/>
  <c r="Q206" i="169" s="1"/>
  <c r="Q207" i="169" s="1"/>
  <c r="Q208" i="169" s="1"/>
  <c r="Q209" i="169" s="1"/>
  <c r="Q217" i="169" s="1"/>
  <c r="Q216" i="169" s="1"/>
  <c r="Q106" i="169"/>
  <c r="Q107" i="169" s="1"/>
  <c r="Q108" i="169" s="1"/>
  <c r="Q109" i="169" s="1"/>
  <c r="Q110" i="169" s="1"/>
  <c r="Q111" i="169" s="1"/>
  <c r="Q112" i="169" s="1"/>
  <c r="Q113" i="169" s="1"/>
  <c r="Q114" i="169" s="1"/>
  <c r="Q115" i="169" s="1"/>
  <c r="Q116" i="169" s="1"/>
  <c r="Q124" i="169" s="1"/>
  <c r="Q123" i="169" s="1"/>
  <c r="J74" i="169"/>
  <c r="Q74" i="169"/>
  <c r="I86" i="169"/>
  <c r="Q136" i="169"/>
  <c r="J136" i="169"/>
  <c r="I148" i="169"/>
  <c r="J125" i="169" l="1"/>
  <c r="Q137" i="169"/>
  <c r="Q138" i="169" s="1"/>
  <c r="Q139" i="169" s="1"/>
  <c r="Q140" i="169" s="1"/>
  <c r="Q141" i="169" s="1"/>
  <c r="Q142" i="169" s="1"/>
  <c r="Q143" i="169" s="1"/>
  <c r="Q144" i="169" s="1"/>
  <c r="Q145" i="169" s="1"/>
  <c r="Q146" i="169" s="1"/>
  <c r="Q147" i="169" s="1"/>
  <c r="Q155" i="169" s="1"/>
  <c r="Q154" i="169" s="1"/>
  <c r="Q125" i="169"/>
  <c r="Q127" i="169" s="1"/>
  <c r="Q230" i="169"/>
  <c r="Q231" i="169" s="1"/>
  <c r="Q232" i="169" s="1"/>
  <c r="Q233" i="169" s="1"/>
  <c r="Q234" i="169" s="1"/>
  <c r="Q235" i="169" s="1"/>
  <c r="Q236" i="169" s="1"/>
  <c r="Q237" i="169" s="1"/>
  <c r="Q238" i="169" s="1"/>
  <c r="Q239" i="169" s="1"/>
  <c r="Q240" i="169" s="1"/>
  <c r="Q248" i="169" s="1"/>
  <c r="Q247" i="169" s="1"/>
  <c r="Q168" i="169"/>
  <c r="Q169" i="169" s="1"/>
  <c r="Q170" i="169" s="1"/>
  <c r="Q171" i="169" s="1"/>
  <c r="Q172" i="169" s="1"/>
  <c r="Q173" i="169" s="1"/>
  <c r="Q174" i="169" s="1"/>
  <c r="Q175" i="169" s="1"/>
  <c r="Q176" i="169" s="1"/>
  <c r="Q177" i="169" s="1"/>
  <c r="Q178" i="169" s="1"/>
  <c r="Q186" i="169" s="1"/>
  <c r="Q185" i="169" s="1"/>
  <c r="A60" i="169"/>
  <c r="F58" i="169"/>
  <c r="Q75" i="169"/>
  <c r="Q76" i="169" s="1"/>
  <c r="Q77" i="169" s="1"/>
  <c r="Q78" i="169" s="1"/>
  <c r="Q79" i="169" s="1"/>
  <c r="Q80" i="169" s="1"/>
  <c r="Q81" i="169" s="1"/>
  <c r="Q82" i="169" s="1"/>
  <c r="Q83" i="169" s="1"/>
  <c r="Q84" i="169" s="1"/>
  <c r="Q85" i="169" s="1"/>
  <c r="Q93" i="169" s="1"/>
  <c r="Q92" i="169" s="1"/>
  <c r="J230" i="169"/>
  <c r="J231" i="169" s="1"/>
  <c r="J232" i="169" s="1"/>
  <c r="J233" i="169" s="1"/>
  <c r="J234" i="169" s="1"/>
  <c r="J235" i="169" s="1"/>
  <c r="J236" i="169" s="1"/>
  <c r="J237" i="169" s="1"/>
  <c r="J238" i="169" s="1"/>
  <c r="J239" i="169" s="1"/>
  <c r="J240" i="169" s="1"/>
  <c r="J248" i="169" s="1"/>
  <c r="J247" i="169" s="1"/>
  <c r="J168" i="169"/>
  <c r="J169" i="169" s="1"/>
  <c r="J170" i="169" s="1"/>
  <c r="J171" i="169" s="1"/>
  <c r="J172" i="169" s="1"/>
  <c r="J173" i="169" s="1"/>
  <c r="J174" i="169" s="1"/>
  <c r="J175" i="169" s="1"/>
  <c r="J176" i="169" s="1"/>
  <c r="J177" i="169" s="1"/>
  <c r="J178" i="169" s="1"/>
  <c r="J186" i="169" s="1"/>
  <c r="J185" i="169" s="1"/>
  <c r="J137" i="169"/>
  <c r="J138" i="169" s="1"/>
  <c r="J139" i="169" s="1"/>
  <c r="J140" i="169" s="1"/>
  <c r="J141" i="169" s="1"/>
  <c r="J142" i="169" s="1"/>
  <c r="J143" i="169" s="1"/>
  <c r="J144" i="169" s="1"/>
  <c r="J145" i="169" s="1"/>
  <c r="J146" i="169" s="1"/>
  <c r="J147" i="169" s="1"/>
  <c r="J155" i="169" s="1"/>
  <c r="J154" i="169" s="1"/>
  <c r="J75" i="169"/>
  <c r="J76" i="169" s="1"/>
  <c r="J77" i="169" s="1"/>
  <c r="J78" i="169" s="1"/>
  <c r="J79" i="169" s="1"/>
  <c r="J80" i="169" s="1"/>
  <c r="J81" i="169" s="1"/>
  <c r="J82" i="169" s="1"/>
  <c r="J83" i="169" s="1"/>
  <c r="J84" i="169" s="1"/>
  <c r="J85" i="169" s="1"/>
  <c r="J93" i="169" s="1"/>
  <c r="J92" i="169" s="1"/>
  <c r="Q218" i="169"/>
  <c r="Q220" i="169" s="1"/>
  <c r="J218" i="169"/>
  <c r="J127" i="169" l="1"/>
  <c r="H57" i="128" s="1"/>
  <c r="H52" i="128"/>
  <c r="J220" i="169"/>
  <c r="F83" i="128" s="1"/>
  <c r="F78" i="128"/>
  <c r="J187" i="169"/>
  <c r="J94" i="169"/>
  <c r="Q249" i="169"/>
  <c r="Q251" i="169" s="1"/>
  <c r="Q156" i="169"/>
  <c r="Q158" i="169" s="1"/>
  <c r="J156" i="169"/>
  <c r="J249" i="169"/>
  <c r="A61" i="169"/>
  <c r="Q94" i="169"/>
  <c r="Q96" i="169" s="1"/>
  <c r="Q187" i="169"/>
  <c r="Q189" i="169" s="1"/>
  <c r="J96" i="169" l="1"/>
  <c r="F57" i="128" s="1"/>
  <c r="F52" i="128"/>
  <c r="J251" i="169"/>
  <c r="H83" i="128" s="1"/>
  <c r="H78" i="128"/>
  <c r="J189" i="169"/>
  <c r="D83" i="128" s="1"/>
  <c r="D78" i="128"/>
  <c r="J158" i="169"/>
  <c r="J83" i="128" s="1"/>
  <c r="J78" i="128"/>
  <c r="A62" i="169"/>
  <c r="F63" i="169"/>
  <c r="A63" i="169" l="1"/>
  <c r="F61" i="169"/>
  <c r="A64" i="169" l="1"/>
  <c r="A65" i="169" s="1"/>
  <c r="A68" i="169" s="1"/>
  <c r="A69" i="169" s="1"/>
  <c r="A71" i="169" s="1"/>
  <c r="A72" i="169" s="1"/>
  <c r="A73" i="169" s="1"/>
  <c r="F65" i="169" l="1"/>
  <c r="F90" i="169"/>
  <c r="A74" i="169"/>
  <c r="A75" i="169" s="1"/>
  <c r="A76" i="169" s="1"/>
  <c r="A77" i="169" s="1"/>
  <c r="A78" i="169" s="1"/>
  <c r="A79" i="169" s="1"/>
  <c r="A80" i="169" s="1"/>
  <c r="A81" i="169" s="1"/>
  <c r="A82" i="169" s="1"/>
  <c r="A83" i="169" s="1"/>
  <c r="A84" i="169" s="1"/>
  <c r="A85" i="169" s="1"/>
  <c r="F93" i="169" l="1"/>
  <c r="A86" i="169"/>
  <c r="A88" i="169" s="1"/>
  <c r="A89" i="169" l="1"/>
  <c r="A90" i="169" l="1"/>
  <c r="A91" i="169" l="1"/>
  <c r="F89" i="169"/>
  <c r="A92" i="169" l="1"/>
  <c r="A93" i="169" l="1"/>
  <c r="F94" i="169"/>
  <c r="A94" i="169" l="1"/>
  <c r="F92" i="169"/>
  <c r="A95" i="169" l="1"/>
  <c r="A96" i="169" s="1"/>
  <c r="A99" i="169" s="1"/>
  <c r="A100" i="169" s="1"/>
  <c r="A102" i="169" s="1"/>
  <c r="A103" i="169" s="1"/>
  <c r="A104" i="169" s="1"/>
  <c r="F96" i="169" l="1"/>
  <c r="A105" i="169"/>
  <c r="A106" i="169" s="1"/>
  <c r="A107" i="169" s="1"/>
  <c r="A108" i="169" s="1"/>
  <c r="A109" i="169" s="1"/>
  <c r="A110" i="169" s="1"/>
  <c r="A111" i="169" s="1"/>
  <c r="A112" i="169" s="1"/>
  <c r="A113" i="169" s="1"/>
  <c r="A114" i="169" s="1"/>
  <c r="A115" i="169" s="1"/>
  <c r="A116" i="169" s="1"/>
  <c r="F121" i="169"/>
  <c r="F124" i="169" l="1"/>
  <c r="A117" i="169"/>
  <c r="A119" i="169" s="1"/>
  <c r="A120" i="169" l="1"/>
  <c r="A121" i="169" l="1"/>
  <c r="A122" i="169" l="1"/>
  <c r="F120" i="169"/>
  <c r="A123" i="169" l="1"/>
  <c r="A124" i="169" l="1"/>
  <c r="F125" i="169"/>
  <c r="A125" i="169" l="1"/>
  <c r="F123" i="169"/>
  <c r="A126" i="169" l="1"/>
  <c r="A127" i="169" s="1"/>
  <c r="A130" i="169" s="1"/>
  <c r="A131" i="169" s="1"/>
  <c r="A133" i="169" s="1"/>
  <c r="A134" i="169" s="1"/>
  <c r="A135" i="169" s="1"/>
  <c r="A136" i="169" l="1"/>
  <c r="A137" i="169" s="1"/>
  <c r="A138" i="169" s="1"/>
  <c r="A139" i="169" s="1"/>
  <c r="A140" i="169" s="1"/>
  <c r="A141" i="169" s="1"/>
  <c r="A142" i="169" s="1"/>
  <c r="A143" i="169" s="1"/>
  <c r="A144" i="169" s="1"/>
  <c r="A145" i="169" s="1"/>
  <c r="A146" i="169" s="1"/>
  <c r="A147" i="169" s="1"/>
  <c r="F152" i="169"/>
  <c r="F127" i="169"/>
  <c r="A148" i="169" l="1"/>
  <c r="A150" i="169" s="1"/>
  <c r="F155" i="169"/>
  <c r="A151" i="169" l="1"/>
  <c r="A152" i="169" l="1"/>
  <c r="A153" i="169" l="1"/>
  <c r="F151" i="169"/>
  <c r="A154" i="169" l="1"/>
  <c r="A155" i="169" l="1"/>
  <c r="F156" i="169"/>
  <c r="A156" i="169" l="1"/>
  <c r="F154" i="169"/>
  <c r="A157" i="169" l="1"/>
  <c r="A158" i="169" s="1"/>
  <c r="A161" i="169" s="1"/>
  <c r="A162" i="169" s="1"/>
  <c r="A164" i="169" s="1"/>
  <c r="A165" i="169" s="1"/>
  <c r="A166" i="169" s="1"/>
  <c r="F158" i="169" l="1"/>
  <c r="A167" i="169"/>
  <c r="A168" i="169" s="1"/>
  <c r="A169" i="169" s="1"/>
  <c r="A170" i="169" s="1"/>
  <c r="A171" i="169" s="1"/>
  <c r="A172" i="169" s="1"/>
  <c r="A173" i="169" s="1"/>
  <c r="A174" i="169" s="1"/>
  <c r="A175" i="169" s="1"/>
  <c r="A176" i="169" s="1"/>
  <c r="A177" i="169" s="1"/>
  <c r="A178" i="169" s="1"/>
  <c r="F183" i="169"/>
  <c r="F186" i="169" l="1"/>
  <c r="A179" i="169"/>
  <c r="A181" i="169" s="1"/>
  <c r="A182" i="169" l="1"/>
  <c r="A183" i="169" l="1"/>
  <c r="A184" i="169" l="1"/>
  <c r="F182" i="169"/>
  <c r="A185" i="169" l="1"/>
  <c r="A186" i="169" l="1"/>
  <c r="F187" i="169"/>
  <c r="A187" i="169" l="1"/>
  <c r="F185" i="169"/>
  <c r="A188" i="169" l="1"/>
  <c r="A189" i="169" s="1"/>
  <c r="A192" i="169" s="1"/>
  <c r="A193" i="169" s="1"/>
  <c r="A195" i="169" s="1"/>
  <c r="A196" i="169" s="1"/>
  <c r="A197" i="169" s="1"/>
  <c r="F189" i="169" l="1"/>
  <c r="F214" i="169"/>
  <c r="A198" i="169"/>
  <c r="A199" i="169" s="1"/>
  <c r="A200" i="169" s="1"/>
  <c r="A201" i="169" s="1"/>
  <c r="A202" i="169" s="1"/>
  <c r="A203" i="169" s="1"/>
  <c r="A204" i="169" s="1"/>
  <c r="A205" i="169" s="1"/>
  <c r="A206" i="169" s="1"/>
  <c r="A207" i="169" s="1"/>
  <c r="A208" i="169" s="1"/>
  <c r="A209" i="169" s="1"/>
  <c r="A210" i="169" l="1"/>
  <c r="A212" i="169" s="1"/>
  <c r="F217" i="169"/>
  <c r="A213" i="169" l="1"/>
  <c r="A214" i="169" l="1"/>
  <c r="A215" i="169" l="1"/>
  <c r="F213" i="169"/>
  <c r="A216" i="169" l="1"/>
  <c r="A217" i="169" l="1"/>
  <c r="F218" i="169"/>
  <c r="A218" i="169" l="1"/>
  <c r="F216" i="169"/>
  <c r="A219" i="169" l="1"/>
  <c r="A220" i="169" s="1"/>
  <c r="A223" i="169" s="1"/>
  <c r="A224" i="169" s="1"/>
  <c r="A226" i="169" s="1"/>
  <c r="A227" i="169" s="1"/>
  <c r="A228" i="169" s="1"/>
  <c r="A229" i="169" l="1"/>
  <c r="A230" i="169" s="1"/>
  <c r="A231" i="169" s="1"/>
  <c r="A232" i="169" s="1"/>
  <c r="A233" i="169" s="1"/>
  <c r="A234" i="169" s="1"/>
  <c r="A235" i="169" s="1"/>
  <c r="A236" i="169" s="1"/>
  <c r="A237" i="169" s="1"/>
  <c r="A238" i="169" s="1"/>
  <c r="A239" i="169" s="1"/>
  <c r="A240" i="169" s="1"/>
  <c r="F245" i="169"/>
  <c r="F220" i="169"/>
  <c r="F248" i="169" l="1"/>
  <c r="A241" i="169"/>
  <c r="A243" i="169" s="1"/>
  <c r="A244" i="169" l="1"/>
  <c r="A245" i="169" l="1"/>
  <c r="A246" i="169" l="1"/>
  <c r="F244" i="169"/>
  <c r="A247" i="169" l="1"/>
  <c r="A248" i="169" l="1"/>
  <c r="F249" i="169"/>
  <c r="A249" i="169" l="1"/>
  <c r="F247" i="169"/>
  <c r="A250" i="169" l="1"/>
  <c r="A251" i="169" s="1"/>
  <c r="F251" i="169" l="1"/>
  <c r="H16" i="84" l="1"/>
  <c r="H39" i="142" l="1"/>
  <c r="O74" i="155" l="1"/>
  <c r="O73" i="155"/>
  <c r="D55" i="154" l="1"/>
  <c r="D54" i="154"/>
  <c r="D53" i="154"/>
  <c r="D52" i="154"/>
  <c r="D51" i="154"/>
  <c r="D50" i="154"/>
  <c r="D49" i="154"/>
  <c r="D48" i="154"/>
  <c r="D47" i="154"/>
  <c r="D46" i="154"/>
  <c r="D45" i="154"/>
  <c r="D44" i="154"/>
  <c r="D43" i="154"/>
  <c r="D61" i="154" l="1"/>
  <c r="D39" i="154"/>
  <c r="F73" i="155" s="1"/>
  <c r="D23" i="154"/>
  <c r="E73" i="155" s="1"/>
  <c r="C36" i="142" s="1"/>
  <c r="E36" i="142" s="1"/>
  <c r="I36" i="142" s="1"/>
  <c r="G36" i="142" s="1"/>
  <c r="E61" i="154"/>
  <c r="E55" i="154"/>
  <c r="E54" i="154"/>
  <c r="E53" i="154"/>
  <c r="E52" i="154"/>
  <c r="E51" i="154"/>
  <c r="E50" i="154"/>
  <c r="E49" i="154"/>
  <c r="E48" i="154"/>
  <c r="E47" i="154"/>
  <c r="E46" i="154"/>
  <c r="E45" i="154"/>
  <c r="E44" i="154"/>
  <c r="E43" i="154"/>
  <c r="E39" i="154"/>
  <c r="F74" i="155" s="1"/>
  <c r="E23" i="154"/>
  <c r="E74" i="155" s="1"/>
  <c r="C37" i="142" s="1"/>
  <c r="E37" i="142" s="1"/>
  <c r="I37" i="142" s="1"/>
  <c r="G37" i="142" s="1"/>
  <c r="L74" i="155" l="1"/>
  <c r="L73" i="155"/>
  <c r="D56" i="154"/>
  <c r="E56" i="154"/>
  <c r="H17" i="132" l="1"/>
  <c r="H19" i="132"/>
  <c r="H12" i="132"/>
  <c r="H11" i="132"/>
  <c r="F19" i="132"/>
  <c r="F17" i="132"/>
  <c r="F12" i="132"/>
  <c r="F11" i="132"/>
  <c r="F9" i="130" l="1"/>
  <c r="F28" i="140" l="1"/>
  <c r="H28" i="140" s="1"/>
  <c r="H21" i="140" l="1"/>
  <c r="F41" i="140"/>
  <c r="F40" i="140"/>
  <c r="F10" i="140"/>
  <c r="D9" i="130" l="1"/>
  <c r="H34" i="168" l="1"/>
  <c r="F34" i="168"/>
  <c r="F19" i="168"/>
  <c r="F35" i="168" s="1"/>
  <c r="H39" i="168"/>
  <c r="M164" i="159" s="1"/>
  <c r="F39" i="168"/>
  <c r="L164" i="159" s="1"/>
  <c r="H36" i="168"/>
  <c r="F36" i="168"/>
  <c r="H35" i="168"/>
  <c r="H32" i="168"/>
  <c r="M162" i="159" s="1"/>
  <c r="F32" i="168"/>
  <c r="L162" i="159" s="1"/>
  <c r="J28" i="168"/>
  <c r="H25" i="168"/>
  <c r="H30" i="168" s="1"/>
  <c r="M161" i="159" s="1"/>
  <c r="J24" i="168"/>
  <c r="J23" i="168"/>
  <c r="J22" i="168"/>
  <c r="J36" i="168" s="1"/>
  <c r="J21" i="168"/>
  <c r="J20" i="168"/>
  <c r="J18" i="168"/>
  <c r="J32" i="168" s="1"/>
  <c r="J17" i="168"/>
  <c r="J16" i="168"/>
  <c r="J15" i="168"/>
  <c r="J14" i="168"/>
  <c r="J13" i="168"/>
  <c r="J12" i="168"/>
  <c r="J11" i="168"/>
  <c r="J1" i="168"/>
  <c r="J34" i="168" l="1"/>
  <c r="F25" i="168"/>
  <c r="F30" i="168" s="1"/>
  <c r="L161" i="159" s="1"/>
  <c r="H37" i="168"/>
  <c r="M163" i="159" s="1"/>
  <c r="F37" i="168"/>
  <c r="L163" i="159" s="1"/>
  <c r="J19" i="168"/>
  <c r="J35" i="168" s="1"/>
  <c r="J39" i="168"/>
  <c r="C52" i="137"/>
  <c r="D52" i="137" s="1"/>
  <c r="C13" i="137" s="1"/>
  <c r="F13" i="136"/>
  <c r="D13" i="136"/>
  <c r="J37" i="168" l="1"/>
  <c r="H41" i="168"/>
  <c r="F41" i="168"/>
  <c r="J25" i="168"/>
  <c r="J30" i="168" s="1"/>
  <c r="A10" i="168"/>
  <c r="A11" i="168" s="1"/>
  <c r="A12" i="168" s="1"/>
  <c r="A13" i="168" s="1"/>
  <c r="A14" i="168" s="1"/>
  <c r="A15" i="168" s="1"/>
  <c r="A16" i="168" s="1"/>
  <c r="A17" i="168" s="1"/>
  <c r="A18" i="168" s="1"/>
  <c r="A19" i="168" s="1"/>
  <c r="A20" i="168" s="1"/>
  <c r="A21" i="168" s="1"/>
  <c r="A22" i="168" s="1"/>
  <c r="A23" i="168" s="1"/>
  <c r="A24" i="168" s="1"/>
  <c r="A25" i="168" s="1"/>
  <c r="A27" i="168" s="1"/>
  <c r="A28" i="168" s="1"/>
  <c r="A30" i="168" s="1"/>
  <c r="A32" i="168" s="1"/>
  <c r="A34" i="168" s="1"/>
  <c r="A35" i="168" s="1"/>
  <c r="A36" i="168" s="1"/>
  <c r="A37" i="168" s="1"/>
  <c r="A39" i="168" s="1"/>
  <c r="A41" i="168" s="1"/>
  <c r="A43" i="168" s="1"/>
  <c r="H22" i="136"/>
  <c r="J41" i="168" l="1"/>
  <c r="D361" i="159"/>
  <c r="D363" i="159" s="1"/>
  <c r="G275" i="159"/>
  <c r="O19" i="159" l="1"/>
  <c r="Q19" i="159" s="1"/>
  <c r="I22" i="140"/>
  <c r="R13" i="135"/>
  <c r="R14" i="135"/>
  <c r="R15" i="135"/>
  <c r="R16" i="135"/>
  <c r="R17" i="135"/>
  <c r="R18" i="135"/>
  <c r="R19" i="135"/>
  <c r="R20" i="135"/>
  <c r="R21" i="135"/>
  <c r="R22" i="135"/>
  <c r="R23" i="135"/>
  <c r="R12" i="135"/>
  <c r="P25" i="135"/>
  <c r="N25" i="135"/>
  <c r="L25" i="135"/>
  <c r="J25" i="135"/>
  <c r="H23" i="149"/>
  <c r="D331" i="159"/>
  <c r="C10" i="166"/>
  <c r="C6" i="166"/>
  <c r="F41" i="130"/>
  <c r="D41" i="130"/>
  <c r="F28" i="130"/>
  <c r="D28" i="130"/>
  <c r="J17" i="140"/>
  <c r="J16" i="140"/>
  <c r="H20" i="140"/>
  <c r="H19" i="140"/>
  <c r="H18" i="140"/>
  <c r="H13" i="140"/>
  <c r="H12" i="140"/>
  <c r="H11" i="140"/>
  <c r="H10" i="140"/>
  <c r="I27" i="140"/>
  <c r="T61" i="157"/>
  <c r="K90" i="158" s="1"/>
  <c r="T55" i="157"/>
  <c r="T54" i="157"/>
  <c r="T53" i="157"/>
  <c r="T52" i="157"/>
  <c r="T51" i="157"/>
  <c r="T50" i="157"/>
  <c r="T49" i="157"/>
  <c r="T48" i="157"/>
  <c r="T47" i="157"/>
  <c r="T46" i="157"/>
  <c r="T45" i="157"/>
  <c r="T44" i="157"/>
  <c r="T43" i="157"/>
  <c r="T39" i="157"/>
  <c r="T23" i="157"/>
  <c r="E90" i="158" s="1"/>
  <c r="C25" i="142" s="1"/>
  <c r="E25" i="142" s="1"/>
  <c r="I25" i="142" s="1"/>
  <c r="G25" i="142" s="1"/>
  <c r="N34" i="3"/>
  <c r="N35" i="3"/>
  <c r="N36" i="3"/>
  <c r="N37" i="3"/>
  <c r="N38" i="3"/>
  <c r="N39" i="3"/>
  <c r="N40" i="3"/>
  <c r="N41" i="3"/>
  <c r="N42" i="3"/>
  <c r="N43" i="3"/>
  <c r="N44" i="3"/>
  <c r="N45" i="3"/>
  <c r="N46" i="3"/>
  <c r="T79" i="128"/>
  <c r="T53" i="128"/>
  <c r="H27" i="142"/>
  <c r="O24" i="133"/>
  <c r="H39" i="157"/>
  <c r="H43" i="157"/>
  <c r="H44" i="157"/>
  <c r="H45" i="157"/>
  <c r="H46" i="157"/>
  <c r="H47" i="157"/>
  <c r="H48" i="157"/>
  <c r="H49" i="157"/>
  <c r="H50" i="157"/>
  <c r="H51" i="157"/>
  <c r="H52" i="157"/>
  <c r="H53" i="157"/>
  <c r="H54" i="157"/>
  <c r="H55" i="157"/>
  <c r="H61" i="157"/>
  <c r="O72" i="155"/>
  <c r="A9" i="130"/>
  <c r="A11" i="130" s="1"/>
  <c r="A13" i="130" s="1"/>
  <c r="A14" i="130" s="1"/>
  <c r="A15" i="130" s="1"/>
  <c r="A17" i="130" s="1"/>
  <c r="A22" i="130" s="1"/>
  <c r="A23" i="130" s="1"/>
  <c r="A24" i="130" s="1"/>
  <c r="Q46" i="133"/>
  <c r="H5" i="149"/>
  <c r="R38" i="128" s="1"/>
  <c r="H6" i="149"/>
  <c r="R39" i="128" s="1"/>
  <c r="R13" i="128" s="1"/>
  <c r="D19" i="149"/>
  <c r="F19" i="149"/>
  <c r="Q91" i="155"/>
  <c r="L231" i="159"/>
  <c r="M231" i="159"/>
  <c r="L232" i="159"/>
  <c r="M232" i="159"/>
  <c r="F18" i="131"/>
  <c r="F19" i="131"/>
  <c r="F20" i="131"/>
  <c r="H18" i="131"/>
  <c r="H19" i="131"/>
  <c r="H20" i="131"/>
  <c r="L250" i="159"/>
  <c r="M250" i="159"/>
  <c r="L249" i="159"/>
  <c r="M249" i="159"/>
  <c r="L251" i="159"/>
  <c r="M251" i="159"/>
  <c r="L252" i="159"/>
  <c r="M252" i="159"/>
  <c r="L257" i="159"/>
  <c r="M257" i="159"/>
  <c r="L258" i="159"/>
  <c r="M258" i="159"/>
  <c r="L259" i="159"/>
  <c r="M259" i="159"/>
  <c r="D165" i="159"/>
  <c r="L179" i="159"/>
  <c r="M179" i="159"/>
  <c r="L180" i="159"/>
  <c r="M180" i="159"/>
  <c r="L182" i="159"/>
  <c r="M182" i="159"/>
  <c r="L184" i="159"/>
  <c r="M184" i="159"/>
  <c r="L185" i="159"/>
  <c r="M185" i="159"/>
  <c r="D116" i="159"/>
  <c r="L273" i="159"/>
  <c r="M273" i="159"/>
  <c r="L263" i="159"/>
  <c r="M263" i="159"/>
  <c r="L268" i="159"/>
  <c r="M268" i="159"/>
  <c r="L269" i="159"/>
  <c r="M269" i="159"/>
  <c r="L270" i="159"/>
  <c r="M270" i="159"/>
  <c r="L274" i="159"/>
  <c r="M274" i="159"/>
  <c r="L194" i="159"/>
  <c r="M194" i="159"/>
  <c r="K73" i="158"/>
  <c r="K74" i="158"/>
  <c r="K75" i="158"/>
  <c r="K76" i="158"/>
  <c r="K77" i="158"/>
  <c r="K78" i="158"/>
  <c r="K79" i="158"/>
  <c r="K80" i="158"/>
  <c r="K81" i="158"/>
  <c r="K82" i="158"/>
  <c r="K83" i="158"/>
  <c r="K84" i="158"/>
  <c r="K85" i="158"/>
  <c r="K86" i="158"/>
  <c r="K87" i="158"/>
  <c r="K88" i="158"/>
  <c r="K89" i="158"/>
  <c r="E91" i="158"/>
  <c r="H91" i="158"/>
  <c r="K91" i="158"/>
  <c r="C61" i="154"/>
  <c r="C43" i="154"/>
  <c r="C44" i="154"/>
  <c r="C45" i="154"/>
  <c r="C46" i="154"/>
  <c r="C47" i="154"/>
  <c r="C48" i="154"/>
  <c r="C49" i="154"/>
  <c r="C50" i="154"/>
  <c r="C51" i="154"/>
  <c r="C52" i="154"/>
  <c r="C53" i="154"/>
  <c r="C54" i="154"/>
  <c r="C55" i="154"/>
  <c r="B22" i="154"/>
  <c r="B38" i="154" s="1"/>
  <c r="B55" i="154" s="1"/>
  <c r="B11" i="154"/>
  <c r="B44" i="154" s="1"/>
  <c r="B10" i="154"/>
  <c r="B43" i="154" s="1"/>
  <c r="C39" i="154"/>
  <c r="F72" i="155" s="1"/>
  <c r="F91" i="155" s="1"/>
  <c r="C23" i="154"/>
  <c r="E72" i="155" s="1"/>
  <c r="J64" i="155"/>
  <c r="R62" i="155"/>
  <c r="J62" i="155"/>
  <c r="R61" i="155"/>
  <c r="J61" i="155"/>
  <c r="C61" i="155"/>
  <c r="S61" i="157"/>
  <c r="R61" i="157"/>
  <c r="Q61" i="157"/>
  <c r="P61" i="157"/>
  <c r="O61" i="157"/>
  <c r="N61" i="157"/>
  <c r="M61" i="157"/>
  <c r="L61" i="157"/>
  <c r="K61" i="157"/>
  <c r="J61" i="157"/>
  <c r="I61" i="157"/>
  <c r="G61" i="157"/>
  <c r="F61" i="157"/>
  <c r="E61" i="157"/>
  <c r="D61" i="157"/>
  <c r="C61" i="157"/>
  <c r="S43" i="157"/>
  <c r="S44" i="157"/>
  <c r="S45" i="157"/>
  <c r="S46" i="157"/>
  <c r="S47" i="157"/>
  <c r="S48" i="157"/>
  <c r="S49" i="157"/>
  <c r="S50" i="157"/>
  <c r="S51" i="157"/>
  <c r="S52" i="157"/>
  <c r="S53" i="157"/>
  <c r="S54" i="157"/>
  <c r="S55" i="157"/>
  <c r="R43" i="157"/>
  <c r="R44" i="157"/>
  <c r="R45" i="157"/>
  <c r="R46" i="157"/>
  <c r="R47" i="157"/>
  <c r="R48" i="157"/>
  <c r="R49" i="157"/>
  <c r="R50" i="157"/>
  <c r="R51" i="157"/>
  <c r="R52" i="157"/>
  <c r="R53" i="157"/>
  <c r="R54" i="157"/>
  <c r="R55" i="157"/>
  <c r="Q43" i="157"/>
  <c r="Q44" i="157"/>
  <c r="Q45" i="157"/>
  <c r="Q46" i="157"/>
  <c r="Q47" i="157"/>
  <c r="Q48" i="157"/>
  <c r="Q49" i="157"/>
  <c r="Q50" i="157"/>
  <c r="Q51" i="157"/>
  <c r="Q52" i="157"/>
  <c r="Q53" i="157"/>
  <c r="Q54" i="157"/>
  <c r="Q55" i="157"/>
  <c r="P43" i="157"/>
  <c r="P44" i="157"/>
  <c r="P45" i="157"/>
  <c r="P46" i="157"/>
  <c r="P47" i="157"/>
  <c r="P48" i="157"/>
  <c r="P49" i="157"/>
  <c r="P50" i="157"/>
  <c r="P51" i="157"/>
  <c r="P52" i="157"/>
  <c r="P53" i="157"/>
  <c r="P54" i="157"/>
  <c r="P55" i="157"/>
  <c r="O43" i="157"/>
  <c r="O44" i="157"/>
  <c r="O45" i="157"/>
  <c r="O46" i="157"/>
  <c r="O47" i="157"/>
  <c r="O48" i="157"/>
  <c r="O49" i="157"/>
  <c r="O50" i="157"/>
  <c r="O51" i="157"/>
  <c r="O52" i="157"/>
  <c r="O53" i="157"/>
  <c r="O54" i="157"/>
  <c r="O55" i="157"/>
  <c r="N43" i="157"/>
  <c r="N44" i="157"/>
  <c r="N45" i="157"/>
  <c r="N46" i="157"/>
  <c r="N47" i="157"/>
  <c r="N48" i="157"/>
  <c r="N49" i="157"/>
  <c r="N50" i="157"/>
  <c r="N51" i="157"/>
  <c r="N52" i="157"/>
  <c r="N53" i="157"/>
  <c r="N54" i="157"/>
  <c r="N55" i="157"/>
  <c r="M43" i="157"/>
  <c r="M44" i="157"/>
  <c r="M45" i="157"/>
  <c r="M46" i="157"/>
  <c r="M47" i="157"/>
  <c r="M48" i="157"/>
  <c r="M49" i="157"/>
  <c r="M50" i="157"/>
  <c r="M51" i="157"/>
  <c r="M52" i="157"/>
  <c r="M53" i="157"/>
  <c r="M54" i="157"/>
  <c r="M55" i="157"/>
  <c r="L43" i="157"/>
  <c r="L44" i="157"/>
  <c r="L45" i="157"/>
  <c r="L46" i="157"/>
  <c r="L47" i="157"/>
  <c r="L48" i="157"/>
  <c r="L49" i="157"/>
  <c r="L50" i="157"/>
  <c r="L51" i="157"/>
  <c r="L52" i="157"/>
  <c r="L53" i="157"/>
  <c r="L54" i="157"/>
  <c r="L55" i="157"/>
  <c r="K43" i="157"/>
  <c r="K44" i="157"/>
  <c r="K45" i="157"/>
  <c r="K46" i="157"/>
  <c r="K47" i="157"/>
  <c r="K48" i="157"/>
  <c r="K49" i="157"/>
  <c r="K50" i="157"/>
  <c r="K51" i="157"/>
  <c r="K52" i="157"/>
  <c r="K53" i="157"/>
  <c r="K54" i="157"/>
  <c r="K55" i="157"/>
  <c r="J43" i="157"/>
  <c r="J44" i="157"/>
  <c r="J45" i="157"/>
  <c r="J46" i="157"/>
  <c r="J47" i="157"/>
  <c r="J48" i="157"/>
  <c r="J49" i="157"/>
  <c r="J50" i="157"/>
  <c r="J51" i="157"/>
  <c r="J52" i="157"/>
  <c r="J53" i="157"/>
  <c r="J54" i="157"/>
  <c r="J55" i="157"/>
  <c r="I43" i="157"/>
  <c r="I44" i="157"/>
  <c r="I45" i="157"/>
  <c r="I46" i="157"/>
  <c r="I47" i="157"/>
  <c r="I48" i="157"/>
  <c r="I49" i="157"/>
  <c r="I50" i="157"/>
  <c r="I51" i="157"/>
  <c r="I52" i="157"/>
  <c r="I53" i="157"/>
  <c r="I54" i="157"/>
  <c r="I55" i="157"/>
  <c r="G43" i="157"/>
  <c r="G44" i="157"/>
  <c r="G45" i="157"/>
  <c r="G46" i="157"/>
  <c r="G47" i="157"/>
  <c r="G48" i="157"/>
  <c r="G49" i="157"/>
  <c r="G50" i="157"/>
  <c r="G51" i="157"/>
  <c r="G52" i="157"/>
  <c r="G53" i="157"/>
  <c r="G54" i="157"/>
  <c r="G55" i="157"/>
  <c r="F43" i="157"/>
  <c r="F44" i="157"/>
  <c r="F45" i="157"/>
  <c r="F46" i="157"/>
  <c r="F47" i="157"/>
  <c r="F48" i="157"/>
  <c r="F49" i="157"/>
  <c r="F50" i="157"/>
  <c r="F51" i="157"/>
  <c r="F52" i="157"/>
  <c r="F53" i="157"/>
  <c r="F54" i="157"/>
  <c r="F55" i="157"/>
  <c r="E43" i="157"/>
  <c r="E44" i="157"/>
  <c r="E45" i="157"/>
  <c r="E46" i="157"/>
  <c r="E47" i="157"/>
  <c r="E48" i="157"/>
  <c r="E49" i="157"/>
  <c r="E50" i="157"/>
  <c r="E51" i="157"/>
  <c r="E52" i="157"/>
  <c r="E53" i="157"/>
  <c r="E54" i="157"/>
  <c r="E55" i="157"/>
  <c r="D43" i="157"/>
  <c r="D44" i="157"/>
  <c r="D45" i="157"/>
  <c r="D46" i="157"/>
  <c r="D47" i="157"/>
  <c r="D48" i="157"/>
  <c r="D49" i="157"/>
  <c r="D50" i="157"/>
  <c r="D51" i="157"/>
  <c r="D52" i="157"/>
  <c r="D53" i="157"/>
  <c r="D54" i="157"/>
  <c r="D55" i="157"/>
  <c r="C43" i="157"/>
  <c r="C44" i="157"/>
  <c r="C45" i="157"/>
  <c r="C46" i="157"/>
  <c r="C47" i="157"/>
  <c r="C48" i="157"/>
  <c r="C49" i="157"/>
  <c r="C50" i="157"/>
  <c r="C51" i="157"/>
  <c r="C52" i="157"/>
  <c r="C53" i="157"/>
  <c r="C54" i="157"/>
  <c r="C55" i="157"/>
  <c r="B22" i="157"/>
  <c r="B38" i="157" s="1"/>
  <c r="B55" i="157" s="1"/>
  <c r="B11" i="157"/>
  <c r="B44" i="157" s="1"/>
  <c r="B10" i="157"/>
  <c r="B43" i="157" s="1"/>
  <c r="S39" i="157"/>
  <c r="R39" i="157"/>
  <c r="Q39" i="157"/>
  <c r="P39" i="157"/>
  <c r="O39" i="157"/>
  <c r="N39" i="157"/>
  <c r="M39" i="157"/>
  <c r="L39" i="157"/>
  <c r="K39" i="157"/>
  <c r="J39" i="157"/>
  <c r="I39" i="157"/>
  <c r="F39" i="157"/>
  <c r="E39" i="157"/>
  <c r="D39" i="157"/>
  <c r="C39" i="157"/>
  <c r="S23" i="157"/>
  <c r="E89" i="158" s="1"/>
  <c r="C24" i="142" s="1"/>
  <c r="E24" i="142" s="1"/>
  <c r="I24" i="142" s="1"/>
  <c r="G24" i="142" s="1"/>
  <c r="R23" i="157"/>
  <c r="E88" i="158" s="1"/>
  <c r="C22" i="142" s="1"/>
  <c r="E22" i="142" s="1"/>
  <c r="I22" i="142" s="1"/>
  <c r="G22" i="142" s="1"/>
  <c r="Q23" i="157"/>
  <c r="E87" i="158" s="1"/>
  <c r="C21" i="142" s="1"/>
  <c r="E21" i="142" s="1"/>
  <c r="I21" i="142" s="1"/>
  <c r="G21" i="142" s="1"/>
  <c r="P23" i="157"/>
  <c r="E86" i="158" s="1"/>
  <c r="C23" i="142" s="1"/>
  <c r="E23" i="142" s="1"/>
  <c r="I23" i="142" s="1"/>
  <c r="G23" i="142" s="1"/>
  <c r="O23" i="157"/>
  <c r="E85" i="158" s="1"/>
  <c r="C20" i="142" s="1"/>
  <c r="E20" i="142" s="1"/>
  <c r="I20" i="142" s="1"/>
  <c r="G20" i="142" s="1"/>
  <c r="N23" i="157"/>
  <c r="E84" i="158" s="1"/>
  <c r="C19" i="142" s="1"/>
  <c r="E19" i="142" s="1"/>
  <c r="I19" i="142" s="1"/>
  <c r="G19" i="142" s="1"/>
  <c r="M23" i="157"/>
  <c r="E83" i="158" s="1"/>
  <c r="C18" i="142" s="1"/>
  <c r="E18" i="142" s="1"/>
  <c r="I18" i="142" s="1"/>
  <c r="G18" i="142" s="1"/>
  <c r="L23" i="157"/>
  <c r="E82" i="158" s="1"/>
  <c r="C17" i="142" s="1"/>
  <c r="E17" i="142" s="1"/>
  <c r="I17" i="142" s="1"/>
  <c r="G17" i="142" s="1"/>
  <c r="K23" i="157"/>
  <c r="E81" i="158" s="1"/>
  <c r="C16" i="142" s="1"/>
  <c r="E16" i="142" s="1"/>
  <c r="I16" i="142" s="1"/>
  <c r="G16" i="142" s="1"/>
  <c r="J23" i="157"/>
  <c r="E80" i="158" s="1"/>
  <c r="C15" i="142" s="1"/>
  <c r="E15" i="142" s="1"/>
  <c r="I15" i="142" s="1"/>
  <c r="G15" i="142" s="1"/>
  <c r="I23" i="157"/>
  <c r="E79" i="158" s="1"/>
  <c r="C14" i="142" s="1"/>
  <c r="E14" i="142" s="1"/>
  <c r="I14" i="142" s="1"/>
  <c r="G14" i="142" s="1"/>
  <c r="H23" i="157"/>
  <c r="E78" i="158" s="1"/>
  <c r="C13" i="142" s="1"/>
  <c r="E13" i="142" s="1"/>
  <c r="I13" i="142" s="1"/>
  <c r="G13" i="142" s="1"/>
  <c r="E77" i="158"/>
  <c r="C12" i="142" s="1"/>
  <c r="E12" i="142" s="1"/>
  <c r="I12" i="142" s="1"/>
  <c r="G12" i="142" s="1"/>
  <c r="F23" i="157"/>
  <c r="E76" i="158" s="1"/>
  <c r="C11" i="142" s="1"/>
  <c r="E11" i="142" s="1"/>
  <c r="I11" i="142" s="1"/>
  <c r="G11" i="142" s="1"/>
  <c r="E23" i="157"/>
  <c r="E75" i="158" s="1"/>
  <c r="C10" i="142" s="1"/>
  <c r="D23" i="157"/>
  <c r="E74" i="158" s="1"/>
  <c r="C9" i="142" s="1"/>
  <c r="C23" i="157"/>
  <c r="E73" i="158" s="1"/>
  <c r="M95" i="158"/>
  <c r="G65" i="158"/>
  <c r="G63" i="158"/>
  <c r="N62" i="158"/>
  <c r="G62" i="158"/>
  <c r="C62" i="158"/>
  <c r="N61" i="158"/>
  <c r="A303" i="159"/>
  <c r="M288" i="159"/>
  <c r="M289" i="159"/>
  <c r="M290" i="159"/>
  <c r="M291" i="159"/>
  <c r="M285" i="159"/>
  <c r="L285" i="159"/>
  <c r="L281" i="159"/>
  <c r="M281" i="159"/>
  <c r="M282" i="159"/>
  <c r="L282" i="159"/>
  <c r="I265" i="159"/>
  <c r="I256" i="159"/>
  <c r="N247" i="159"/>
  <c r="A226" i="159"/>
  <c r="K223" i="159"/>
  <c r="D166" i="159"/>
  <c r="I166" i="159" s="1"/>
  <c r="L183" i="159"/>
  <c r="M183" i="159"/>
  <c r="F184" i="159"/>
  <c r="C184" i="159"/>
  <c r="F94" i="159"/>
  <c r="F112" i="159" s="1"/>
  <c r="F183" i="159" s="1"/>
  <c r="F180" i="159"/>
  <c r="C180" i="159"/>
  <c r="B170" i="159"/>
  <c r="C165" i="159"/>
  <c r="F164" i="159"/>
  <c r="F162" i="159"/>
  <c r="F163" i="159" s="1"/>
  <c r="A151" i="159"/>
  <c r="K148" i="159"/>
  <c r="F95" i="159"/>
  <c r="F121" i="159" s="1"/>
  <c r="F115" i="159"/>
  <c r="B98" i="159"/>
  <c r="B106" i="159" s="1"/>
  <c r="B97" i="159"/>
  <c r="B105" i="159" s="1"/>
  <c r="B96" i="159"/>
  <c r="B104" i="159" s="1"/>
  <c r="B95" i="159"/>
  <c r="B103" i="159" s="1"/>
  <c r="B94" i="159"/>
  <c r="B102" i="159" s="1"/>
  <c r="F98" i="159"/>
  <c r="F97" i="159"/>
  <c r="G96" i="159"/>
  <c r="F96" i="159"/>
  <c r="G94" i="159"/>
  <c r="A79" i="159"/>
  <c r="K76" i="159"/>
  <c r="I48" i="159"/>
  <c r="I47" i="159"/>
  <c r="I20" i="159"/>
  <c r="I21" i="159"/>
  <c r="F15" i="159"/>
  <c r="F16" i="159" s="1"/>
  <c r="F17" i="159" s="1"/>
  <c r="H31" i="131"/>
  <c r="H39" i="131"/>
  <c r="J64" i="42"/>
  <c r="M173" i="159" s="1"/>
  <c r="L64" i="42"/>
  <c r="M174" i="159" s="1"/>
  <c r="D64" i="42"/>
  <c r="M170" i="159" s="1"/>
  <c r="F64" i="42"/>
  <c r="M171" i="159" s="1"/>
  <c r="H64" i="42"/>
  <c r="M172" i="159" s="1"/>
  <c r="T1" i="128"/>
  <c r="H7" i="149"/>
  <c r="R40" i="128" s="1"/>
  <c r="R14" i="128" s="1"/>
  <c r="H8" i="149"/>
  <c r="R41" i="128" s="1"/>
  <c r="R15" i="128" s="1"/>
  <c r="H9" i="149"/>
  <c r="R42" i="128" s="1"/>
  <c r="R16" i="128" s="1"/>
  <c r="H10" i="149"/>
  <c r="R43" i="128" s="1"/>
  <c r="R17" i="128" s="1"/>
  <c r="H11" i="149"/>
  <c r="R44" i="128" s="1"/>
  <c r="R18" i="128" s="1"/>
  <c r="H12" i="149"/>
  <c r="R45" i="128" s="1"/>
  <c r="R19" i="128" s="1"/>
  <c r="H13" i="149"/>
  <c r="R46" i="128" s="1"/>
  <c r="R20" i="128" s="1"/>
  <c r="H14" i="149"/>
  <c r="R47" i="128" s="1"/>
  <c r="R21" i="128" s="1"/>
  <c r="H15" i="149"/>
  <c r="R48" i="128" s="1"/>
  <c r="R22" i="128" s="1"/>
  <c r="H16" i="149"/>
  <c r="R49" i="128" s="1"/>
  <c r="R23" i="128" s="1"/>
  <c r="H17" i="149"/>
  <c r="R50" i="128" s="1"/>
  <c r="R24" i="128" s="1"/>
  <c r="F70" i="3"/>
  <c r="M87" i="159" s="1"/>
  <c r="D162" i="159"/>
  <c r="H56" i="37"/>
  <c r="M160" i="159" s="1"/>
  <c r="H52" i="37"/>
  <c r="H53" i="37"/>
  <c r="H27" i="37"/>
  <c r="H44" i="37"/>
  <c r="D64" i="129"/>
  <c r="M121" i="159" s="1"/>
  <c r="L70" i="127"/>
  <c r="M98" i="159" s="1"/>
  <c r="J70" i="127"/>
  <c r="M97" i="159" s="1"/>
  <c r="H70" i="127"/>
  <c r="M96" i="159" s="1"/>
  <c r="F70" i="127"/>
  <c r="M95" i="159" s="1"/>
  <c r="D70" i="127"/>
  <c r="M94" i="159" s="1"/>
  <c r="L70" i="3"/>
  <c r="M90" i="159" s="1"/>
  <c r="J70" i="3"/>
  <c r="H70" i="3"/>
  <c r="M88" i="159" s="1"/>
  <c r="D70" i="3"/>
  <c r="M86" i="159" s="1"/>
  <c r="I1" i="136"/>
  <c r="D164" i="159"/>
  <c r="N52" i="128"/>
  <c r="O82" i="133"/>
  <c r="M109" i="159" s="1"/>
  <c r="J48" i="3"/>
  <c r="L89" i="159" s="1"/>
  <c r="F48" i="3"/>
  <c r="L87" i="159" s="1"/>
  <c r="I8" i="140"/>
  <c r="I9" i="140"/>
  <c r="I23" i="140"/>
  <c r="I24" i="140"/>
  <c r="I25" i="140"/>
  <c r="I26" i="140"/>
  <c r="H8" i="136"/>
  <c r="C8" i="137" s="1"/>
  <c r="H18" i="136"/>
  <c r="Q47" i="133"/>
  <c r="Q48" i="133"/>
  <c r="Q49" i="133"/>
  <c r="Q50" i="133"/>
  <c r="Q51" i="133"/>
  <c r="Q52" i="133"/>
  <c r="Q53" i="133"/>
  <c r="Q54" i="133"/>
  <c r="Q55" i="133"/>
  <c r="Q56" i="133"/>
  <c r="Q57" i="133"/>
  <c r="Q58" i="133"/>
  <c r="F48" i="127"/>
  <c r="L95" i="159" s="1"/>
  <c r="P52" i="128"/>
  <c r="P56" i="128" s="1"/>
  <c r="D48" i="127"/>
  <c r="L94" i="159" s="1"/>
  <c r="J62" i="130"/>
  <c r="A12" i="129"/>
  <c r="A13" i="129" s="1"/>
  <c r="A14" i="129" s="1"/>
  <c r="A15" i="129" s="1"/>
  <c r="A16" i="129" s="1"/>
  <c r="A17" i="129" s="1"/>
  <c r="A18" i="129" s="1"/>
  <c r="A19" i="129" s="1"/>
  <c r="A20" i="129" s="1"/>
  <c r="A21" i="129" s="1"/>
  <c r="A22" i="129" s="1"/>
  <c r="A23" i="129" s="1"/>
  <c r="A24" i="129" s="1"/>
  <c r="A25" i="129" s="1"/>
  <c r="A26" i="129" s="1"/>
  <c r="A27" i="129" s="1"/>
  <c r="A28" i="129" s="1"/>
  <c r="A29" i="129" s="1"/>
  <c r="A30" i="129" s="1"/>
  <c r="A31" i="129" s="1"/>
  <c r="A32" i="129" s="1"/>
  <c r="A33" i="129" s="1"/>
  <c r="A34" i="129" s="1"/>
  <c r="A35" i="129" s="1"/>
  <c r="A36" i="129" s="1"/>
  <c r="A37" i="129" s="1"/>
  <c r="A38" i="129" s="1"/>
  <c r="A39" i="129" s="1"/>
  <c r="A40" i="129" s="1"/>
  <c r="A41" i="129" s="1"/>
  <c r="A42" i="129" s="1"/>
  <c r="A43" i="129" s="1"/>
  <c r="A44" i="129" s="1"/>
  <c r="A45" i="129" s="1"/>
  <c r="A46" i="129" s="1"/>
  <c r="A47" i="129" s="1"/>
  <c r="A48" i="129" s="1"/>
  <c r="A49" i="129" s="1"/>
  <c r="A50" i="129" s="1"/>
  <c r="A51" i="129" s="1"/>
  <c r="A52" i="129" s="1"/>
  <c r="A53" i="129" s="1"/>
  <c r="A54" i="129" s="1"/>
  <c r="A55" i="129" s="1"/>
  <c r="A56" i="129" s="1"/>
  <c r="A57" i="129" s="1"/>
  <c r="A58" i="129" s="1"/>
  <c r="A59" i="129" s="1"/>
  <c r="A60" i="129" s="1"/>
  <c r="A61" i="129" s="1"/>
  <c r="A62" i="129" s="1"/>
  <c r="A63" i="129" s="1"/>
  <c r="A64" i="129" s="1"/>
  <c r="D44" i="42"/>
  <c r="L170" i="159" s="1"/>
  <c r="D22" i="42"/>
  <c r="D21" i="42"/>
  <c r="D20" i="42"/>
  <c r="D19" i="42"/>
  <c r="D18" i="42"/>
  <c r="D17" i="42"/>
  <c r="D16" i="42"/>
  <c r="D15" i="42"/>
  <c r="D14" i="42"/>
  <c r="D13" i="42"/>
  <c r="D12" i="42"/>
  <c r="D11" i="42"/>
  <c r="L48" i="3"/>
  <c r="L90" i="159" s="1"/>
  <c r="D48" i="3"/>
  <c r="H48" i="3"/>
  <c r="L88" i="159" s="1"/>
  <c r="J48" i="127"/>
  <c r="L97" i="159" s="1"/>
  <c r="L48" i="127"/>
  <c r="H48" i="127"/>
  <c r="L96" i="159" s="1"/>
  <c r="I1" i="142"/>
  <c r="J44" i="42"/>
  <c r="L173" i="159" s="1"/>
  <c r="L44" i="42"/>
  <c r="L174" i="159" s="1"/>
  <c r="D45" i="129"/>
  <c r="L121" i="159" s="1"/>
  <c r="R78" i="128"/>
  <c r="R82" i="128" s="1"/>
  <c r="M117" i="159" s="1"/>
  <c r="N78" i="128"/>
  <c r="N82" i="128" s="1"/>
  <c r="M118" i="159" s="1"/>
  <c r="F61" i="130"/>
  <c r="F43" i="130" s="1"/>
  <c r="D58" i="130"/>
  <c r="D43" i="130" s="1"/>
  <c r="D50" i="130"/>
  <c r="D30" i="130" s="1"/>
  <c r="F53" i="130"/>
  <c r="F30" i="130" s="1"/>
  <c r="D25" i="135"/>
  <c r="F25" i="135"/>
  <c r="P32" i="159" s="1"/>
  <c r="S32" i="159" s="1"/>
  <c r="H27" i="141"/>
  <c r="Q68" i="133"/>
  <c r="Q69" i="133"/>
  <c r="Q70" i="133"/>
  <c r="Q71" i="133"/>
  <c r="Q72" i="133"/>
  <c r="Q73" i="133"/>
  <c r="Q74" i="133"/>
  <c r="Q75" i="133"/>
  <c r="Q76" i="133"/>
  <c r="Q77" i="133"/>
  <c r="Q78" i="133"/>
  <c r="Q79" i="133"/>
  <c r="Q80" i="133"/>
  <c r="D8" i="130"/>
  <c r="J1" i="37"/>
  <c r="A10" i="37"/>
  <c r="A11" i="37" s="1"/>
  <c r="A13" i="37" s="1"/>
  <c r="A14" i="37" s="1"/>
  <c r="A15" i="37" s="1"/>
  <c r="A16" i="37" s="1"/>
  <c r="A17" i="37" s="1"/>
  <c r="A18" i="37" s="1"/>
  <c r="A19" i="37" s="1"/>
  <c r="A20" i="37" s="1"/>
  <c r="A21" i="37" s="1"/>
  <c r="A22" i="37" s="1"/>
  <c r="A23" i="37" s="1"/>
  <c r="A24" i="37" s="1"/>
  <c r="A25" i="37" s="1"/>
  <c r="A26" i="37" s="1"/>
  <c r="A27" i="37" s="1"/>
  <c r="A29" i="37" s="1"/>
  <c r="A30" i="37" s="1"/>
  <c r="A9" i="140"/>
  <c r="A10" i="140" s="1"/>
  <c r="A11" i="140" s="1"/>
  <c r="A12" i="140" s="1"/>
  <c r="A13" i="140" s="1"/>
  <c r="A14" i="140" s="1"/>
  <c r="A15" i="140" s="1"/>
  <c r="A16" i="140" s="1"/>
  <c r="A17" i="140" s="1"/>
  <c r="A18" i="140" s="1"/>
  <c r="A19" i="140" s="1"/>
  <c r="A20" i="140" s="1"/>
  <c r="J11" i="37"/>
  <c r="J12" i="37"/>
  <c r="J13" i="37"/>
  <c r="J14" i="37"/>
  <c r="J15" i="37"/>
  <c r="J16" i="37"/>
  <c r="J17" i="37"/>
  <c r="J18" i="37"/>
  <c r="J19" i="37"/>
  <c r="J20" i="37"/>
  <c r="J21" i="37"/>
  <c r="J22" i="37"/>
  <c r="J23" i="37"/>
  <c r="J24" i="37"/>
  <c r="J25" i="37"/>
  <c r="J26" i="37"/>
  <c r="J30" i="37"/>
  <c r="J31" i="37"/>
  <c r="J32" i="37"/>
  <c r="J33" i="37"/>
  <c r="J34" i="37"/>
  <c r="J35" i="37"/>
  <c r="J36" i="37"/>
  <c r="J37" i="37"/>
  <c r="J38" i="37"/>
  <c r="J39" i="37"/>
  <c r="J40" i="37"/>
  <c r="J41" i="37"/>
  <c r="J42" i="37"/>
  <c r="J43" i="37"/>
  <c r="J49" i="37"/>
  <c r="F52" i="37"/>
  <c r="F53" i="37"/>
  <c r="F56" i="37"/>
  <c r="L160" i="159" s="1"/>
  <c r="F27" i="37"/>
  <c r="F44" i="37"/>
  <c r="H13" i="135"/>
  <c r="H14" i="135"/>
  <c r="H15" i="135"/>
  <c r="H16" i="135"/>
  <c r="H17" i="135"/>
  <c r="H18" i="135"/>
  <c r="H19" i="135"/>
  <c r="H20" i="135"/>
  <c r="H21" i="135"/>
  <c r="H22" i="135"/>
  <c r="H23" i="135"/>
  <c r="H12" i="135"/>
  <c r="L52" i="128"/>
  <c r="L56" i="128" s="1"/>
  <c r="L78" i="128"/>
  <c r="P78" i="128"/>
  <c r="P82" i="128" s="1"/>
  <c r="T54" i="128"/>
  <c r="T80" i="128"/>
  <c r="R27" i="128"/>
  <c r="R28" i="128"/>
  <c r="P27" i="128"/>
  <c r="P28" i="128"/>
  <c r="J1" i="141"/>
  <c r="J11" i="141"/>
  <c r="J12" i="141"/>
  <c r="J18" i="141"/>
  <c r="H14" i="141"/>
  <c r="F14" i="141"/>
  <c r="A11" i="141"/>
  <c r="A12" i="141" s="1"/>
  <c r="A13" i="141" s="1"/>
  <c r="A14" i="141" s="1"/>
  <c r="A15" i="141" s="1"/>
  <c r="A16" i="141" s="1"/>
  <c r="A17" i="141" s="1"/>
  <c r="A18" i="141" s="1"/>
  <c r="A19" i="141" s="1"/>
  <c r="A20" i="141" s="1"/>
  <c r="A21" i="141" s="1"/>
  <c r="A22" i="141" s="1"/>
  <c r="A23" i="141" s="1"/>
  <c r="A24" i="141" s="1"/>
  <c r="A25" i="141" s="1"/>
  <c r="J1" i="140"/>
  <c r="J12" i="131"/>
  <c r="A11" i="131"/>
  <c r="A12" i="131" s="1"/>
  <c r="A13" i="131" s="1"/>
  <c r="A14" i="131" s="1"/>
  <c r="A15" i="131" s="1"/>
  <c r="A16" i="131" s="1"/>
  <c r="A17" i="131" s="1"/>
  <c r="A18" i="131" s="1"/>
  <c r="A19" i="131" s="1"/>
  <c r="A20" i="131" s="1"/>
  <c r="A21" i="131" s="1"/>
  <c r="A22" i="131" s="1"/>
  <c r="A23" i="131" s="1"/>
  <c r="A24" i="131" s="1"/>
  <c r="A25" i="131" s="1"/>
  <c r="A26" i="131" s="1"/>
  <c r="A27" i="131" s="1"/>
  <c r="A28" i="131" s="1"/>
  <c r="A29" i="131" s="1"/>
  <c r="A30" i="131" s="1"/>
  <c r="A31" i="131" s="1"/>
  <c r="A32" i="131" s="1"/>
  <c r="A33" i="131" s="1"/>
  <c r="A34" i="131" s="1"/>
  <c r="A35" i="131" s="1"/>
  <c r="A36" i="131" s="1"/>
  <c r="A37" i="131" s="1"/>
  <c r="A38" i="131" s="1"/>
  <c r="A39" i="131" s="1"/>
  <c r="F11" i="42"/>
  <c r="F12" i="42"/>
  <c r="F13" i="42"/>
  <c r="F14" i="42"/>
  <c r="F15" i="42"/>
  <c r="F16" i="42"/>
  <c r="F17" i="42"/>
  <c r="F18" i="42"/>
  <c r="F19" i="42"/>
  <c r="F20" i="42"/>
  <c r="F21" i="42"/>
  <c r="F1" i="137"/>
  <c r="T1" i="135"/>
  <c r="N34" i="127"/>
  <c r="N35" i="127"/>
  <c r="N36" i="127"/>
  <c r="N37" i="127"/>
  <c r="N38" i="127"/>
  <c r="N39" i="127"/>
  <c r="N40" i="127"/>
  <c r="N41" i="127"/>
  <c r="N42" i="127"/>
  <c r="N43" i="127"/>
  <c r="N44" i="127"/>
  <c r="N45" i="127"/>
  <c r="N46" i="127"/>
  <c r="A9" i="137"/>
  <c r="A10" i="137" s="1"/>
  <c r="A11" i="137" s="1"/>
  <c r="A12" i="137" s="1"/>
  <c r="A13" i="137" s="1"/>
  <c r="A14" i="137" s="1"/>
  <c r="A15" i="137" s="1"/>
  <c r="A16" i="137" s="1"/>
  <c r="A17" i="137" s="1"/>
  <c r="A18" i="137" s="1"/>
  <c r="A19" i="137" s="1"/>
  <c r="A20" i="137" s="1"/>
  <c r="A21" i="137" s="1"/>
  <c r="A22" i="137" s="1"/>
  <c r="A23" i="137" s="1"/>
  <c r="A24" i="137" s="1"/>
  <c r="A25" i="137" s="1"/>
  <c r="A26" i="137" s="1"/>
  <c r="A27" i="137" s="1"/>
  <c r="A28" i="137" s="1"/>
  <c r="A29" i="137" s="1"/>
  <c r="A30" i="137" s="1"/>
  <c r="A31" i="137" s="1"/>
  <c r="A32" i="137" s="1"/>
  <c r="A33" i="137" s="1"/>
  <c r="A34" i="137" s="1"/>
  <c r="A35" i="137" s="1"/>
  <c r="A36" i="137" s="1"/>
  <c r="A37" i="137" s="1"/>
  <c r="A38" i="137" s="1"/>
  <c r="A39" i="137" s="1"/>
  <c r="A40" i="137" s="1"/>
  <c r="A41" i="137" s="1"/>
  <c r="A42" i="137" s="1"/>
  <c r="A43" i="137" s="1"/>
  <c r="A44" i="137" s="1"/>
  <c r="A45" i="137" s="1"/>
  <c r="A46" i="137" s="1"/>
  <c r="A47" i="137" s="1"/>
  <c r="A48" i="137" s="1"/>
  <c r="A49" i="137" s="1"/>
  <c r="A50" i="137" s="1"/>
  <c r="A51" i="137" s="1"/>
  <c r="A52" i="137" s="1"/>
  <c r="A9" i="136"/>
  <c r="A10" i="136" s="1"/>
  <c r="A11" i="136" s="1"/>
  <c r="A12" i="136" s="1"/>
  <c r="A13" i="136" s="1"/>
  <c r="A14" i="136" s="1"/>
  <c r="A15" i="136" s="1"/>
  <c r="A16" i="136" s="1"/>
  <c r="A17" i="136" s="1"/>
  <c r="A18" i="136" s="1"/>
  <c r="A19" i="136" s="1"/>
  <c r="A20" i="136" s="1"/>
  <c r="A21" i="136" s="1"/>
  <c r="A22" i="136" s="1"/>
  <c r="A23" i="136" s="1"/>
  <c r="A24" i="136" s="1"/>
  <c r="A25" i="136" s="1"/>
  <c r="A26" i="136" s="1"/>
  <c r="A27" i="136" s="1"/>
  <c r="A28" i="136" s="1"/>
  <c r="A29" i="136" s="1"/>
  <c r="H12" i="136"/>
  <c r="H11" i="136"/>
  <c r="H10" i="136"/>
  <c r="N56" i="127"/>
  <c r="N57" i="127"/>
  <c r="N58" i="127"/>
  <c r="N59" i="127"/>
  <c r="N60" i="127"/>
  <c r="N61" i="127"/>
  <c r="N62" i="127"/>
  <c r="N63" i="127"/>
  <c r="N64" i="127"/>
  <c r="N65" i="127"/>
  <c r="N66" i="127"/>
  <c r="N67" i="127"/>
  <c r="N68" i="127"/>
  <c r="N1" i="127"/>
  <c r="D12" i="127"/>
  <c r="F12" i="127"/>
  <c r="H12" i="127"/>
  <c r="J12" i="127"/>
  <c r="L12" i="127"/>
  <c r="G12" i="127"/>
  <c r="I12" i="127"/>
  <c r="K12" i="127"/>
  <c r="D13" i="127"/>
  <c r="F13" i="127"/>
  <c r="H13" i="127"/>
  <c r="J13" i="127"/>
  <c r="L13" i="127"/>
  <c r="G13" i="127"/>
  <c r="I13" i="127"/>
  <c r="K13" i="127"/>
  <c r="D14" i="127"/>
  <c r="F14" i="127"/>
  <c r="H14" i="127"/>
  <c r="J14" i="127"/>
  <c r="L14" i="127"/>
  <c r="G14" i="127"/>
  <c r="I14" i="127"/>
  <c r="K14" i="127"/>
  <c r="D15" i="127"/>
  <c r="F15" i="127"/>
  <c r="H15" i="127"/>
  <c r="J15" i="127"/>
  <c r="L15" i="127"/>
  <c r="G15" i="127"/>
  <c r="I15" i="127"/>
  <c r="K15" i="127"/>
  <c r="D16" i="127"/>
  <c r="F16" i="127"/>
  <c r="H16" i="127"/>
  <c r="J16" i="127"/>
  <c r="L16" i="127"/>
  <c r="G16" i="127"/>
  <c r="I16" i="127"/>
  <c r="K16" i="127"/>
  <c r="D17" i="127"/>
  <c r="F17" i="127"/>
  <c r="H17" i="127"/>
  <c r="J17" i="127"/>
  <c r="L17" i="127"/>
  <c r="G17" i="127"/>
  <c r="I17" i="127"/>
  <c r="K17" i="127"/>
  <c r="D18" i="127"/>
  <c r="F18" i="127"/>
  <c r="H18" i="127"/>
  <c r="J18" i="127"/>
  <c r="L18" i="127"/>
  <c r="G18" i="127"/>
  <c r="I18" i="127"/>
  <c r="K18" i="127"/>
  <c r="D19" i="127"/>
  <c r="F19" i="127"/>
  <c r="H19" i="127"/>
  <c r="J19" i="127"/>
  <c r="L19" i="127"/>
  <c r="G19" i="127"/>
  <c r="I19" i="127"/>
  <c r="K19" i="127"/>
  <c r="D20" i="127"/>
  <c r="F20" i="127"/>
  <c r="H20" i="127"/>
  <c r="J20" i="127"/>
  <c r="L20" i="127"/>
  <c r="G20" i="127"/>
  <c r="I20" i="127"/>
  <c r="K20" i="127"/>
  <c r="D21" i="127"/>
  <c r="F21" i="127"/>
  <c r="H21" i="127"/>
  <c r="J21" i="127"/>
  <c r="L21" i="127"/>
  <c r="G21" i="127"/>
  <c r="I21" i="127"/>
  <c r="K21" i="127"/>
  <c r="D22" i="127"/>
  <c r="F22" i="127"/>
  <c r="H22" i="127"/>
  <c r="J22" i="127"/>
  <c r="L22" i="127"/>
  <c r="G22" i="127"/>
  <c r="I22" i="127"/>
  <c r="K22" i="127"/>
  <c r="D23" i="127"/>
  <c r="F23" i="127"/>
  <c r="H23" i="127"/>
  <c r="J23" i="127"/>
  <c r="L23" i="127"/>
  <c r="G23" i="127"/>
  <c r="I23" i="127"/>
  <c r="K23" i="127"/>
  <c r="D24" i="127"/>
  <c r="F24" i="127"/>
  <c r="H24" i="127"/>
  <c r="J24" i="127"/>
  <c r="L24" i="127"/>
  <c r="G24" i="127"/>
  <c r="I24" i="127"/>
  <c r="K24" i="127"/>
  <c r="A12" i="127"/>
  <c r="A13" i="127" s="1"/>
  <c r="A14" i="127" s="1"/>
  <c r="A15" i="127" s="1"/>
  <c r="A16" i="127" s="1"/>
  <c r="A17" i="127" s="1"/>
  <c r="A18" i="127" s="1"/>
  <c r="A19" i="127" s="1"/>
  <c r="A20" i="127" s="1"/>
  <c r="A21" i="127" s="1"/>
  <c r="A22" i="127" s="1"/>
  <c r="A23" i="127" s="1"/>
  <c r="A24" i="127" s="1"/>
  <c r="A25" i="127" s="1"/>
  <c r="A26" i="127" s="1"/>
  <c r="A27" i="127" s="1"/>
  <c r="A28" i="127" s="1"/>
  <c r="A29" i="127" s="1"/>
  <c r="A30" i="127" s="1"/>
  <c r="A31" i="127" s="1"/>
  <c r="A32" i="127" s="1"/>
  <c r="A33" i="127" s="1"/>
  <c r="A34" i="127" s="1"/>
  <c r="A35" i="127" s="1"/>
  <c r="A36" i="127" s="1"/>
  <c r="A37" i="127" s="1"/>
  <c r="A38" i="127" s="1"/>
  <c r="A39" i="127" s="1"/>
  <c r="A40" i="127" s="1"/>
  <c r="A41" i="127" s="1"/>
  <c r="A42" i="127" s="1"/>
  <c r="A43" i="127" s="1"/>
  <c r="A44" i="127" s="1"/>
  <c r="A45" i="127" s="1"/>
  <c r="A46" i="127" s="1"/>
  <c r="A47" i="127" s="1"/>
  <c r="A48" i="127" s="1"/>
  <c r="A49" i="127" s="1"/>
  <c r="A50" i="127" s="1"/>
  <c r="A51" i="127" s="1"/>
  <c r="A52" i="127" s="1"/>
  <c r="A53" i="127" s="1"/>
  <c r="A54" i="127" s="1"/>
  <c r="A55" i="127" s="1"/>
  <c r="A56" i="127" s="1"/>
  <c r="A57" i="127" s="1"/>
  <c r="A58" i="127" s="1"/>
  <c r="A59" i="127" s="1"/>
  <c r="A60" i="127" s="1"/>
  <c r="A61" i="127" s="1"/>
  <c r="A62" i="127" s="1"/>
  <c r="A63" i="127" s="1"/>
  <c r="A64" i="127" s="1"/>
  <c r="A65" i="127" s="1"/>
  <c r="A66" i="127" s="1"/>
  <c r="A67" i="127" s="1"/>
  <c r="A68" i="127" s="1"/>
  <c r="A69" i="127" s="1"/>
  <c r="A70" i="127" s="1"/>
  <c r="J28" i="128"/>
  <c r="L27" i="128"/>
  <c r="L28" i="128"/>
  <c r="L12" i="128"/>
  <c r="L24" i="128"/>
  <c r="L23" i="128"/>
  <c r="L22" i="128"/>
  <c r="L21" i="128"/>
  <c r="L20" i="128"/>
  <c r="L19" i="128"/>
  <c r="L18" i="128"/>
  <c r="L17" i="128"/>
  <c r="L16" i="128"/>
  <c r="L15" i="128"/>
  <c r="L14" i="128"/>
  <c r="L13" i="128"/>
  <c r="H27" i="128"/>
  <c r="N28" i="128"/>
  <c r="N27" i="128"/>
  <c r="H28" i="128"/>
  <c r="F28" i="128"/>
  <c r="F27" i="128"/>
  <c r="D27" i="128"/>
  <c r="D28" i="128"/>
  <c r="A12" i="128"/>
  <c r="A13" i="128" s="1"/>
  <c r="A14" i="128" s="1"/>
  <c r="A15" i="128" s="1"/>
  <c r="A16" i="128" s="1"/>
  <c r="A17" i="128" s="1"/>
  <c r="A18" i="128" s="1"/>
  <c r="A19" i="128" s="1"/>
  <c r="A20" i="128" s="1"/>
  <c r="A21" i="128" s="1"/>
  <c r="A22" i="128" s="1"/>
  <c r="A23" i="128" s="1"/>
  <c r="A24" i="128" s="1"/>
  <c r="A25" i="128" s="1"/>
  <c r="A26" i="128" s="1"/>
  <c r="A27" i="128" s="1"/>
  <c r="A28" i="128" s="1"/>
  <c r="A29" i="128" s="1"/>
  <c r="A30" i="128" s="1"/>
  <c r="A31" i="128" s="1"/>
  <c r="A32" i="128" s="1"/>
  <c r="A34" i="128" s="1"/>
  <c r="A35" i="128" s="1"/>
  <c r="A36" i="128" s="1"/>
  <c r="A37" i="128" s="1"/>
  <c r="A38" i="128" s="1"/>
  <c r="A39" i="128" s="1"/>
  <c r="A40" i="128" s="1"/>
  <c r="A41" i="128" s="1"/>
  <c r="A42" i="128" s="1"/>
  <c r="A43" i="128" s="1"/>
  <c r="A44" i="128" s="1"/>
  <c r="A45" i="128" s="1"/>
  <c r="A46" i="128" s="1"/>
  <c r="A47" i="128" s="1"/>
  <c r="A48" i="128" s="1"/>
  <c r="A49" i="128" s="1"/>
  <c r="A50" i="128" s="1"/>
  <c r="A51" i="128" s="1"/>
  <c r="A52" i="128" s="1"/>
  <c r="A53" i="128" s="1"/>
  <c r="A54" i="128" s="1"/>
  <c r="A55" i="128" s="1"/>
  <c r="A56" i="128" s="1"/>
  <c r="A57" i="128" s="1"/>
  <c r="A58" i="128" s="1"/>
  <c r="A60" i="128" s="1"/>
  <c r="A61" i="128" s="1"/>
  <c r="A62" i="128" s="1"/>
  <c r="A63" i="128" s="1"/>
  <c r="A64" i="128" s="1"/>
  <c r="A65" i="128" s="1"/>
  <c r="A66" i="128" s="1"/>
  <c r="A67" i="128" s="1"/>
  <c r="A68" i="128" s="1"/>
  <c r="A69" i="128" s="1"/>
  <c r="A70" i="128" s="1"/>
  <c r="A71" i="128" s="1"/>
  <c r="A72" i="128" s="1"/>
  <c r="A73" i="128" s="1"/>
  <c r="A74" i="128" s="1"/>
  <c r="A75" i="128" s="1"/>
  <c r="A76" i="128" s="1"/>
  <c r="A77" i="128" s="1"/>
  <c r="A78" i="128" s="1"/>
  <c r="A79" i="128" s="1"/>
  <c r="A80" i="128" s="1"/>
  <c r="A81" i="128" s="1"/>
  <c r="A82" i="128" s="1"/>
  <c r="S24" i="128"/>
  <c r="S23" i="128"/>
  <c r="S22" i="128"/>
  <c r="S21" i="128"/>
  <c r="S20" i="128"/>
  <c r="S19" i="128"/>
  <c r="S18" i="128"/>
  <c r="S17" i="128"/>
  <c r="S16" i="128"/>
  <c r="S15" i="128"/>
  <c r="S14" i="128"/>
  <c r="S13" i="128"/>
  <c r="S12" i="128"/>
  <c r="D13" i="128"/>
  <c r="F13" i="128"/>
  <c r="H13" i="128"/>
  <c r="I13" i="128"/>
  <c r="J13" i="128"/>
  <c r="K13" i="128"/>
  <c r="N13" i="128"/>
  <c r="O13" i="128"/>
  <c r="P13" i="128"/>
  <c r="Q13" i="128"/>
  <c r="D14" i="128"/>
  <c r="F14" i="128"/>
  <c r="H14" i="128"/>
  <c r="I14" i="128"/>
  <c r="J14" i="128"/>
  <c r="K14" i="128"/>
  <c r="N14" i="128"/>
  <c r="O14" i="128"/>
  <c r="P14" i="128"/>
  <c r="Q14" i="128"/>
  <c r="D15" i="128"/>
  <c r="F15" i="128"/>
  <c r="H15" i="128"/>
  <c r="I15" i="128"/>
  <c r="J15" i="128"/>
  <c r="K15" i="128"/>
  <c r="N15" i="128"/>
  <c r="O15" i="128"/>
  <c r="P15" i="128"/>
  <c r="Q15" i="128"/>
  <c r="D16" i="128"/>
  <c r="F16" i="128"/>
  <c r="H16" i="128"/>
  <c r="I16" i="128"/>
  <c r="J16" i="128"/>
  <c r="K16" i="128"/>
  <c r="N16" i="128"/>
  <c r="O16" i="128"/>
  <c r="P16" i="128"/>
  <c r="Q16" i="128"/>
  <c r="D17" i="128"/>
  <c r="F17" i="128"/>
  <c r="H17" i="128"/>
  <c r="I17" i="128"/>
  <c r="J17" i="128"/>
  <c r="K17" i="128"/>
  <c r="N17" i="128"/>
  <c r="O17" i="128"/>
  <c r="P17" i="128"/>
  <c r="Q17" i="128"/>
  <c r="D18" i="128"/>
  <c r="F18" i="128"/>
  <c r="H18" i="128"/>
  <c r="I18" i="128"/>
  <c r="J18" i="128"/>
  <c r="K18" i="128"/>
  <c r="N18" i="128"/>
  <c r="O18" i="128"/>
  <c r="P18" i="128"/>
  <c r="Q18" i="128"/>
  <c r="D19" i="128"/>
  <c r="F19" i="128"/>
  <c r="H19" i="128"/>
  <c r="I19" i="128"/>
  <c r="J19" i="128"/>
  <c r="K19" i="128"/>
  <c r="N19" i="128"/>
  <c r="O19" i="128"/>
  <c r="P19" i="128"/>
  <c r="Q19" i="128"/>
  <c r="D20" i="128"/>
  <c r="F20" i="128"/>
  <c r="H20" i="128"/>
  <c r="I20" i="128"/>
  <c r="J20" i="128"/>
  <c r="K20" i="128"/>
  <c r="N20" i="128"/>
  <c r="O20" i="128"/>
  <c r="P20" i="128"/>
  <c r="Q20" i="128"/>
  <c r="D21" i="128"/>
  <c r="F21" i="128"/>
  <c r="H21" i="128"/>
  <c r="I21" i="128"/>
  <c r="J21" i="128"/>
  <c r="K21" i="128"/>
  <c r="N21" i="128"/>
  <c r="O21" i="128"/>
  <c r="P21" i="128"/>
  <c r="Q21" i="128"/>
  <c r="D22" i="128"/>
  <c r="F22" i="128"/>
  <c r="H22" i="128"/>
  <c r="I22" i="128"/>
  <c r="J22" i="128"/>
  <c r="K22" i="128"/>
  <c r="N22" i="128"/>
  <c r="O22" i="128"/>
  <c r="P22" i="128"/>
  <c r="Q22" i="128"/>
  <c r="D23" i="128"/>
  <c r="F23" i="128"/>
  <c r="H23" i="128"/>
  <c r="I23" i="128"/>
  <c r="J23" i="128"/>
  <c r="K23" i="128"/>
  <c r="N23" i="128"/>
  <c r="O23" i="128"/>
  <c r="P23" i="128"/>
  <c r="Q23" i="128"/>
  <c r="F24" i="128"/>
  <c r="D24" i="128"/>
  <c r="H24" i="128"/>
  <c r="J24" i="128"/>
  <c r="I24" i="128"/>
  <c r="K24" i="128"/>
  <c r="N24" i="128"/>
  <c r="O24" i="128"/>
  <c r="P24" i="128"/>
  <c r="Q24" i="128"/>
  <c r="F12" i="128"/>
  <c r="D12" i="128"/>
  <c r="H12" i="128"/>
  <c r="J12" i="128"/>
  <c r="I12" i="128"/>
  <c r="K12" i="128"/>
  <c r="N12" i="128"/>
  <c r="O12" i="128"/>
  <c r="P12" i="128"/>
  <c r="Q12" i="128"/>
  <c r="J11" i="132"/>
  <c r="L1" i="132"/>
  <c r="J12" i="132"/>
  <c r="J18" i="132"/>
  <c r="F30" i="132" s="1"/>
  <c r="J17" i="132"/>
  <c r="J19" i="132"/>
  <c r="A11" i="132"/>
  <c r="A12" i="132" s="1"/>
  <c r="A13" i="132" s="1"/>
  <c r="A14" i="132" s="1"/>
  <c r="A15" i="132" s="1"/>
  <c r="A16" i="132" s="1"/>
  <c r="A17" i="132" s="1"/>
  <c r="A18" i="132" s="1"/>
  <c r="A19" i="132" s="1"/>
  <c r="A20" i="132" s="1"/>
  <c r="A21" i="132" s="1"/>
  <c r="A22" i="132" s="1"/>
  <c r="A23" i="132" s="1"/>
  <c r="A24" i="132" s="1"/>
  <c r="A25" i="132" s="1"/>
  <c r="A26" i="132" s="1"/>
  <c r="A27" i="132" s="1"/>
  <c r="A28" i="132" s="1"/>
  <c r="A29" i="132" s="1"/>
  <c r="A30" i="132" s="1"/>
  <c r="A31" i="132" s="1"/>
  <c r="A32" i="132" s="1"/>
  <c r="A33" i="132" s="1"/>
  <c r="A34" i="132" s="1"/>
  <c r="H21" i="132"/>
  <c r="F21" i="132"/>
  <c r="R1" i="133"/>
  <c r="A10" i="133"/>
  <c r="A11" i="133" s="1"/>
  <c r="A12" i="133" s="1"/>
  <c r="A13" i="133" s="1"/>
  <c r="A14" i="133" s="1"/>
  <c r="A15" i="133" s="1"/>
  <c r="A16" i="133" s="1"/>
  <c r="A17" i="133" s="1"/>
  <c r="A18" i="133" s="1"/>
  <c r="A19" i="133" s="1"/>
  <c r="A20" i="133" s="1"/>
  <c r="A21" i="133" s="1"/>
  <c r="A22" i="133" s="1"/>
  <c r="A23" i="133" s="1"/>
  <c r="A24" i="133" s="1"/>
  <c r="A25" i="133" s="1"/>
  <c r="A26" i="133" s="1"/>
  <c r="A27" i="133" s="1"/>
  <c r="A28" i="133" s="1"/>
  <c r="A29" i="133" s="1"/>
  <c r="A30" i="133" s="1"/>
  <c r="A31" i="133" s="1"/>
  <c r="A32" i="133" s="1"/>
  <c r="A33" i="133" s="1"/>
  <c r="A34" i="133" s="1"/>
  <c r="A35" i="133" s="1"/>
  <c r="A36" i="133" s="1"/>
  <c r="A37" i="133" s="1"/>
  <c r="A38" i="133" s="1"/>
  <c r="A39" i="133" s="1"/>
  <c r="A40" i="133" s="1"/>
  <c r="A41" i="133" s="1"/>
  <c r="A42" i="133" s="1"/>
  <c r="A43" i="133" s="1"/>
  <c r="A44" i="133" s="1"/>
  <c r="A45" i="133" s="1"/>
  <c r="A46" i="133" s="1"/>
  <c r="A47" i="133" s="1"/>
  <c r="A48" i="133" s="1"/>
  <c r="A49" i="133" s="1"/>
  <c r="A50" i="133" s="1"/>
  <c r="A51" i="133" s="1"/>
  <c r="A52" i="133" s="1"/>
  <c r="A53" i="133" s="1"/>
  <c r="A54" i="133" s="1"/>
  <c r="A55" i="133" s="1"/>
  <c r="A56" i="133" s="1"/>
  <c r="A57" i="133" s="1"/>
  <c r="A58" i="133" s="1"/>
  <c r="A59" i="133" s="1"/>
  <c r="A60" i="133" s="1"/>
  <c r="A61" i="133" s="1"/>
  <c r="A62" i="133" s="1"/>
  <c r="A63" i="133" s="1"/>
  <c r="A64" i="133" s="1"/>
  <c r="A65" i="133" s="1"/>
  <c r="A66" i="133" s="1"/>
  <c r="A67" i="133" s="1"/>
  <c r="A68" i="133" s="1"/>
  <c r="A69" i="133" s="1"/>
  <c r="A70" i="133" s="1"/>
  <c r="A71" i="133" s="1"/>
  <c r="A72" i="133" s="1"/>
  <c r="A73" i="133" s="1"/>
  <c r="A74" i="133" s="1"/>
  <c r="A75" i="133" s="1"/>
  <c r="A76" i="133" s="1"/>
  <c r="A77" i="133" s="1"/>
  <c r="A78" i="133" s="1"/>
  <c r="A79" i="133" s="1"/>
  <c r="A80" i="133" s="1"/>
  <c r="A81" i="133" s="1"/>
  <c r="A82" i="133" s="1"/>
  <c r="M82" i="133"/>
  <c r="K82" i="133"/>
  <c r="M60" i="133"/>
  <c r="K60" i="133"/>
  <c r="K24" i="133"/>
  <c r="L24" i="133"/>
  <c r="M24" i="133"/>
  <c r="N24" i="133"/>
  <c r="K25" i="133"/>
  <c r="L25" i="133"/>
  <c r="M25" i="133"/>
  <c r="N25" i="133"/>
  <c r="K26" i="133"/>
  <c r="L26" i="133"/>
  <c r="M26" i="133"/>
  <c r="N26" i="133"/>
  <c r="K27" i="133"/>
  <c r="L27" i="133"/>
  <c r="M27" i="133"/>
  <c r="N27" i="133"/>
  <c r="O27" i="133"/>
  <c r="K28" i="133"/>
  <c r="L28" i="133"/>
  <c r="M28" i="133"/>
  <c r="N28" i="133"/>
  <c r="O28" i="133"/>
  <c r="K29" i="133"/>
  <c r="L29" i="133"/>
  <c r="M29" i="133"/>
  <c r="N29" i="133"/>
  <c r="K30" i="133"/>
  <c r="L30" i="133"/>
  <c r="M30" i="133"/>
  <c r="N30" i="133"/>
  <c r="O30" i="133"/>
  <c r="K31" i="133"/>
  <c r="L31" i="133"/>
  <c r="M31" i="133"/>
  <c r="N31" i="133"/>
  <c r="O31" i="133"/>
  <c r="K32" i="133"/>
  <c r="L32" i="133"/>
  <c r="M32" i="133"/>
  <c r="N32" i="133"/>
  <c r="O32" i="133"/>
  <c r="K33" i="133"/>
  <c r="L33" i="133"/>
  <c r="M33" i="133"/>
  <c r="N33" i="133"/>
  <c r="O33" i="133"/>
  <c r="K34" i="133"/>
  <c r="L34" i="133"/>
  <c r="M34" i="133"/>
  <c r="N34" i="133"/>
  <c r="K35" i="133"/>
  <c r="L35" i="133"/>
  <c r="M35" i="133"/>
  <c r="N35" i="133"/>
  <c r="O35" i="133"/>
  <c r="K36" i="133"/>
  <c r="L36" i="133"/>
  <c r="M36" i="133"/>
  <c r="N36" i="133"/>
  <c r="O36" i="133"/>
  <c r="N1" i="42"/>
  <c r="A11" i="42"/>
  <c r="A12" i="42" s="1"/>
  <c r="A13" i="42" s="1"/>
  <c r="A14" i="42" s="1"/>
  <c r="A15" i="42" s="1"/>
  <c r="A16" i="42" s="1"/>
  <c r="A17" i="42" s="1"/>
  <c r="A18" i="42" s="1"/>
  <c r="A19" i="42" s="1"/>
  <c r="A20" i="42" s="1"/>
  <c r="A21" i="42" s="1"/>
  <c r="A22" i="42" s="1"/>
  <c r="A23" i="42" s="1"/>
  <c r="A24" i="42" s="1"/>
  <c r="A25" i="42" s="1"/>
  <c r="A26" i="42" s="1"/>
  <c r="A27" i="42" s="1"/>
  <c r="A28" i="42" s="1"/>
  <c r="A29" i="42" s="1"/>
  <c r="A30" i="42" s="1"/>
  <c r="A31" i="42" s="1"/>
  <c r="A32" i="42" s="1"/>
  <c r="A33" i="42" s="1"/>
  <c r="A34" i="42" s="1"/>
  <c r="A35" i="42" s="1"/>
  <c r="A36" i="42" s="1"/>
  <c r="A37" i="42" s="1"/>
  <c r="A38" i="42" s="1"/>
  <c r="A39" i="42" s="1"/>
  <c r="A40" i="42" s="1"/>
  <c r="A41" i="42" s="1"/>
  <c r="A42" i="42" s="1"/>
  <c r="A43" i="42" s="1"/>
  <c r="A44" i="42" s="1"/>
  <c r="A45" i="42" s="1"/>
  <c r="A46" i="42" s="1"/>
  <c r="A47" i="42" s="1"/>
  <c r="A48" i="42" s="1"/>
  <c r="A49" i="42" s="1"/>
  <c r="A50" i="42" s="1"/>
  <c r="A51" i="42" s="1"/>
  <c r="A52" i="42" s="1"/>
  <c r="A53" i="42" s="1"/>
  <c r="A54" i="42" s="1"/>
  <c r="A55" i="42" s="1"/>
  <c r="A56" i="42" s="1"/>
  <c r="A57" i="42" s="1"/>
  <c r="A58" i="42" s="1"/>
  <c r="A59" i="42" s="1"/>
  <c r="A60" i="42" s="1"/>
  <c r="A61" i="42" s="1"/>
  <c r="A62" i="42" s="1"/>
  <c r="A63" i="42" s="1"/>
  <c r="A64" i="42" s="1"/>
  <c r="H11" i="42"/>
  <c r="J11" i="42"/>
  <c r="L11" i="42"/>
  <c r="H12" i="42"/>
  <c r="J12" i="42"/>
  <c r="L12" i="42"/>
  <c r="H13" i="42"/>
  <c r="J13" i="42"/>
  <c r="L13" i="42"/>
  <c r="H14" i="42"/>
  <c r="J14" i="42"/>
  <c r="L14" i="42"/>
  <c r="H15" i="42"/>
  <c r="J15" i="42"/>
  <c r="L15" i="42"/>
  <c r="H16" i="42"/>
  <c r="J16" i="42"/>
  <c r="L16" i="42"/>
  <c r="H17" i="42"/>
  <c r="J17" i="42"/>
  <c r="L17" i="42"/>
  <c r="H18" i="42"/>
  <c r="J18" i="42"/>
  <c r="L18" i="42"/>
  <c r="H19" i="42"/>
  <c r="J19" i="42"/>
  <c r="L19" i="42"/>
  <c r="H20" i="42"/>
  <c r="J20" i="42"/>
  <c r="L20" i="42"/>
  <c r="H21" i="42"/>
  <c r="J21" i="42"/>
  <c r="L21" i="42"/>
  <c r="J22" i="42"/>
  <c r="L22" i="42"/>
  <c r="H22" i="42"/>
  <c r="N62" i="42"/>
  <c r="N61" i="42"/>
  <c r="N60" i="42"/>
  <c r="N59" i="42"/>
  <c r="N58" i="42"/>
  <c r="N57" i="42"/>
  <c r="N56" i="42"/>
  <c r="N55" i="42"/>
  <c r="N54" i="42"/>
  <c r="N53" i="42"/>
  <c r="N52" i="42"/>
  <c r="N51" i="42"/>
  <c r="H44" i="42"/>
  <c r="L172" i="159" s="1"/>
  <c r="N41" i="42"/>
  <c r="N40" i="42"/>
  <c r="N39" i="42"/>
  <c r="N38" i="42"/>
  <c r="N37" i="42"/>
  <c r="N36" i="42"/>
  <c r="N35" i="42"/>
  <c r="N34" i="42"/>
  <c r="N33" i="42"/>
  <c r="N32" i="42"/>
  <c r="N31" i="42"/>
  <c r="A12" i="135"/>
  <c r="A13" i="135" s="1"/>
  <c r="A14" i="135" s="1"/>
  <c r="A15" i="135" s="1"/>
  <c r="A16" i="135" s="1"/>
  <c r="A17" i="135" s="1"/>
  <c r="A18" i="135" s="1"/>
  <c r="A19" i="135" s="1"/>
  <c r="A20" i="135" s="1"/>
  <c r="A21" i="135" s="1"/>
  <c r="A22" i="135" s="1"/>
  <c r="A23" i="135" s="1"/>
  <c r="A24" i="135" s="1"/>
  <c r="A25" i="135" s="1"/>
  <c r="N62" i="3"/>
  <c r="N63" i="3"/>
  <c r="N56" i="3"/>
  <c r="N57" i="3"/>
  <c r="N58" i="3"/>
  <c r="N59" i="3"/>
  <c r="N60" i="3"/>
  <c r="N61" i="3"/>
  <c r="N64" i="3"/>
  <c r="N65" i="3"/>
  <c r="N66" i="3"/>
  <c r="N67" i="3"/>
  <c r="N68" i="3"/>
  <c r="N1" i="3"/>
  <c r="D24" i="3"/>
  <c r="D12" i="3"/>
  <c r="F12" i="3"/>
  <c r="H12" i="3"/>
  <c r="J12" i="3"/>
  <c r="L12" i="3"/>
  <c r="G12" i="3"/>
  <c r="I12" i="3"/>
  <c r="K12" i="3"/>
  <c r="D13" i="3"/>
  <c r="F13" i="3"/>
  <c r="H13" i="3"/>
  <c r="J13" i="3"/>
  <c r="L13" i="3"/>
  <c r="G13" i="3"/>
  <c r="I13" i="3"/>
  <c r="K13" i="3"/>
  <c r="D14" i="3"/>
  <c r="F14" i="3"/>
  <c r="H14" i="3"/>
  <c r="J14" i="3"/>
  <c r="L14" i="3"/>
  <c r="G14" i="3"/>
  <c r="I14" i="3"/>
  <c r="K14" i="3"/>
  <c r="D15" i="3"/>
  <c r="F15" i="3"/>
  <c r="H15" i="3"/>
  <c r="J15" i="3"/>
  <c r="L15" i="3"/>
  <c r="G15" i="3"/>
  <c r="I15" i="3"/>
  <c r="K15" i="3"/>
  <c r="D16" i="3"/>
  <c r="F16" i="3"/>
  <c r="H16" i="3"/>
  <c r="J16" i="3"/>
  <c r="L16" i="3"/>
  <c r="G16" i="3"/>
  <c r="I16" i="3"/>
  <c r="K16" i="3"/>
  <c r="D17" i="3"/>
  <c r="F17" i="3"/>
  <c r="H17" i="3"/>
  <c r="J17" i="3"/>
  <c r="L17" i="3"/>
  <c r="G17" i="3"/>
  <c r="I17" i="3"/>
  <c r="K17" i="3"/>
  <c r="D18" i="3"/>
  <c r="F18" i="3"/>
  <c r="H18" i="3"/>
  <c r="J18" i="3"/>
  <c r="L18" i="3"/>
  <c r="G18" i="3"/>
  <c r="I18" i="3"/>
  <c r="K18" i="3"/>
  <c r="D19" i="3"/>
  <c r="F19" i="3"/>
  <c r="H19" i="3"/>
  <c r="J19" i="3"/>
  <c r="L19" i="3"/>
  <c r="G19" i="3"/>
  <c r="I19" i="3"/>
  <c r="K19" i="3"/>
  <c r="D20" i="3"/>
  <c r="F20" i="3"/>
  <c r="H20" i="3"/>
  <c r="J20" i="3"/>
  <c r="L20" i="3"/>
  <c r="G20" i="3"/>
  <c r="I20" i="3"/>
  <c r="K20" i="3"/>
  <c r="D21" i="3"/>
  <c r="F21" i="3"/>
  <c r="H21" i="3"/>
  <c r="J21" i="3"/>
  <c r="L21" i="3"/>
  <c r="G21" i="3"/>
  <c r="I21" i="3"/>
  <c r="K21" i="3"/>
  <c r="D22" i="3"/>
  <c r="F22" i="3"/>
  <c r="H22" i="3"/>
  <c r="J22" i="3"/>
  <c r="L22" i="3"/>
  <c r="G22" i="3"/>
  <c r="I22" i="3"/>
  <c r="K22" i="3"/>
  <c r="D23" i="3"/>
  <c r="F23" i="3"/>
  <c r="H23" i="3"/>
  <c r="J23" i="3"/>
  <c r="L23" i="3"/>
  <c r="G23" i="3"/>
  <c r="I23" i="3"/>
  <c r="K23" i="3"/>
  <c r="F24" i="3"/>
  <c r="H24" i="3"/>
  <c r="J24" i="3"/>
  <c r="L24" i="3"/>
  <c r="G24" i="3"/>
  <c r="I24" i="3"/>
  <c r="K24" i="3"/>
  <c r="A12" i="3"/>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D24" i="129"/>
  <c r="D12" i="129"/>
  <c r="F1" i="129"/>
  <c r="D23" i="129"/>
  <c r="D22" i="129"/>
  <c r="D21" i="129"/>
  <c r="D20" i="129"/>
  <c r="D19" i="129"/>
  <c r="D18" i="129"/>
  <c r="D17" i="129"/>
  <c r="D16" i="129"/>
  <c r="D15" i="129"/>
  <c r="D14" i="129"/>
  <c r="D13" i="129"/>
  <c r="J1" i="131"/>
  <c r="J35" i="131"/>
  <c r="J36" i="131"/>
  <c r="J37" i="131"/>
  <c r="F39" i="131"/>
  <c r="J26" i="131"/>
  <c r="J27" i="131"/>
  <c r="J28" i="131"/>
  <c r="J29" i="131"/>
  <c r="F31" i="131"/>
  <c r="J13" i="131"/>
  <c r="J1" i="84"/>
  <c r="A11" i="84"/>
  <c r="A12" i="84" s="1"/>
  <c r="A13" i="84" s="1"/>
  <c r="A14" i="84" s="1"/>
  <c r="A15" i="84" s="1"/>
  <c r="A16" i="84" s="1"/>
  <c r="A17" i="84" s="1"/>
  <c r="A18" i="84" s="1"/>
  <c r="A19" i="84" s="1"/>
  <c r="A20" i="84" s="1"/>
  <c r="A21" i="84" s="1"/>
  <c r="A22" i="84" s="1"/>
  <c r="A23" i="84" s="1"/>
  <c r="A24" i="84" s="1"/>
  <c r="A25" i="84" s="1"/>
  <c r="J25" i="84"/>
  <c r="F22" i="84"/>
  <c r="H22" i="84"/>
  <c r="J19" i="84"/>
  <c r="J18" i="84"/>
  <c r="J17" i="84"/>
  <c r="J16" i="84"/>
  <c r="J13" i="84"/>
  <c r="J12" i="84"/>
  <c r="F1" i="130"/>
  <c r="F8" i="130"/>
  <c r="D11" i="130"/>
  <c r="F44" i="42"/>
  <c r="L171" i="159" s="1"/>
  <c r="N42" i="42"/>
  <c r="F22" i="42"/>
  <c r="O34" i="133"/>
  <c r="O29" i="133"/>
  <c r="O26" i="133"/>
  <c r="O25" i="133"/>
  <c r="O60" i="133"/>
  <c r="L109" i="159" s="1"/>
  <c r="D163" i="159"/>
  <c r="H13" i="136"/>
  <c r="H19" i="136"/>
  <c r="D332" i="159" l="1"/>
  <c r="D189" i="159" s="1"/>
  <c r="D193" i="159" s="1"/>
  <c r="L1" i="149"/>
  <c r="H47" i="142"/>
  <c r="E47" i="142" s="1"/>
  <c r="O91" i="155"/>
  <c r="B27" i="157"/>
  <c r="M260" i="159"/>
  <c r="D184" i="159"/>
  <c r="J18" i="131"/>
  <c r="J14" i="141"/>
  <c r="B27" i="154"/>
  <c r="D109" i="159"/>
  <c r="T21" i="135"/>
  <c r="T17" i="135"/>
  <c r="T13" i="135"/>
  <c r="Q36" i="133"/>
  <c r="I56" i="157"/>
  <c r="H79" i="158" s="1"/>
  <c r="B26" i="154"/>
  <c r="D26" i="129"/>
  <c r="Q35" i="133"/>
  <c r="Q34" i="133"/>
  <c r="Q33" i="133"/>
  <c r="Q32" i="133"/>
  <c r="O38" i="133"/>
  <c r="Q30" i="133"/>
  <c r="Q29" i="133"/>
  <c r="Q28" i="133"/>
  <c r="Q27" i="133"/>
  <c r="Q24" i="133"/>
  <c r="J53" i="37"/>
  <c r="L260" i="159"/>
  <c r="B26" i="157"/>
  <c r="F11" i="131"/>
  <c r="L26" i="128"/>
  <c r="L30" i="128" s="1"/>
  <c r="N26" i="128"/>
  <c r="N30" i="128" s="1"/>
  <c r="D259" i="159"/>
  <c r="P26" i="128"/>
  <c r="P30" i="128" s="1"/>
  <c r="Q60" i="133"/>
  <c r="I30" i="140"/>
  <c r="F36" i="140" s="1"/>
  <c r="J20" i="131"/>
  <c r="T23" i="135"/>
  <c r="T15" i="135"/>
  <c r="H25" i="135"/>
  <c r="I29" i="159" s="1"/>
  <c r="N13" i="42"/>
  <c r="N56" i="128"/>
  <c r="L118" i="159" s="1"/>
  <c r="D118" i="159" s="1"/>
  <c r="M102" i="159"/>
  <c r="D194" i="159"/>
  <c r="D249" i="159"/>
  <c r="G249" i="159" s="1"/>
  <c r="J39" i="131"/>
  <c r="L82" i="128"/>
  <c r="T28" i="128"/>
  <c r="Q82" i="133"/>
  <c r="H54" i="37"/>
  <c r="M159" i="159" s="1"/>
  <c r="C56" i="154"/>
  <c r="M38" i="133"/>
  <c r="H19" i="149"/>
  <c r="Q25" i="133"/>
  <c r="H11" i="131"/>
  <c r="Q31" i="133"/>
  <c r="Q26" i="133"/>
  <c r="K38" i="133"/>
  <c r="C56" i="157"/>
  <c r="H73" i="158" s="1"/>
  <c r="G56" i="157"/>
  <c r="H77" i="158" s="1"/>
  <c r="H56" i="157"/>
  <c r="H78" i="158" s="1"/>
  <c r="D121" i="159"/>
  <c r="E91" i="155"/>
  <c r="L72" i="155"/>
  <c r="L91" i="155" s="1"/>
  <c r="C35" i="142"/>
  <c r="E35" i="142" s="1"/>
  <c r="E41" i="142" s="1"/>
  <c r="A26" i="141"/>
  <c r="A27" i="141"/>
  <c r="R52" i="128"/>
  <c r="J31" i="131"/>
  <c r="H24" i="42"/>
  <c r="J26" i="3"/>
  <c r="K56" i="157"/>
  <c r="H81" i="158" s="1"/>
  <c r="N56" i="157"/>
  <c r="H84" i="158" s="1"/>
  <c r="T12" i="135"/>
  <c r="T20" i="135"/>
  <c r="T16" i="135"/>
  <c r="J21" i="132"/>
  <c r="F32" i="132" s="1"/>
  <c r="R12" i="128"/>
  <c r="D172" i="159"/>
  <c r="L24" i="42"/>
  <c r="T22" i="135"/>
  <c r="T18" i="135"/>
  <c r="T14" i="135"/>
  <c r="N19" i="42"/>
  <c r="F54" i="37"/>
  <c r="L159" i="159" s="1"/>
  <c r="A12" i="37"/>
  <c r="R25" i="135"/>
  <c r="I31" i="159" s="1"/>
  <c r="D26" i="127"/>
  <c r="F56" i="157"/>
  <c r="H76" i="158" s="1"/>
  <c r="M56" i="157"/>
  <c r="H83" i="158" s="1"/>
  <c r="T56" i="157"/>
  <c r="H90" i="158" s="1"/>
  <c r="M271" i="159"/>
  <c r="J13" i="132"/>
  <c r="J28" i="132" s="1"/>
  <c r="F28" i="132"/>
  <c r="D273" i="159"/>
  <c r="D258" i="159"/>
  <c r="D182" i="159"/>
  <c r="J22" i="84"/>
  <c r="J24" i="42"/>
  <c r="N15" i="42"/>
  <c r="N21" i="42"/>
  <c r="N20" i="42"/>
  <c r="N17" i="42"/>
  <c r="N11" i="42"/>
  <c r="N18" i="42"/>
  <c r="F24" i="42"/>
  <c r="D174" i="159"/>
  <c r="D171" i="159"/>
  <c r="T27" i="128"/>
  <c r="J27" i="128"/>
  <c r="N70" i="127"/>
  <c r="L26" i="127"/>
  <c r="F26" i="3"/>
  <c r="M175" i="159"/>
  <c r="N14" i="42"/>
  <c r="N12" i="42"/>
  <c r="N16" i="42"/>
  <c r="D24" i="42"/>
  <c r="N64" i="42"/>
  <c r="N44" i="42"/>
  <c r="N22" i="42"/>
  <c r="L175" i="159"/>
  <c r="D170" i="159"/>
  <c r="D179" i="159"/>
  <c r="I232" i="159"/>
  <c r="J26" i="127"/>
  <c r="F26" i="127"/>
  <c r="N16" i="127"/>
  <c r="D97" i="159"/>
  <c r="D94" i="159"/>
  <c r="N24" i="127"/>
  <c r="N20" i="127"/>
  <c r="N18" i="127"/>
  <c r="N17" i="127"/>
  <c r="N14" i="127"/>
  <c r="N12" i="127"/>
  <c r="N22" i="127"/>
  <c r="N21" i="127"/>
  <c r="N19" i="127"/>
  <c r="H26" i="127"/>
  <c r="N48" i="127"/>
  <c r="N15" i="127"/>
  <c r="M104" i="159"/>
  <c r="M106" i="159"/>
  <c r="N23" i="127"/>
  <c r="N13" i="127"/>
  <c r="D96" i="159"/>
  <c r="M99" i="159"/>
  <c r="M103" i="159"/>
  <c r="D95" i="159"/>
  <c r="L98" i="159"/>
  <c r="D98" i="159" s="1"/>
  <c r="L103" i="159"/>
  <c r="M89" i="159"/>
  <c r="M105" i="159" s="1"/>
  <c r="N21" i="3"/>
  <c r="N15" i="3"/>
  <c r="N70" i="3"/>
  <c r="N22" i="3"/>
  <c r="D90" i="159"/>
  <c r="D88" i="159"/>
  <c r="D26" i="3"/>
  <c r="L26" i="3"/>
  <c r="N23" i="3"/>
  <c r="N20" i="3"/>
  <c r="N19" i="3"/>
  <c r="N18" i="3"/>
  <c r="N17" i="3"/>
  <c r="N16" i="3"/>
  <c r="N14" i="3"/>
  <c r="N12" i="3"/>
  <c r="N13" i="3"/>
  <c r="N48" i="3"/>
  <c r="H26" i="3"/>
  <c r="N24" i="3"/>
  <c r="L86" i="159"/>
  <c r="L102" i="159" s="1"/>
  <c r="A22" i="140"/>
  <c r="A23" i="140" s="1"/>
  <c r="A24" i="140" s="1"/>
  <c r="A25" i="140" s="1"/>
  <c r="A26" i="140" s="1"/>
  <c r="A27" i="140" s="1"/>
  <c r="A29" i="140" s="1"/>
  <c r="A30" i="140" s="1"/>
  <c r="A31" i="140" s="1"/>
  <c r="A32" i="140" s="1"/>
  <c r="A33" i="140" s="1"/>
  <c r="A34" i="140" s="1"/>
  <c r="A35" i="140" s="1"/>
  <c r="A36" i="140" s="1"/>
  <c r="A21" i="140"/>
  <c r="H30" i="140"/>
  <c r="F32" i="130"/>
  <c r="L126" i="159" s="1"/>
  <c r="A26" i="130"/>
  <c r="A28" i="130" s="1"/>
  <c r="A29" i="130" s="1"/>
  <c r="A30" i="130" s="1"/>
  <c r="A32" i="130" s="1"/>
  <c r="A37" i="130" s="1"/>
  <c r="A38" i="130" s="1"/>
  <c r="F45" i="130"/>
  <c r="M126" i="159" s="1"/>
  <c r="D45" i="130"/>
  <c r="M125" i="159" s="1"/>
  <c r="D13" i="130"/>
  <c r="F13" i="130"/>
  <c r="D32" i="130"/>
  <c r="L125" i="159" s="1"/>
  <c r="J44" i="37"/>
  <c r="F46" i="37"/>
  <c r="F50" i="37" s="1"/>
  <c r="L158" i="159" s="1"/>
  <c r="H46" i="37"/>
  <c r="H50" i="37" s="1"/>
  <c r="M158" i="159" s="1"/>
  <c r="H22" i="131"/>
  <c r="M240" i="159" s="1"/>
  <c r="J56" i="37"/>
  <c r="D160" i="159"/>
  <c r="J27" i="37"/>
  <c r="J19" i="131"/>
  <c r="J52" i="37"/>
  <c r="A36" i="37"/>
  <c r="A37" i="37" s="1"/>
  <c r="A38" i="37" s="1"/>
  <c r="A39" i="37" s="1"/>
  <c r="A31" i="37"/>
  <c r="A32" i="37" s="1"/>
  <c r="A33" i="37" s="1"/>
  <c r="A34" i="37" s="1"/>
  <c r="A35" i="37" s="1"/>
  <c r="F22" i="131"/>
  <c r="L240" i="159" s="1"/>
  <c r="T19" i="135"/>
  <c r="H20" i="136"/>
  <c r="H24" i="136" s="1"/>
  <c r="C9" i="137" s="1"/>
  <c r="C11" i="137" s="1"/>
  <c r="C20" i="137" s="1"/>
  <c r="D20" i="137" s="1"/>
  <c r="S56" i="157"/>
  <c r="H89" i="158" s="1"/>
  <c r="R56" i="157"/>
  <c r="H88" i="158" s="1"/>
  <c r="Q56" i="157"/>
  <c r="H87" i="158" s="1"/>
  <c r="P56" i="157"/>
  <c r="H86" i="158" s="1"/>
  <c r="O56" i="157"/>
  <c r="H85" i="158" s="1"/>
  <c r="L56" i="157"/>
  <c r="H82" i="158" s="1"/>
  <c r="J56" i="157"/>
  <c r="H80" i="158" s="1"/>
  <c r="K95" i="158"/>
  <c r="E56" i="157"/>
  <c r="H75" i="158" s="1"/>
  <c r="D10" i="142"/>
  <c r="E10" i="142" s="1"/>
  <c r="I10" i="142" s="1"/>
  <c r="G10" i="142" s="1"/>
  <c r="D56" i="157"/>
  <c r="H74" i="158" s="1"/>
  <c r="D9" i="142"/>
  <c r="E9" i="142" s="1"/>
  <c r="I9" i="142" s="1"/>
  <c r="G9" i="142" s="1"/>
  <c r="E95" i="158"/>
  <c r="C8" i="142"/>
  <c r="D161" i="159"/>
  <c r="D183" i="159"/>
  <c r="D274" i="159"/>
  <c r="G274" i="159" s="1"/>
  <c r="I269" i="159"/>
  <c r="I263" i="159"/>
  <c r="M186" i="159"/>
  <c r="D257" i="159"/>
  <c r="D251" i="159"/>
  <c r="G251" i="159" s="1"/>
  <c r="D250" i="159"/>
  <c r="M253" i="159"/>
  <c r="L105" i="159"/>
  <c r="I281" i="159"/>
  <c r="I283" i="159" s="1"/>
  <c r="D180" i="159"/>
  <c r="L104" i="159"/>
  <c r="D87" i="159"/>
  <c r="L253" i="159"/>
  <c r="D173" i="159"/>
  <c r="L186" i="159"/>
  <c r="I285" i="159"/>
  <c r="D14" i="159" s="1"/>
  <c r="D185" i="159"/>
  <c r="I231" i="159"/>
  <c r="L271" i="159"/>
  <c r="I22" i="159"/>
  <c r="I270" i="159"/>
  <c r="I268" i="159"/>
  <c r="D252" i="159"/>
  <c r="G252" i="159" s="1"/>
  <c r="D86" i="159" l="1"/>
  <c r="D102" i="159" s="1"/>
  <c r="L91" i="159"/>
  <c r="J54" i="37"/>
  <c r="I37" i="159"/>
  <c r="P34" i="159" s="1"/>
  <c r="P33" i="159" s="1"/>
  <c r="S33" i="159" s="1"/>
  <c r="S34" i="159" s="1"/>
  <c r="M167" i="159"/>
  <c r="D159" i="159"/>
  <c r="I159" i="159" s="1"/>
  <c r="J25" i="155" s="1"/>
  <c r="J11" i="131"/>
  <c r="J22" i="131"/>
  <c r="F34" i="132"/>
  <c r="H30" i="132" s="1"/>
  <c r="L30" i="132" s="1"/>
  <c r="I240" i="159"/>
  <c r="N240" i="159" s="1"/>
  <c r="N242" i="159" s="1"/>
  <c r="N248" i="159" s="1"/>
  <c r="H58" i="37"/>
  <c r="H43" i="168" s="1"/>
  <c r="N26" i="127"/>
  <c r="L106" i="159"/>
  <c r="L107" i="159" s="1"/>
  <c r="Q38" i="133"/>
  <c r="D197" i="159"/>
  <c r="M107" i="159"/>
  <c r="E39" i="142"/>
  <c r="E43" i="142"/>
  <c r="I35" i="142"/>
  <c r="D260" i="159"/>
  <c r="G258" i="159" s="1"/>
  <c r="R26" i="128"/>
  <c r="R30" i="128" s="1"/>
  <c r="R31" i="128" s="1"/>
  <c r="R56" i="128"/>
  <c r="T25" i="135"/>
  <c r="I271" i="159"/>
  <c r="D275" i="159" s="1"/>
  <c r="D276" i="159" s="1"/>
  <c r="E275" i="159" s="1"/>
  <c r="I275" i="159" s="1"/>
  <c r="G273" i="159"/>
  <c r="D186" i="159"/>
  <c r="D175" i="159"/>
  <c r="N24" i="42"/>
  <c r="D104" i="159"/>
  <c r="D99" i="159"/>
  <c r="D106" i="159"/>
  <c r="L99" i="159"/>
  <c r="N26" i="3"/>
  <c r="M91" i="159"/>
  <c r="D89" i="159"/>
  <c r="D105" i="159" s="1"/>
  <c r="D126" i="159"/>
  <c r="M127" i="159"/>
  <c r="F17" i="130"/>
  <c r="A39" i="130"/>
  <c r="A41" i="130" s="1"/>
  <c r="A42" i="130" s="1"/>
  <c r="A43" i="130" s="1"/>
  <c r="A45" i="130" s="1"/>
  <c r="A47" i="130" s="1"/>
  <c r="A48" i="130" s="1"/>
  <c r="A49" i="130" s="1"/>
  <c r="A50" i="130" s="1"/>
  <c r="A51" i="130" s="1"/>
  <c r="A52" i="130" s="1"/>
  <c r="A53" i="130" s="1"/>
  <c r="A54" i="130" s="1"/>
  <c r="A55" i="130" s="1"/>
  <c r="A56" i="130" s="1"/>
  <c r="A57" i="130" s="1"/>
  <c r="A58" i="130" s="1"/>
  <c r="A59" i="130" s="1"/>
  <c r="A60" i="130" s="1"/>
  <c r="A61" i="130" s="1"/>
  <c r="D17" i="130"/>
  <c r="D125" i="159"/>
  <c r="L127" i="159"/>
  <c r="F58" i="37"/>
  <c r="F43" i="168" s="1"/>
  <c r="J46" i="37"/>
  <c r="J50" i="37" s="1"/>
  <c r="D158" i="159"/>
  <c r="L167" i="159"/>
  <c r="A40" i="37"/>
  <c r="A41" i="37" s="1"/>
  <c r="A42" i="37" s="1"/>
  <c r="A43" i="37" s="1"/>
  <c r="A44" i="37"/>
  <c r="A46" i="37" s="1"/>
  <c r="A48" i="37" s="1"/>
  <c r="A49" i="37" s="1"/>
  <c r="A50" i="37" s="1"/>
  <c r="A51" i="37" s="1"/>
  <c r="A52" i="37" s="1"/>
  <c r="A53" i="37" s="1"/>
  <c r="A54" i="37" s="1"/>
  <c r="A56" i="37" s="1"/>
  <c r="A58" i="37" s="1"/>
  <c r="H26" i="136"/>
  <c r="H30" i="136" s="1"/>
  <c r="I23" i="159"/>
  <c r="C21" i="137"/>
  <c r="H95" i="158"/>
  <c r="D8" i="142"/>
  <c r="E8" i="142" s="1"/>
  <c r="D253" i="159"/>
  <c r="D103" i="159"/>
  <c r="I230" i="159"/>
  <c r="G35" i="142" l="1"/>
  <c r="G39" i="142" s="1"/>
  <c r="I39" i="142"/>
  <c r="N30" i="159"/>
  <c r="H32" i="132"/>
  <c r="L32" i="132" s="1"/>
  <c r="J58" i="37"/>
  <c r="J43" i="168" s="1"/>
  <c r="H28" i="132"/>
  <c r="L28" i="132" s="1"/>
  <c r="H34" i="132"/>
  <c r="F56" i="128"/>
  <c r="L113" i="159" s="1"/>
  <c r="F82" i="128"/>
  <c r="M113" i="159" s="1"/>
  <c r="D56" i="128"/>
  <c r="L112" i="159" s="1"/>
  <c r="H56" i="128"/>
  <c r="L114" i="159" s="1"/>
  <c r="D91" i="159"/>
  <c r="D82" i="128"/>
  <c r="M112" i="159" s="1"/>
  <c r="L117" i="159"/>
  <c r="D117" i="159" s="1"/>
  <c r="R57" i="128"/>
  <c r="J56" i="128"/>
  <c r="L115" i="159" s="1"/>
  <c r="E273" i="159"/>
  <c r="I273" i="159" s="1"/>
  <c r="E274" i="159"/>
  <c r="I274" i="159" s="1"/>
  <c r="D107" i="159"/>
  <c r="I239" i="159"/>
  <c r="I241" i="159" s="1"/>
  <c r="I243" i="159" s="1"/>
  <c r="D167" i="159"/>
  <c r="D124" i="159" s="1"/>
  <c r="D127" i="159" s="1"/>
  <c r="D21" i="137"/>
  <c r="C22" i="137" s="1"/>
  <c r="I8" i="142"/>
  <c r="E27" i="142"/>
  <c r="E29" i="142" s="1"/>
  <c r="I233" i="159"/>
  <c r="I235" i="159" s="1"/>
  <c r="L34" i="132" l="1"/>
  <c r="D113" i="159"/>
  <c r="F26" i="128"/>
  <c r="F30" i="128" s="1"/>
  <c r="H26" i="128"/>
  <c r="H30" i="128" s="1"/>
  <c r="H82" i="128"/>
  <c r="M114" i="159" s="1"/>
  <c r="D114" i="159" s="1"/>
  <c r="D26" i="128"/>
  <c r="D30" i="128" s="1"/>
  <c r="T52" i="128"/>
  <c r="L119" i="159"/>
  <c r="L129" i="159" s="1"/>
  <c r="T56" i="128"/>
  <c r="I276" i="159"/>
  <c r="D190" i="159" s="1"/>
  <c r="J82" i="128"/>
  <c r="M115" i="159" s="1"/>
  <c r="D115" i="159" s="1"/>
  <c r="J26" i="128"/>
  <c r="J30" i="128" s="1"/>
  <c r="T78" i="128"/>
  <c r="D112" i="159"/>
  <c r="D22" i="137"/>
  <c r="C23" i="137" s="1"/>
  <c r="E31" i="142"/>
  <c r="E46" i="142"/>
  <c r="E48" i="142" s="1"/>
  <c r="P20" i="159" s="1"/>
  <c r="P21" i="159" s="1"/>
  <c r="I27" i="142"/>
  <c r="I46" i="142" s="1"/>
  <c r="G8" i="142"/>
  <c r="G27" i="142" s="1"/>
  <c r="G48" i="142" s="1"/>
  <c r="G109" i="159"/>
  <c r="I109" i="159" s="1"/>
  <c r="H25" i="149"/>
  <c r="E250" i="159"/>
  <c r="G250" i="159" s="1"/>
  <c r="G253" i="159" s="1"/>
  <c r="I253" i="159" s="1"/>
  <c r="I244" i="159"/>
  <c r="I245" i="159" s="1"/>
  <c r="G14" i="159"/>
  <c r="G171" i="159"/>
  <c r="I171" i="159" s="1"/>
  <c r="G87" i="159"/>
  <c r="G118" i="159"/>
  <c r="I118" i="159" s="1"/>
  <c r="G172" i="159"/>
  <c r="I172" i="159" s="1"/>
  <c r="G117" i="159"/>
  <c r="I117" i="159" s="1"/>
  <c r="M119" i="159" l="1"/>
  <c r="M129" i="159" s="1"/>
  <c r="T26" i="128"/>
  <c r="T30" i="128" s="1"/>
  <c r="T82" i="128"/>
  <c r="D119" i="159"/>
  <c r="D129" i="159" s="1"/>
  <c r="D200" i="159" s="1"/>
  <c r="D196" i="159" s="1"/>
  <c r="D198" i="159" s="1"/>
  <c r="D203" i="159" s="1"/>
  <c r="D23" i="137"/>
  <c r="G89" i="159"/>
  <c r="I258" i="159"/>
  <c r="K258" i="159" s="1"/>
  <c r="G90" i="159" s="1"/>
  <c r="G125" i="159"/>
  <c r="I125" i="159" s="1"/>
  <c r="G158" i="159"/>
  <c r="G95" i="159"/>
  <c r="I87" i="159"/>
  <c r="H28" i="149"/>
  <c r="H27" i="149"/>
  <c r="G15" i="159"/>
  <c r="G16" i="159" s="1"/>
  <c r="I14" i="159"/>
  <c r="C24" i="137" l="1"/>
  <c r="H29" i="149"/>
  <c r="G164" i="159"/>
  <c r="I164" i="159" s="1"/>
  <c r="I158" i="159"/>
  <c r="J24" i="155" s="1"/>
  <c r="G160" i="159"/>
  <c r="I160" i="159" s="1"/>
  <c r="J26" i="155" s="1"/>
  <c r="O21" i="159"/>
  <c r="O20" i="159" s="1"/>
  <c r="Q20" i="159" s="1"/>
  <c r="Q21" i="159" s="1"/>
  <c r="R19" i="159" s="1"/>
  <c r="Q29" i="159" s="1"/>
  <c r="J18" i="155"/>
  <c r="G18" i="158"/>
  <c r="I90" i="159"/>
  <c r="G98" i="159"/>
  <c r="G17" i="159"/>
  <c r="I17" i="159" s="1"/>
  <c r="I16" i="159"/>
  <c r="I95" i="159"/>
  <c r="J19" i="155" s="1"/>
  <c r="G121" i="159"/>
  <c r="I89" i="159"/>
  <c r="G97" i="159"/>
  <c r="D24" i="137" l="1"/>
  <c r="C25" i="137" s="1"/>
  <c r="R20" i="159"/>
  <c r="R21" i="159" s="1"/>
  <c r="J20" i="155"/>
  <c r="J27" i="155"/>
  <c r="J29" i="155" s="1"/>
  <c r="L29" i="155" s="1"/>
  <c r="I103" i="159"/>
  <c r="G19" i="158" s="1"/>
  <c r="I91" i="159"/>
  <c r="G91" i="159" s="1"/>
  <c r="I97" i="159"/>
  <c r="I105" i="159" s="1"/>
  <c r="G161" i="159"/>
  <c r="I121" i="159"/>
  <c r="G170" i="159"/>
  <c r="I170" i="159" s="1"/>
  <c r="G165" i="159"/>
  <c r="I98" i="159"/>
  <c r="I106" i="159" s="1"/>
  <c r="G72" i="155" l="1"/>
  <c r="H72" i="155" s="1"/>
  <c r="G73" i="155"/>
  <c r="H73" i="155" s="1"/>
  <c r="G74" i="155"/>
  <c r="H74" i="155" s="1"/>
  <c r="N29" i="159"/>
  <c r="D25" i="137"/>
  <c r="C26" i="137" s="1"/>
  <c r="I107" i="159"/>
  <c r="G107" i="159" s="1"/>
  <c r="G197" i="159" s="1"/>
  <c r="I197" i="159" s="1"/>
  <c r="I99" i="159"/>
  <c r="G173" i="159"/>
  <c r="G162" i="159"/>
  <c r="I161" i="159"/>
  <c r="G174" i="159"/>
  <c r="I174" i="159" s="1"/>
  <c r="I165" i="159"/>
  <c r="G182" i="159"/>
  <c r="G126" i="159"/>
  <c r="I126" i="159" s="1"/>
  <c r="D26" i="137" l="1"/>
  <c r="C27" i="137" s="1"/>
  <c r="D27" i="137" s="1"/>
  <c r="D28" i="137" s="1"/>
  <c r="C15" i="137" s="1"/>
  <c r="I24" i="159" s="1"/>
  <c r="G113" i="159"/>
  <c r="I113" i="159" s="1"/>
  <c r="G179" i="159"/>
  <c r="I173" i="159"/>
  <c r="G185" i="159"/>
  <c r="I185" i="159" s="1"/>
  <c r="G184" i="159"/>
  <c r="I184" i="159" s="1"/>
  <c r="I182" i="159"/>
  <c r="G163" i="159"/>
  <c r="I163" i="159" s="1"/>
  <c r="I162" i="159"/>
  <c r="G114" i="159" l="1"/>
  <c r="G115" i="159" s="1"/>
  <c r="I115" i="159" s="1"/>
  <c r="I167" i="159"/>
  <c r="G22" i="158" s="1"/>
  <c r="J37" i="155"/>
  <c r="G26" i="158"/>
  <c r="I175" i="159"/>
  <c r="G180" i="159"/>
  <c r="I180" i="159" s="1"/>
  <c r="I179" i="159"/>
  <c r="J38" i="155" l="1"/>
  <c r="L38" i="155" s="1"/>
  <c r="G27" i="158"/>
  <c r="L27" i="158" s="1"/>
  <c r="G23" i="158"/>
  <c r="L23" i="158" s="1"/>
  <c r="G116" i="159"/>
  <c r="I116" i="159" s="1"/>
  <c r="I114" i="159"/>
  <c r="J23" i="155"/>
  <c r="I124" i="159"/>
  <c r="I127" i="159" s="1"/>
  <c r="I186" i="159"/>
  <c r="J41" i="155" s="1"/>
  <c r="J42" i="155" l="1"/>
  <c r="L42" i="155" s="1"/>
  <c r="J33" i="155"/>
  <c r="J34" i="155" s="1"/>
  <c r="L34" i="155" s="1"/>
  <c r="I119" i="159"/>
  <c r="I129" i="159" s="1"/>
  <c r="I200" i="159" s="1"/>
  <c r="I196" i="159" s="1"/>
  <c r="I198" i="159" s="1"/>
  <c r="G30" i="158"/>
  <c r="L44" i="155" l="1"/>
  <c r="I73" i="155" s="1"/>
  <c r="J73" i="155" s="1"/>
  <c r="K73" i="155" s="1"/>
  <c r="J44" i="155"/>
  <c r="G31" i="158"/>
  <c r="L31" i="158" s="1"/>
  <c r="L33" i="158" s="1"/>
  <c r="F90" i="158" s="1"/>
  <c r="G90" i="158" s="1"/>
  <c r="G40" i="158"/>
  <c r="J51" i="155"/>
  <c r="G36" i="158"/>
  <c r="J47" i="155"/>
  <c r="I203" i="159"/>
  <c r="I72" i="155" l="1"/>
  <c r="J72" i="155" s="1"/>
  <c r="K72" i="155" s="1"/>
  <c r="F89" i="158"/>
  <c r="G89" i="158" s="1"/>
  <c r="I74" i="155"/>
  <c r="J74" i="155" s="1"/>
  <c r="K74" i="155" s="1"/>
  <c r="J52" i="155"/>
  <c r="L52" i="155" s="1"/>
  <c r="J48" i="155"/>
  <c r="L48" i="155" s="1"/>
  <c r="F82" i="158"/>
  <c r="G82" i="158" s="1"/>
  <c r="F87" i="158"/>
  <c r="G87" i="158" s="1"/>
  <c r="F86" i="158"/>
  <c r="G86" i="158" s="1"/>
  <c r="F73" i="158"/>
  <c r="G73" i="158" s="1"/>
  <c r="F76" i="158"/>
  <c r="G76" i="158" s="1"/>
  <c r="F83" i="158"/>
  <c r="G83" i="158" s="1"/>
  <c r="F74" i="158"/>
  <c r="G74" i="158" s="1"/>
  <c r="F77" i="158"/>
  <c r="G77" i="158" s="1"/>
  <c r="F85" i="158"/>
  <c r="G85" i="158" s="1"/>
  <c r="F91" i="158"/>
  <c r="G91" i="158" s="1"/>
  <c r="F81" i="158"/>
  <c r="G81" i="158" s="1"/>
  <c r="F79" i="158"/>
  <c r="G79" i="158" s="1"/>
  <c r="F78" i="158"/>
  <c r="G78" i="158" s="1"/>
  <c r="F75" i="158"/>
  <c r="G75" i="158" s="1"/>
  <c r="F88" i="158"/>
  <c r="G88" i="158" s="1"/>
  <c r="F80" i="158"/>
  <c r="G80" i="158" s="1"/>
  <c r="F84" i="158"/>
  <c r="G84" i="158" s="1"/>
  <c r="G41" i="158"/>
  <c r="L41" i="158" s="1"/>
  <c r="G37" i="158"/>
  <c r="L37" i="158" s="1"/>
  <c r="L54" i="155" l="1"/>
  <c r="M73" i="155" s="1"/>
  <c r="N73" i="155" s="1"/>
  <c r="P73" i="155" s="1"/>
  <c r="R73" i="155" s="1"/>
  <c r="G95" i="158"/>
  <c r="L43" i="158"/>
  <c r="I81" i="158" s="1"/>
  <c r="J81" i="158" s="1"/>
  <c r="L81" i="158" s="1"/>
  <c r="N81" i="158" s="1"/>
  <c r="I84" i="158" l="1"/>
  <c r="J84" i="158" s="1"/>
  <c r="L84" i="158" s="1"/>
  <c r="N84" i="158" s="1"/>
  <c r="M74" i="155"/>
  <c r="N74" i="155" s="1"/>
  <c r="P74" i="155" s="1"/>
  <c r="R74" i="155" s="1"/>
  <c r="M72" i="155"/>
  <c r="N72" i="155" s="1"/>
  <c r="P72" i="155" s="1"/>
  <c r="R72" i="155" s="1"/>
  <c r="I85" i="158"/>
  <c r="J85" i="158" s="1"/>
  <c r="L85" i="158" s="1"/>
  <c r="N85" i="158" s="1"/>
  <c r="I87" i="158"/>
  <c r="J87" i="158" s="1"/>
  <c r="L87" i="158" s="1"/>
  <c r="N87" i="158" s="1"/>
  <c r="I80" i="158"/>
  <c r="J80" i="158" s="1"/>
  <c r="L80" i="158" s="1"/>
  <c r="N80" i="158" s="1"/>
  <c r="I76" i="158"/>
  <c r="J76" i="158" s="1"/>
  <c r="L76" i="158" s="1"/>
  <c r="N76" i="158" s="1"/>
  <c r="I79" i="158"/>
  <c r="J79" i="158" s="1"/>
  <c r="L79" i="158" s="1"/>
  <c r="N79" i="158" s="1"/>
  <c r="I82" i="158"/>
  <c r="J82" i="158" s="1"/>
  <c r="L82" i="158" s="1"/>
  <c r="N82" i="158" s="1"/>
  <c r="I77" i="158"/>
  <c r="J77" i="158" s="1"/>
  <c r="L77" i="158" s="1"/>
  <c r="N77" i="158" s="1"/>
  <c r="I86" i="158"/>
  <c r="J86" i="158" s="1"/>
  <c r="L86" i="158" s="1"/>
  <c r="N86" i="158" s="1"/>
  <c r="I74" i="158"/>
  <c r="J74" i="158" s="1"/>
  <c r="L74" i="158" s="1"/>
  <c r="N74" i="158" s="1"/>
  <c r="I89" i="158"/>
  <c r="J89" i="158" s="1"/>
  <c r="L89" i="158" s="1"/>
  <c r="N89" i="158" s="1"/>
  <c r="I83" i="158"/>
  <c r="J83" i="158" s="1"/>
  <c r="L83" i="158" s="1"/>
  <c r="N83" i="158" s="1"/>
  <c r="I91" i="158"/>
  <c r="J91" i="158" s="1"/>
  <c r="L91" i="158" s="1"/>
  <c r="N91" i="158" s="1"/>
  <c r="I78" i="158"/>
  <c r="J78" i="158" s="1"/>
  <c r="L78" i="158" s="1"/>
  <c r="N78" i="158" s="1"/>
  <c r="I75" i="158"/>
  <c r="J75" i="158" s="1"/>
  <c r="L75" i="158" s="1"/>
  <c r="N75" i="158" s="1"/>
  <c r="I73" i="158"/>
  <c r="J73" i="158" s="1"/>
  <c r="L73" i="158" s="1"/>
  <c r="N73" i="158" s="1"/>
  <c r="I90" i="158"/>
  <c r="J90" i="158" s="1"/>
  <c r="L90" i="158" s="1"/>
  <c r="N90" i="158" s="1"/>
  <c r="I88" i="158"/>
  <c r="J88" i="158" s="1"/>
  <c r="L88" i="158" s="1"/>
  <c r="N88" i="158" s="1"/>
  <c r="P91" i="155" l="1"/>
  <c r="R91" i="155"/>
  <c r="G24" i="167" s="1"/>
  <c r="N95" i="158"/>
  <c r="F24" i="167" s="1"/>
  <c r="L95" i="158"/>
  <c r="J95" i="158"/>
  <c r="L97" i="158" l="1"/>
  <c r="P93" i="155"/>
  <c r="F14" i="140"/>
  <c r="J14" i="140" s="1"/>
  <c r="F15" i="140"/>
  <c r="F35" i="140" s="1"/>
  <c r="F26" i="141" s="1"/>
  <c r="D211" i="159"/>
  <c r="I211" i="159" s="1"/>
  <c r="F33" i="141"/>
  <c r="F30" i="141"/>
  <c r="D207" i="159"/>
  <c r="I207" i="159" s="1"/>
  <c r="J15" i="140" l="1"/>
  <c r="J30" i="140" s="1"/>
  <c r="J26" i="141"/>
  <c r="L291" i="159"/>
  <c r="I291" i="159" s="1"/>
  <c r="F39" i="140"/>
  <c r="F34" i="140"/>
  <c r="F25" i="141" s="1"/>
  <c r="F30" i="140"/>
  <c r="F38" i="140" s="1"/>
  <c r="I212" i="159"/>
  <c r="I11" i="159" s="1"/>
  <c r="D212" i="159"/>
  <c r="J25" i="141" l="1"/>
  <c r="L290" i="159"/>
  <c r="I290" i="159" s="1"/>
  <c r="F42" i="140"/>
  <c r="F32" i="140"/>
  <c r="F22" i="141" s="1"/>
  <c r="J22" i="141" l="1"/>
  <c r="L288" i="159"/>
  <c r="I288" i="159" s="1"/>
  <c r="F33" i="140"/>
  <c r="F23" i="141" s="1"/>
  <c r="F27" i="141" l="1"/>
  <c r="J23" i="141"/>
  <c r="J27" i="141" s="1"/>
  <c r="L289" i="159"/>
  <c r="I289" i="159" s="1"/>
  <c r="I292" i="159" s="1"/>
  <c r="D15" i="159" s="1"/>
  <c r="I15" i="159" s="1"/>
  <c r="I18" i="159" s="1"/>
  <c r="I26" i="159" s="1"/>
  <c r="E24" i="167" s="1"/>
  <c r="R34" i="159" l="1"/>
  <c r="O34" i="159"/>
  <c r="R32" i="159"/>
  <c r="O32" i="159"/>
  <c r="D38" i="159"/>
  <c r="D39" i="159" s="1"/>
  <c r="R33" i="159" l="1"/>
  <c r="O33" i="159"/>
  <c r="I42" i="159"/>
  <c r="D42" i="159"/>
  <c r="D43" i="159"/>
  <c r="D44" i="159"/>
  <c r="I43" i="159"/>
  <c r="I44" i="159"/>
</calcChain>
</file>

<file path=xl/comments1.xml><?xml version="1.0" encoding="utf-8"?>
<comments xmlns="http://schemas.openxmlformats.org/spreadsheetml/2006/main">
  <authors>
    <author>Thomas Kramer</author>
    <author>Authorized User</author>
    <author>akra02</author>
  </authors>
  <commentList>
    <comment ref="L7" authorId="0">
      <text>
        <r>
          <rPr>
            <b/>
            <sz val="8"/>
            <color indexed="81"/>
            <rFont val="Tahoma"/>
            <family val="2"/>
          </rPr>
          <t>Thomas Kramer:</t>
        </r>
        <r>
          <rPr>
            <sz val="8"/>
            <color indexed="81"/>
            <rFont val="Tahoma"/>
            <family val="2"/>
          </rPr>
          <t xml:space="preserve">
Not applicable to NSP due to recovery of ITC election</t>
        </r>
      </text>
    </comment>
    <comment ref="H38" authorId="1">
      <text>
        <r>
          <rPr>
            <b/>
            <sz val="8"/>
            <color indexed="81"/>
            <rFont val="Tahoma"/>
            <family val="2"/>
          </rPr>
          <t>Authorized User:</t>
        </r>
        <r>
          <rPr>
            <sz val="8"/>
            <color indexed="81"/>
            <rFont val="Tahoma"/>
            <family val="2"/>
          </rPr>
          <t xml:space="preserve">
Plant + Non-Plant
</t>
        </r>
      </text>
    </comment>
    <comment ref="J38" authorId="0">
      <text>
        <r>
          <rPr>
            <b/>
            <sz val="8"/>
            <color indexed="81"/>
            <rFont val="Tahoma"/>
            <family val="2"/>
          </rPr>
          <t>Thomas Kramer:</t>
        </r>
        <r>
          <rPr>
            <sz val="8"/>
            <color indexed="81"/>
            <rFont val="Tahoma"/>
            <family val="2"/>
          </rPr>
          <t xml:space="preserve">
Plant and Non-Plant</t>
        </r>
      </text>
    </comment>
    <comment ref="R38" authorId="0">
      <text>
        <r>
          <rPr>
            <b/>
            <sz val="8"/>
            <color indexed="81"/>
            <rFont val="Tahoma"/>
            <family val="2"/>
          </rPr>
          <t>Thomas Kramer:</t>
        </r>
        <r>
          <rPr>
            <sz val="8"/>
            <color indexed="81"/>
            <rFont val="Tahoma"/>
            <family val="2"/>
          </rPr>
          <t xml:space="preserve">
Value must be neagative balance</t>
        </r>
      </text>
    </comment>
    <comment ref="H50" authorId="1">
      <text>
        <r>
          <rPr>
            <b/>
            <sz val="8"/>
            <color indexed="81"/>
            <rFont val="Tahoma"/>
            <family val="2"/>
          </rPr>
          <t>Authorized User:</t>
        </r>
        <r>
          <rPr>
            <sz val="8"/>
            <color indexed="81"/>
            <rFont val="Tahoma"/>
            <family val="2"/>
          </rPr>
          <t xml:space="preserve">
Plant + Non-Plant
</t>
        </r>
      </text>
    </comment>
    <comment ref="J50" authorId="0">
      <text>
        <r>
          <rPr>
            <b/>
            <sz val="8"/>
            <color indexed="81"/>
            <rFont val="Tahoma"/>
            <family val="2"/>
          </rPr>
          <t>Thomas Kramer:</t>
        </r>
        <r>
          <rPr>
            <sz val="8"/>
            <color indexed="81"/>
            <rFont val="Tahoma"/>
            <family val="2"/>
          </rPr>
          <t xml:space="preserve">
Plant and Non-Plant</t>
        </r>
      </text>
    </comment>
    <comment ref="J79" authorId="2">
      <text>
        <r>
          <rPr>
            <b/>
            <sz val="8"/>
            <color indexed="81"/>
            <rFont val="Tahoma"/>
            <family val="2"/>
          </rPr>
          <t>BOY/EOY Balance</t>
        </r>
        <r>
          <rPr>
            <sz val="8"/>
            <color indexed="81"/>
            <rFont val="Tahoma"/>
            <family val="2"/>
          </rPr>
          <t xml:space="preserve">
</t>
        </r>
      </text>
    </comment>
  </commentList>
</comments>
</file>

<file path=xl/comments2.xml><?xml version="1.0" encoding="utf-8"?>
<comments xmlns="http://schemas.openxmlformats.org/spreadsheetml/2006/main">
  <authors>
    <author>Thomas Kramer</author>
  </authors>
  <commentList>
    <comment ref="F20" authorId="0">
      <text>
        <r>
          <rPr>
            <b/>
            <sz val="8"/>
            <color indexed="81"/>
            <rFont val="Tahoma"/>
            <family val="2"/>
          </rPr>
          <t>Thomas Kramer:</t>
        </r>
        <r>
          <rPr>
            <sz val="8"/>
            <color indexed="81"/>
            <rFont val="Tahoma"/>
            <family val="2"/>
          </rPr>
          <t xml:space="preserve">
based on MPUC direct billing files for transmission actions.</t>
        </r>
      </text>
    </comment>
  </commentList>
</comments>
</file>

<file path=xl/comments3.xml><?xml version="1.0" encoding="utf-8"?>
<comments xmlns="http://schemas.openxmlformats.org/spreadsheetml/2006/main">
  <authors>
    <author>Thomas Kramer</author>
  </authors>
  <commentList>
    <comment ref="F42" authorId="0">
      <text>
        <r>
          <rPr>
            <b/>
            <sz val="8"/>
            <color indexed="81"/>
            <rFont val="Tahoma"/>
            <family val="2"/>
          </rPr>
          <t>Thomas Kramer:</t>
        </r>
        <r>
          <rPr>
            <sz val="8"/>
            <color indexed="81"/>
            <rFont val="Tahoma"/>
            <family val="2"/>
          </rPr>
          <t xml:space="preserve">
Value must be negative balance</t>
        </r>
      </text>
    </comment>
  </commentList>
</comments>
</file>

<file path=xl/comments4.xml><?xml version="1.0" encoding="utf-8"?>
<comments xmlns="http://schemas.openxmlformats.org/spreadsheetml/2006/main">
  <authors>
    <author>Thomas Kramer</author>
  </authors>
  <commentList>
    <comment ref="F35" authorId="0">
      <text>
        <r>
          <rPr>
            <b/>
            <sz val="8"/>
            <color indexed="81"/>
            <rFont val="Tahoma"/>
            <family val="2"/>
          </rPr>
          <t>Thomas Kramer:</t>
        </r>
        <r>
          <rPr>
            <sz val="8"/>
            <color indexed="81"/>
            <rFont val="Tahoma"/>
            <family val="2"/>
          </rPr>
          <t xml:space="preserve">
Total Electric PIS excluding Common
and Nuc Fuel</t>
        </r>
      </text>
    </comment>
    <comment ref="F36" authorId="0">
      <text>
        <r>
          <rPr>
            <b/>
            <sz val="8"/>
            <color indexed="81"/>
            <rFont val="Tahoma"/>
            <family val="2"/>
          </rPr>
          <t>Thomas Kramer:</t>
        </r>
        <r>
          <rPr>
            <sz val="8"/>
            <color indexed="81"/>
            <rFont val="Tahoma"/>
            <family val="2"/>
          </rPr>
          <t xml:space="preserve">
Total Gas PIS excluding Common
</t>
        </r>
      </text>
    </comment>
  </commentList>
</comments>
</file>

<file path=xl/sharedStrings.xml><?xml version="1.0" encoding="utf-8"?>
<sst xmlns="http://schemas.openxmlformats.org/spreadsheetml/2006/main" count="2842" uniqueCount="1282">
  <si>
    <t xml:space="preserve">          TOTAL TRANSMISSION</t>
  </si>
  <si>
    <t>Operation and Maintenance Expenses</t>
  </si>
  <si>
    <t>Property Insurance</t>
  </si>
  <si>
    <t>Communication Equipment</t>
  </si>
  <si>
    <t>Production</t>
  </si>
  <si>
    <t xml:space="preserve"> </t>
  </si>
  <si>
    <t>Depreciation &amp;</t>
  </si>
  <si>
    <t>Amortization</t>
  </si>
  <si>
    <t>Electric</t>
  </si>
  <si>
    <t>Total Taxes Other Than Income</t>
  </si>
  <si>
    <t>Load Dispatching</t>
  </si>
  <si>
    <t>Station Expenses</t>
  </si>
  <si>
    <t>Overhead Line Expenses</t>
  </si>
  <si>
    <t xml:space="preserve">     Total Operation</t>
  </si>
  <si>
    <t>MAINTENANCE</t>
  </si>
  <si>
    <t xml:space="preserve">     Total Maintenance</t>
  </si>
  <si>
    <t>Percentage</t>
  </si>
  <si>
    <t>Administration and General Salaries</t>
  </si>
  <si>
    <t>Office Supplies and Expense</t>
  </si>
  <si>
    <t>Administrative Expense Transferred</t>
  </si>
  <si>
    <t>Outside Service Employed</t>
  </si>
  <si>
    <t>May</t>
  </si>
  <si>
    <t>No.</t>
  </si>
  <si>
    <t>Total</t>
  </si>
  <si>
    <t>Transmission</t>
  </si>
  <si>
    <t>Distribution</t>
  </si>
  <si>
    <t>General</t>
  </si>
  <si>
    <t>1</t>
  </si>
  <si>
    <t>Gross Plant in Service</t>
  </si>
  <si>
    <t>13 Month Average</t>
  </si>
  <si>
    <t>Total Average</t>
  </si>
  <si>
    <t xml:space="preserve">Plant in </t>
  </si>
  <si>
    <t>Service</t>
  </si>
  <si>
    <t>Description</t>
  </si>
  <si>
    <t xml:space="preserve">     ADMINISTRATION AND GENERAL</t>
  </si>
  <si>
    <t>Station Equipment</t>
  </si>
  <si>
    <t>Total Depreciation and Amortization Expense</t>
  </si>
  <si>
    <t>FERC Annual Charges</t>
  </si>
  <si>
    <t>Weighted</t>
  </si>
  <si>
    <t>Cost</t>
  </si>
  <si>
    <t>Supervision and Engineering</t>
  </si>
  <si>
    <t>Labor Related</t>
  </si>
  <si>
    <t>Adjustments</t>
  </si>
  <si>
    <t xml:space="preserve">  </t>
  </si>
  <si>
    <t>OPERATION</t>
  </si>
  <si>
    <t>Prepayments</t>
  </si>
  <si>
    <t>Line</t>
  </si>
  <si>
    <t>February</t>
  </si>
  <si>
    <t>March</t>
  </si>
  <si>
    <t>April</t>
  </si>
  <si>
    <t>June</t>
  </si>
  <si>
    <t>July</t>
  </si>
  <si>
    <t>August</t>
  </si>
  <si>
    <t>September</t>
  </si>
  <si>
    <t>October</t>
  </si>
  <si>
    <t>November</t>
  </si>
  <si>
    <t>Account</t>
  </si>
  <si>
    <t>Intangible</t>
  </si>
  <si>
    <t>Injury and Damages</t>
  </si>
  <si>
    <t>Employee Pensions and Benefits</t>
  </si>
  <si>
    <t>Duplicate Charges</t>
  </si>
  <si>
    <t>Maintenance General Plant</t>
  </si>
  <si>
    <t>Transmission of Electricity by Others</t>
  </si>
  <si>
    <t>Depreciation and Amortization Expense</t>
  </si>
  <si>
    <t xml:space="preserve">Account </t>
  </si>
  <si>
    <t>Balance</t>
  </si>
  <si>
    <t>Less Exsclusions</t>
  </si>
  <si>
    <t>Operation Supervision</t>
  </si>
  <si>
    <t>Ancillary Serv Mkt Admin</t>
  </si>
  <si>
    <t>Mkt Monitoring/Compliance</t>
  </si>
  <si>
    <t>Regional Market Rents</t>
  </si>
  <si>
    <t xml:space="preserve">           InterChange</t>
  </si>
  <si>
    <t>Construction Work in Progress</t>
  </si>
  <si>
    <t>Chisago</t>
  </si>
  <si>
    <t>BRIGO</t>
  </si>
  <si>
    <t>Apple River</t>
  </si>
  <si>
    <t>CapX 2020</t>
  </si>
  <si>
    <t>Key Assumptions:</t>
  </si>
  <si>
    <t>For each project, where CWIP is to be recovered in rate base, CWIP will be estimated and the totals reported below.</t>
  </si>
  <si>
    <t>The State Commission Approved Certificate of Need Date will be the first month that the CWIP project will be included in the formula and used to calculate the 13 month average.</t>
  </si>
  <si>
    <t>AFUDC will be capitalized for projects where CWIP is included in rate base and will be reported in the FERC Form No. 1.</t>
  </si>
  <si>
    <t>Pre-Funded AFUDC will be recorded and included in the formula as an offset to rate base for those projects recovered in rate base, to ensure no double recovery.</t>
  </si>
  <si>
    <t>State Commission Approved Certificate of Need Date</t>
  </si>
  <si>
    <t>Estimated In-Service Date</t>
  </si>
  <si>
    <t>Construction Work in Progress Balances in Formula</t>
  </si>
  <si>
    <t>CWIP</t>
  </si>
  <si>
    <t xml:space="preserve">Allocated to Transmission based on </t>
  </si>
  <si>
    <t>SubTotal</t>
  </si>
  <si>
    <t>General &amp;</t>
  </si>
  <si>
    <t xml:space="preserve">General &amp; </t>
  </si>
  <si>
    <t>BOY/EOY Average</t>
  </si>
  <si>
    <t>Net BOY/EOY Average</t>
  </si>
  <si>
    <t>Workpapers Pursuant to the Annual Rate</t>
  </si>
  <si>
    <t>Calculation and True-Up Procedures</t>
  </si>
  <si>
    <t>All Other</t>
  </si>
  <si>
    <t>see below</t>
  </si>
  <si>
    <t>Account 282 - ADIT</t>
  </si>
  <si>
    <t xml:space="preserve">Transmission Plant Balance </t>
  </si>
  <si>
    <t>Divisor (kW)</t>
  </si>
  <si>
    <t>System Peak</t>
  </si>
  <si>
    <t>Load</t>
  </si>
  <si>
    <t>Divisor</t>
  </si>
  <si>
    <t>12 Month Average</t>
  </si>
  <si>
    <t>April 2009</t>
  </si>
  <si>
    <t>Gross Receipts (1)</t>
  </si>
  <si>
    <t>Other (1)</t>
  </si>
  <si>
    <t>(1) NSP M does not budget Gross Receipts Tax or Other Tax</t>
  </si>
  <si>
    <t>Transmission Plant Included in OATT Ancillary Services (Step Up Generation)</t>
  </si>
  <si>
    <t>Other (excludes A&amp;G)</t>
  </si>
  <si>
    <t>Accum Def ITC</t>
  </si>
  <si>
    <t xml:space="preserve">Northern States Power Company-MN </t>
  </si>
  <si>
    <t xml:space="preserve">Northern States Power Company - WI </t>
  </si>
  <si>
    <t xml:space="preserve">Long-Term Debt </t>
  </si>
  <si>
    <t xml:space="preserve">Common Equity </t>
  </si>
  <si>
    <t xml:space="preserve">Total Northern States Power - WI </t>
  </si>
  <si>
    <t xml:space="preserve">Total Northern States Power - MN </t>
  </si>
  <si>
    <t xml:space="preserve">Taxes Other Than Income Taxes </t>
  </si>
  <si>
    <t xml:space="preserve">Transmission Plant Included in ISO Rates Allocation Factor (TP) </t>
  </si>
  <si>
    <t xml:space="preserve">Transmission Expense Allocation Factor (TE) </t>
  </si>
  <si>
    <t xml:space="preserve">Wages &amp; Salaries Allocation Factor (W/S) </t>
  </si>
  <si>
    <t xml:space="preserve">Common Plant Allocation Factor (CE) </t>
  </si>
  <si>
    <t>NET REVENUE REQUIREMENT</t>
  </si>
  <si>
    <t xml:space="preserve">  Average of 12 coincident system peaks for requirements (RQ) service       </t>
  </si>
  <si>
    <t xml:space="preserve">  Plus 12 CP of Network Load not in line 8</t>
  </si>
  <si>
    <t xml:space="preserve">  Plus Contract Demand of firm P-T-P over one year</t>
  </si>
  <si>
    <t>Divisor (sum lines 8-14)</t>
  </si>
  <si>
    <t>Annual Cost ($/kW/Yr)</t>
  </si>
  <si>
    <t>Historic Year Actual Divisor</t>
  </si>
  <si>
    <t>Projected Year Divisor</t>
  </si>
  <si>
    <t>Difference between Historic &amp; Projected Year Divisor</t>
  </si>
  <si>
    <t>Prior Year Projected Annual Cost ($ per kw per yr.)</t>
  </si>
  <si>
    <t>Projected Year Divisor True-up (Difference * Prior Year Projected Annual Cost)</t>
  </si>
  <si>
    <t>Total True Level</t>
  </si>
  <si>
    <t>Proof (Annual Cost Difference x Actual Volumes)</t>
  </si>
  <si>
    <t>Immaterial diff</t>
  </si>
  <si>
    <t>To Attachment O line items 6a, 6b, 6c and 6d</t>
  </si>
  <si>
    <t xml:space="preserve">Total True Up Level </t>
  </si>
  <si>
    <t>Interest Calculation With Quarterly Compounding</t>
  </si>
  <si>
    <t>Interest</t>
  </si>
  <si>
    <t>Cumulative Interest</t>
  </si>
  <si>
    <t>Average Rate for 19 months</t>
  </si>
  <si>
    <t>Prior Year True Up Calculation</t>
  </si>
  <si>
    <t>Prior Year True Up Interest Calculation</t>
  </si>
  <si>
    <t>Prefunded Amort</t>
  </si>
  <si>
    <t>Transmission Plant Excluded from ISO Rates</t>
  </si>
  <si>
    <t xml:space="preserve">Revenue </t>
  </si>
  <si>
    <t>Line No.</t>
  </si>
  <si>
    <t>Total NSP Revenue</t>
  </si>
  <si>
    <t>Attachment O</t>
  </si>
  <si>
    <t>Line 35</t>
  </si>
  <si>
    <t>Line 36</t>
  </si>
  <si>
    <t>Total Revenue Credits not in divisor</t>
  </si>
  <si>
    <t>Line 37</t>
  </si>
  <si>
    <t>Line 36a</t>
  </si>
  <si>
    <t>Transmission charges for all transactions</t>
  </si>
  <si>
    <t>Transmission charges for all transactions in divisor</t>
  </si>
  <si>
    <t>Transmission charges associated with Sch 26</t>
  </si>
  <si>
    <t>Revenue Credits - MISO Review Copy</t>
  </si>
  <si>
    <t>Account 447 - Sales for Resale (Note Q)</t>
  </si>
  <si>
    <t>a.</t>
  </si>
  <si>
    <t>Bundled Non-RQ Sales for Resale</t>
  </si>
  <si>
    <t>b.</t>
  </si>
  <si>
    <t>Bundled Sales for Resale included in the Divisor</t>
  </si>
  <si>
    <t>Total Account 447</t>
  </si>
  <si>
    <t>Account 454 - Rent From Electric Property</t>
  </si>
  <si>
    <t>Account 456 - Other Electric Revenue</t>
  </si>
  <si>
    <t>Transmission charges for all transmission transactions</t>
  </si>
  <si>
    <t>Transmission charges for al transmission transactions</t>
  </si>
  <si>
    <t>c.</t>
  </si>
  <si>
    <t>Transmission charges associated with Schedule 26</t>
  </si>
  <si>
    <t>Total Account 456</t>
  </si>
  <si>
    <t>Note Q:</t>
  </si>
  <si>
    <t>Revenue  Credits</t>
  </si>
  <si>
    <t>in Account No. 456.1 and all other uses are to be included in the divisor.</t>
  </si>
  <si>
    <t>Line 33 must equal zero since all short-term power sales must be unbundled and the transmission component reflected</t>
  </si>
  <si>
    <t xml:space="preserve">   Included in the Divisor </t>
  </si>
  <si>
    <t>Net Volume Change Under Recovery</t>
  </si>
  <si>
    <t>50% NSP Pricing Zone Share</t>
  </si>
  <si>
    <t>Shared Cost</t>
  </si>
  <si>
    <t>Yankee (Colvill) Gen Station</t>
  </si>
  <si>
    <t>Cannon Falls</t>
  </si>
  <si>
    <t>Nobles Gen Station</t>
  </si>
  <si>
    <t>St. Cloud / Sauk River</t>
  </si>
  <si>
    <t>GRE Load</t>
  </si>
  <si>
    <t xml:space="preserve">Less: </t>
  </si>
  <si>
    <t xml:space="preserve">          TOTAL ADMINISTRATIVE AND GENERAL</t>
  </si>
  <si>
    <t>Less:  FERC Annual Charges</t>
  </si>
  <si>
    <t xml:space="preserve">Less:  EPRI Dues Charged to A&amp;G </t>
  </si>
  <si>
    <t>Less:  Regulatory Commission Expense (excluding FERC Annual)</t>
  </si>
  <si>
    <t>Less:  Non-Safety Advertising Expense</t>
  </si>
  <si>
    <t>Refund Obligation</t>
  </si>
  <si>
    <t>Less Exclusions</t>
  </si>
  <si>
    <t>*</t>
  </si>
  <si>
    <t xml:space="preserve">* These revenues are not credited back as the costs associated with them is not included in the Revenue Requirement calculation. </t>
  </si>
  <si>
    <t>Plus Trans Related Reg. Comm. Exp.</t>
  </si>
  <si>
    <t>G349  37774-01 Upgrades for G349</t>
  </si>
  <si>
    <t>Ulik Wind Farm (G185)</t>
  </si>
  <si>
    <t>Prefunded Amortization at Total Company level, reported herein on NSP Mn section</t>
  </si>
  <si>
    <t>Total Sch 26 includes true-up</t>
  </si>
  <si>
    <t>Various</t>
  </si>
  <si>
    <t>Total Project Cost</t>
  </si>
  <si>
    <t>Attachment GG Revenue Requirement</t>
  </si>
  <si>
    <t>Attachment MM Revenue Requirement</t>
  </si>
  <si>
    <t>Transmission charges associated with Sch 26a</t>
  </si>
  <si>
    <t>Attachment MM Projects</t>
  </si>
  <si>
    <t>Line 36b</t>
  </si>
  <si>
    <t>G809 Network Upgrades</t>
  </si>
  <si>
    <t>G417 Network Upgrades</t>
  </si>
  <si>
    <t>G362 Pleasant Valley - Byron</t>
  </si>
  <si>
    <t>Glenco - West Waconia</t>
  </si>
  <si>
    <t>Net Revenue Requirement Under Recovery</t>
  </si>
  <si>
    <t>PIS Only</t>
  </si>
  <si>
    <t>FERC Rate</t>
  </si>
  <si>
    <t>Interest Rate (@ FERC Refund Rate)</t>
  </si>
  <si>
    <t>Total Sch 26A includes true-up</t>
  </si>
  <si>
    <t>Est. Trans Plant Pg 227, ln 8-c</t>
  </si>
  <si>
    <t>Total 154 Pg 227, ln 12-c</t>
  </si>
  <si>
    <t>Electric Pg 200, ln 15-c</t>
  </si>
  <si>
    <t>Gas Pg 201, ln 15-d</t>
  </si>
  <si>
    <t xml:space="preserve"> Elec % of total</t>
  </si>
  <si>
    <t>1366</t>
  </si>
  <si>
    <t>1456</t>
  </si>
  <si>
    <t>1457</t>
  </si>
  <si>
    <t>1953</t>
  </si>
  <si>
    <t>279</t>
  </si>
  <si>
    <t>1458</t>
  </si>
  <si>
    <t>2765</t>
  </si>
  <si>
    <t>2109</t>
  </si>
  <si>
    <t>2119</t>
  </si>
  <si>
    <t>2178</t>
  </si>
  <si>
    <t>1285</t>
  </si>
  <si>
    <t>3312</t>
  </si>
  <si>
    <t>3317</t>
  </si>
  <si>
    <t xml:space="preserve">Bemidji </t>
  </si>
  <si>
    <t xml:space="preserve">Twin Cities - Fargo </t>
  </si>
  <si>
    <t xml:space="preserve">Twin Cities - Rochester </t>
  </si>
  <si>
    <t>Mn Valley Kerkhoven</t>
  </si>
  <si>
    <t>Kohlman Lake Goose Lake</t>
  </si>
  <si>
    <t>1203</t>
  </si>
  <si>
    <t>3104</t>
  </si>
  <si>
    <t>Wilmarth Sub</t>
  </si>
  <si>
    <t>Total GG &amp; MM PIS</t>
  </si>
  <si>
    <t>*  Includes 13-Mo Avg CWIP is provided for these projects.</t>
  </si>
  <si>
    <t>286 *</t>
  </si>
  <si>
    <t>1024 *</t>
  </si>
  <si>
    <t xml:space="preserve">August </t>
  </si>
  <si>
    <t xml:space="preserve">March </t>
  </si>
  <si>
    <t>A</t>
  </si>
  <si>
    <t>B</t>
  </si>
  <si>
    <t>A-B</t>
  </si>
  <si>
    <t>Prefunded Balance</t>
  </si>
  <si>
    <t xml:space="preserve">Total Amount Booked </t>
  </si>
  <si>
    <t>Less Prefunded on CWIP</t>
  </si>
  <si>
    <t>Prefunded included in Attachment O</t>
  </si>
  <si>
    <t>The CWIP cost information included in the Attachment is based upon expenditures and</t>
  </si>
  <si>
    <t>does not include AFUDC or Prefunded AFUDC. Therefor the CWIP related Pre-funded AFUDC</t>
  </si>
  <si>
    <t xml:space="preserve">is not included in the Adjustment to Rate Base. </t>
  </si>
  <si>
    <t>Courdry Osprey</t>
  </si>
  <si>
    <t>CWIP Only</t>
  </si>
  <si>
    <t>Attachment O-NSP</t>
  </si>
  <si>
    <t>Page 1 of 5</t>
  </si>
  <si>
    <t xml:space="preserve">Formula Rate - Non-Levelized </t>
  </si>
  <si>
    <t xml:space="preserve">     Rate Formula Template</t>
  </si>
  <si>
    <t>For the 12 months ended 12/31/2015</t>
  </si>
  <si>
    <t xml:space="preserve"> Utilizing FERC Form 1 Data</t>
  </si>
  <si>
    <t>Northern States Power Companies</t>
  </si>
  <si>
    <t>Allocated</t>
  </si>
  <si>
    <t>Amount</t>
  </si>
  <si>
    <t>GROSS REVENUE REQUIREMENT  (page 3, line 31)</t>
  </si>
  <si>
    <t xml:space="preserve">REVENUE CREDITS </t>
  </si>
  <si>
    <t>(Note T)</t>
  </si>
  <si>
    <t>Allocator</t>
  </si>
  <si>
    <t xml:space="preserve">  Account No. 454</t>
  </si>
  <si>
    <t>(page 4, line 34)</t>
  </si>
  <si>
    <t>TP</t>
  </si>
  <si>
    <t xml:space="preserve">  Account No. 456.1</t>
  </si>
  <si>
    <t>(page 4, line 37)</t>
  </si>
  <si>
    <t xml:space="preserve">  Revenues from Grandfathered Interzonal Transactions</t>
  </si>
  <si>
    <t>Gross Plant</t>
  </si>
  <si>
    <t xml:space="preserve">  Revenues from service provided by the ISO at a discount</t>
  </si>
  <si>
    <t>In-Service</t>
  </si>
  <si>
    <t xml:space="preserve">Requirement </t>
  </si>
  <si>
    <t>TOTAL REVENUE CREDITS  (sum lines 2-5)</t>
  </si>
  <si>
    <t>Control Area</t>
  </si>
  <si>
    <t>Attach GG/MM</t>
  </si>
  <si>
    <t>Attach O</t>
  </si>
  <si>
    <t>Allocation</t>
  </si>
  <si>
    <t>GRE-NSP</t>
  </si>
  <si>
    <t>6a</t>
  </si>
  <si>
    <t>Historic Year Actual ATRR</t>
  </si>
  <si>
    <t>NSP-NSP</t>
  </si>
  <si>
    <t>6b</t>
  </si>
  <si>
    <t>Projected ATRR from Prior Year</t>
  </si>
  <si>
    <t>Input from Prior Year</t>
  </si>
  <si>
    <t>6c</t>
  </si>
  <si>
    <t>Prior Year ATRR True-Up</t>
  </si>
  <si>
    <t>(line 6a - line 6b)</t>
  </si>
  <si>
    <t>6d</t>
  </si>
  <si>
    <t>Prior Year Divisor True-Up</t>
  </si>
  <si>
    <t>(Note Z)</t>
  </si>
  <si>
    <t>6e</t>
  </si>
  <si>
    <t>Interest on Prior Year True-Up</t>
  </si>
  <si>
    <t>(line 1 - line 6 + line 6c through 6e)</t>
  </si>
  <si>
    <t xml:space="preserve">DIVISOR </t>
  </si>
  <si>
    <t>Net plant in GRE</t>
  </si>
  <si>
    <t>gross plant in GRE</t>
  </si>
  <si>
    <t xml:space="preserve">  Average of 12 coincident system peaks for requirements (RQ) service</t>
  </si>
  <si>
    <t>(Note A)</t>
  </si>
  <si>
    <t>% of net plant in GRE</t>
  </si>
  <si>
    <t>% of gross plant in GRE</t>
  </si>
  <si>
    <t xml:space="preserve">  Plus 12 CP of firm bundled sales over one year not in line 8</t>
  </si>
  <si>
    <t>(Note B)</t>
  </si>
  <si>
    <t>GRE load in Divisor</t>
  </si>
  <si>
    <t>(Note C)</t>
  </si>
  <si>
    <t>RR</t>
  </si>
  <si>
    <t xml:space="preserve">  Less 12 CP of firm P-T-P over one year (enter negative)</t>
  </si>
  <si>
    <t>(Note D)</t>
  </si>
  <si>
    <t xml:space="preserve">  Less Contract Demand from Grandfathered Interzonal Transactions over one year (enter negative)  (Note S)</t>
  </si>
  <si>
    <t xml:space="preserve">  Less Contract Demands from service over one year provided by ISO at a discount (enter negative)</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</si>
  <si>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</si>
  <si>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</si>
  <si>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</si>
  <si>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</si>
  <si>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</si>
  <si>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</si>
  <si>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</si>
  <si>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</si>
  <si>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</si>
  <si>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</si>
  <si>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</si>
  <si>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</si>
  <si>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</si>
  <si>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</si>
  <si>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 xml:space="preserve"> and daily rates</t>
  </si>
  <si>
    <t>FERC Annual Charge ($/MWh)</t>
  </si>
  <si>
    <t>(Note E)</t>
  </si>
  <si>
    <t>Short Term</t>
  </si>
  <si>
    <t>Long Term</t>
  </si>
  <si>
    <t>Page 2 of 5</t>
  </si>
  <si>
    <t>(1)</t>
  </si>
  <si>
    <t>(2)</t>
  </si>
  <si>
    <t>(3)</t>
  </si>
  <si>
    <t>(4)</t>
  </si>
  <si>
    <t>(5)</t>
  </si>
  <si>
    <t>Form No. 1</t>
  </si>
  <si>
    <t>Minnesota</t>
  </si>
  <si>
    <t>Wisconsin</t>
  </si>
  <si>
    <t>Page, Line, Col.</t>
  </si>
  <si>
    <t>Company Total</t>
  </si>
  <si>
    <t xml:space="preserve">                  Allocator</t>
  </si>
  <si>
    <t>(Col 3 times Col 4)</t>
  </si>
  <si>
    <t>RATE BASE:</t>
  </si>
  <si>
    <t>GROSS PLANT IN SERVICE  (Note X, Note EE)</t>
  </si>
  <si>
    <t xml:space="preserve">  Production</t>
  </si>
  <si>
    <t>205.46.g</t>
  </si>
  <si>
    <t>NA</t>
  </si>
  <si>
    <t xml:space="preserve">  Transmission</t>
  </si>
  <si>
    <t>207.58.g</t>
  </si>
  <si>
    <t xml:space="preserve">  Distribution</t>
  </si>
  <si>
    <t>207.75.g</t>
  </si>
  <si>
    <t xml:space="preserve">  General &amp; Intangible</t>
  </si>
  <si>
    <t>205.5.g &amp; 207.99.g</t>
  </si>
  <si>
    <t>W/S</t>
  </si>
  <si>
    <t xml:space="preserve">  Common</t>
  </si>
  <si>
    <t>356.1</t>
  </si>
  <si>
    <t>CE</t>
  </si>
  <si>
    <t>TOTAL GROSS PLANT  (sum lines 1-5)</t>
  </si>
  <si>
    <t>GP=</t>
  </si>
  <si>
    <t>ACCUMULATED DEPRECIATION  (Note X, Note EE)</t>
  </si>
  <si>
    <t>219.20-24.c</t>
  </si>
  <si>
    <t>219.25.c</t>
  </si>
  <si>
    <t>219.26.c</t>
  </si>
  <si>
    <t>219.28.c &amp; 200.21.c</t>
  </si>
  <si>
    <t>TOTAL ACCUM. DEPRECIATION  (sum lines 7-11)</t>
  </si>
  <si>
    <t>NET PLANT IN SERVICE  (Note X)</t>
  </si>
  <si>
    <t>(line 1- line 7)</t>
  </si>
  <si>
    <t>(line 2 - line 8)</t>
  </si>
  <si>
    <t>(line 3 - line 9)</t>
  </si>
  <si>
    <t>(line 4 - line 10)</t>
  </si>
  <si>
    <t>(line 5 - line 11)</t>
  </si>
  <si>
    <t>TOTAL NET PLANT  (sum lines 13-17)</t>
  </si>
  <si>
    <t>NP=</t>
  </si>
  <si>
    <t>18a</t>
  </si>
  <si>
    <t>CWIP for Certificate of Need Projects   (Note X)</t>
  </si>
  <si>
    <t>216.b</t>
  </si>
  <si>
    <t xml:space="preserve">ADJUSTMENTS TO RATE BASE       </t>
  </si>
  <si>
    <t xml:space="preserve">  Account No. 281 (enter negative)  (Note F,  Note Y)</t>
  </si>
  <si>
    <t>273.8.k</t>
  </si>
  <si>
    <t>zero</t>
  </si>
  <si>
    <t xml:space="preserve">  Account No. 282 (enter negative)  (Note F,  Note Y)</t>
  </si>
  <si>
    <t>275.2.k</t>
  </si>
  <si>
    <t>NP</t>
  </si>
  <si>
    <t xml:space="preserve">  Account No. 283 (enter negative)  (Note F,  Note Y)</t>
  </si>
  <si>
    <t>277.9.k</t>
  </si>
  <si>
    <t xml:space="preserve">  Account No. 190                            (Note F,  Note Y) </t>
  </si>
  <si>
    <t>234.8.c</t>
  </si>
  <si>
    <t xml:space="preserve">  Account No. 255 (enter negative)  (Note F,  Note Y)</t>
  </si>
  <si>
    <t>267.8.h</t>
  </si>
  <si>
    <t>23a</t>
  </si>
  <si>
    <t xml:space="preserve">  Net Prefunded AFUDC on CWIP Included in Rate Base</t>
  </si>
  <si>
    <t>23b</t>
  </si>
  <si>
    <t xml:space="preserve">  Unamortized Balance of Abandoned Plant</t>
  </si>
  <si>
    <t>TOTAL ADJUSTMENTS  (sum lines 19- 23b)</t>
  </si>
  <si>
    <t xml:space="preserve">LAND HELD FOR FUTURE USE  (Note Y)         </t>
  </si>
  <si>
    <t>214.x.d  (Note G)</t>
  </si>
  <si>
    <t>WORKING CAPITAL  (Note H)</t>
  </si>
  <si>
    <t xml:space="preserve">  CWC  </t>
  </si>
  <si>
    <t>calculated</t>
  </si>
  <si>
    <t xml:space="preserve">  Materials &amp; Supplies  (Note G, Note Y)               </t>
  </si>
  <si>
    <t>227.8.c &amp; .16.c</t>
  </si>
  <si>
    <t>TE</t>
  </si>
  <si>
    <t xml:space="preserve">  Prepayments  (Account 165, Note Y)                  </t>
  </si>
  <si>
    <t>111.57.c</t>
  </si>
  <si>
    <t>GP</t>
  </si>
  <si>
    <t>TOTAL WORKING CAPITAL  (sum lines 26 - 28)</t>
  </si>
  <si>
    <t>RATE BASE  (sum lines 18, 18a, 24, 25, &amp; 29)</t>
  </si>
  <si>
    <t>Page 3 of 5</t>
  </si>
  <si>
    <t>O&amp;M  (Note FF)</t>
  </si>
  <si>
    <t xml:space="preserve">  Transmission </t>
  </si>
  <si>
    <t>321.112.b</t>
  </si>
  <si>
    <t>Interchange</t>
  </si>
  <si>
    <t>1a</t>
  </si>
  <si>
    <t xml:space="preserve">     Less LSE Expenses included in Transmission O&amp;M Accounts  (Note V)</t>
  </si>
  <si>
    <t>(this may be in 565)</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</si>
  <si>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</si>
  <si>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</si>
  <si>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</si>
  <si>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</si>
  <si>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</si>
  <si>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</si>
  <si>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</si>
  <si>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</si>
  <si>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Based off historic</t>
  </si>
  <si>
    <t xml:space="preserve">  Transmission Lease Payments</t>
  </si>
  <si>
    <t>TOTAL O&amp;M  (sum lines 1, 3, 5a, 6, 7 less lines 1a, 2, 4, 5)</t>
  </si>
  <si>
    <t>DEPRECIATION AND AMORTIZATION EXPENSE (Note EE)</t>
  </si>
  <si>
    <t>336.7.b</t>
  </si>
  <si>
    <t>9a</t>
  </si>
  <si>
    <t xml:space="preserve">  Prefunded AFUDC Amortization</t>
  </si>
  <si>
    <t>9b</t>
  </si>
  <si>
    <t xml:space="preserve">  Abandoned Plant Amortization</t>
  </si>
  <si>
    <t>336.10.f &amp; 336.1.f</t>
  </si>
  <si>
    <t xml:space="preserve">  Common &amp; Intangible</t>
  </si>
  <si>
    <t>336.11.b &amp; d</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</si>
  <si>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</si>
  <si>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</si>
  <si>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</si>
  <si>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</si>
  <si>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</si>
  <si>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</si>
  <si>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</si>
  <si>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</si>
  <si>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</si>
  <si>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</si>
  <si>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</si>
  <si>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</si>
  <si>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</si>
  <si>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</si>
  <si>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</si>
  <si>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</si>
  <si>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</si>
  <si>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</si>
  <si>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</si>
  <si>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</si>
  <si>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</si>
  <si>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</si>
  <si>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</si>
  <si>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</si>
  <si>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RETURN </t>
  </si>
  <si>
    <t xml:space="preserve">  [Rate Base (page 2, line 30) * Rate of Return (page 4, line 30)]</t>
  </si>
  <si>
    <t>REV. REQUIREMENT  (sum lines 8, 12, 20, 27, 28)</t>
  </si>
  <si>
    <t>LESS ATTACHMENT GG ADJUSTMENT [Attachment GG, page 2, line 3, column 10]  (Note AA)</t>
  </si>
  <si>
    <t xml:space="preserve">[revenue requirement for facilities included on page 2, line 2, and also included </t>
  </si>
  <si>
    <t>in Attachment GG]</t>
  </si>
  <si>
    <t>30a</t>
  </si>
  <si>
    <t>LESS ATTACHMENT MM ADJUSTMENT [Attachment MM, page 2, line 3, column 14]  (Note CC)</t>
  </si>
  <si>
    <t>in Attachment MM]</t>
  </si>
  <si>
    <t>REV. REQUIREMENT TO BE COLLECTED UNDER ATTACHMENT O</t>
  </si>
  <si>
    <t>(line 29 - line 30 - line 30a)</t>
  </si>
  <si>
    <t>Page 4 of 5</t>
  </si>
  <si>
    <t xml:space="preserve">                SUPPORTING CALCULATIONS AND NOTES</t>
  </si>
  <si>
    <t>TRANSMISSION PLANT INCLUDED IN ISO RATES</t>
  </si>
  <si>
    <t>Total transmission plant  (page 2, line 2 - line 2a,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</si>
  <si>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</si>
  <si>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</si>
  <si>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</si>
  <si>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</si>
  <si>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</si>
  <si>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</si>
  <si>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Schedule 1 Recoverable Expenses</t>
  </si>
  <si>
    <t>Total transmission expenses  (page 3, line 1, column 3)</t>
  </si>
  <si>
    <t>Less transmission expenses included in OATT Ancillary Services  (Note L)</t>
  </si>
  <si>
    <t>Acct 561 included in Line 7</t>
  </si>
  <si>
    <t>Included transmission expenses  (line 6 less line 7)</t>
  </si>
  <si>
    <t>Acct 561.BA for Schedule 24</t>
  </si>
  <si>
    <t>Acct 561 available for Schedule 1</t>
  </si>
  <si>
    <t>Percentage of transmission expenses after adjustment  (line 8 divided by line 6)</t>
  </si>
  <si>
    <t>Revenue Credits for Sched 1/Acct 561</t>
  </si>
  <si>
    <t>Percentage of transmission plant included in ISO Rates  (line 5)</t>
  </si>
  <si>
    <t>transactions &lt;1 yr</t>
  </si>
  <si>
    <t>Percentage of transmission expenses included in ISO Rates  (line 9 times line 10)</t>
  </si>
  <si>
    <t>TE=</t>
  </si>
  <si>
    <t>non-firm</t>
  </si>
  <si>
    <t>transactions w/ load not in divisor</t>
  </si>
  <si>
    <t>WAGES &amp; SALARY ALLOCATOR   (W&amp;S)</t>
  </si>
  <si>
    <t>total Revenue Credits</t>
  </si>
  <si>
    <t>Form 1 Reference</t>
  </si>
  <si>
    <t>$</t>
  </si>
  <si>
    <t>Net Schedule 1 Expenses (Acct 561 minus Credits)</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</si>
  <si>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</si>
  <si>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</si>
  <si>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</si>
  <si>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</si>
  <si>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</si>
  <si>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</si>
  <si>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</si>
  <si>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</si>
  <si>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</si>
  <si>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</si>
  <si>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</si>
  <si>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</si>
  <si>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</si>
  <si>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</si>
  <si>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</si>
  <si>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</si>
  <si>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</si>
  <si>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201.3.d</t>
  </si>
  <si>
    <t xml:space="preserve">  Water</t>
  </si>
  <si>
    <t>201.3.e</t>
  </si>
  <si>
    <t xml:space="preserve">  Total (sum lines 17 - 19)</t>
  </si>
  <si>
    <t>RETURN (R)</t>
  </si>
  <si>
    <t>Long Term Interest  (117, sum of 62.c through 67.c)</t>
  </si>
  <si>
    <t>Preferred Dividends (118.29c) (positive number)</t>
  </si>
  <si>
    <t xml:space="preserve">                                          Development of Common Stock:</t>
  </si>
  <si>
    <t>Proprietary Capital  (112.16.c)</t>
  </si>
  <si>
    <t xml:space="preserve">Less Preferred Stock (line 28) </t>
  </si>
  <si>
    <t>Less Account 216.1 (112.12.c)  (enter negative)</t>
  </si>
  <si>
    <t>(sum lines 23-25)</t>
  </si>
  <si>
    <t>%</t>
  </si>
  <si>
    <t>(Note P)</t>
  </si>
  <si>
    <t xml:space="preserve">  Long Term Debt  (112, sum of  18.c through 21.c)</t>
  </si>
  <si>
    <t>=WCLTD</t>
  </si>
  <si>
    <t xml:space="preserve">  Preferred Stock  (112.3.c)</t>
  </si>
  <si>
    <t xml:space="preserve">  Common Stock  (line 26)</t>
  </si>
  <si>
    <t>Total  (sum lines 27-29)</t>
  </si>
  <si>
    <t>=R</t>
  </si>
  <si>
    <t>REVENUE CREDITS</t>
  </si>
  <si>
    <t>ACCOUNT 447 (SALES FOR RESALE)</t>
  </si>
  <si>
    <t>(310-311)</t>
  </si>
  <si>
    <t>(Note Q)</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</si>
  <si>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</si>
  <si>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</si>
  <si>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</si>
  <si>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</si>
  <si>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U)</t>
  </si>
  <si>
    <t>(330.x.n)</t>
  </si>
  <si>
    <t xml:space="preserve">  a. Transmission charges for all transmission transactions </t>
  </si>
  <si>
    <t xml:space="preserve">  b. Transmission charges for all transmission transactions included in Divisor on Page 1</t>
  </si>
  <si>
    <t>36a</t>
  </si>
  <si>
    <t xml:space="preserve">  c. Transmission charges from Schedules associated with Attachment GG (Note BB)</t>
  </si>
  <si>
    <t>36b</t>
  </si>
  <si>
    <t xml:space="preserve">  d. Transmission charges from Schedules associated with Attachment MM  (Note DD)</t>
  </si>
  <si>
    <t>Total of (a)-(b)-(c)-(d)</t>
  </si>
  <si>
    <t>Page 5 of 5</t>
  </si>
  <si>
    <t>General Note:  References to pages in this formulary rate are indicated as:  (page#, line#, col.#)</t>
  </si>
  <si>
    <t>References to data from FERC Form 1 are indicated as:   #.y.x  (page, line, column)</t>
  </si>
  <si>
    <t>Note</t>
  </si>
  <si>
    <t>Letter</t>
  </si>
  <si>
    <t>As reported on page 400, column e of Form 1.</t>
  </si>
  <si>
    <t>Labeled LF, LU, IF, IU on pages 310-311 of Form 1.</t>
  </si>
  <si>
    <t>C</t>
  </si>
  <si>
    <t>As reported on page 400, column f of Form 1.</t>
  </si>
  <si>
    <t>D</t>
  </si>
  <si>
    <t>Labeled LF on page 328 of Form 1.</t>
  </si>
  <si>
    <t>E</t>
  </si>
  <si>
    <t>F</t>
  </si>
  <si>
    <t>G</t>
  </si>
  <si>
    <t>Identified in Form 1 as being only transmission related.</t>
  </si>
  <si>
    <t>H</t>
  </si>
  <si>
    <t>I</t>
  </si>
  <si>
    <t>J</t>
  </si>
  <si>
    <t>K</t>
  </si>
  <si>
    <t xml:space="preserve">         Inputs Required:</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</si>
  <si>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</si>
  <si>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</si>
  <si>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</si>
  <si>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</si>
  <si>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</si>
  <si>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</si>
  <si>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</si>
  <si>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</si>
  <si>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</si>
  <si>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</si>
  <si>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</si>
  <si>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</si>
  <si>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</si>
  <si>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S</t>
  </si>
  <si>
    <t>T</t>
  </si>
  <si>
    <t>U</t>
  </si>
  <si>
    <t>Account 456.1 entry shall be the annual total of the quarterly values reported at Form 1, 330.x.n.</t>
  </si>
  <si>
    <t>V</t>
  </si>
  <si>
    <t>Account Nos. 561.4 and 561.8 consist of RTO expenses billed to load-serving entities and are not included in Transmission Owner revenue requirements.</t>
  </si>
  <si>
    <t>X</t>
  </si>
  <si>
    <t>Calculate using 13 month average balance, reconciling to FERC Form No. 1 by page, line and column as shown in Column 2.</t>
  </si>
  <si>
    <t>Y</t>
  </si>
  <si>
    <t>Z</t>
  </si>
  <si>
    <t>Calculation of Prior Year Divisor True-Up:</t>
  </si>
  <si>
    <t>Pg 1, Line 15</t>
  </si>
  <si>
    <t>Pg 1, Line 16</t>
  </si>
  <si>
    <t>AA</t>
  </si>
  <si>
    <t>Pursuant to Attachment GG of the Midwest ISO Tariff, removes dollar amount of revenue requirements calculated pursuant to Attachment GG.</t>
  </si>
  <si>
    <t>BB</t>
  </si>
  <si>
    <t>CC</t>
  </si>
  <si>
    <t>DD</t>
  </si>
  <si>
    <t>EE</t>
  </si>
  <si>
    <t>Plant in Service, Accumulated Depreciation, and Depreciation Expense amounts exclude Asset Retirement Obligation amounts unless authorized by FERC.</t>
  </si>
  <si>
    <t>FF</t>
  </si>
  <si>
    <t>Schedule 10-FERC charges should not be included in O&amp;M recovered under this Attachment O.</t>
  </si>
  <si>
    <t>Attachment GG - Generic Company</t>
  </si>
  <si>
    <t>Formula Rate calculation</t>
  </si>
  <si>
    <t xml:space="preserve"> Utilizing Attachment O Data</t>
  </si>
  <si>
    <t>Page 1 of 2</t>
  </si>
  <si>
    <t>To be completed in conjunction with Attachment O.</t>
  </si>
  <si>
    <t>Gross Transmission Plant - Total</t>
  </si>
  <si>
    <t>Attach O, p 2, line 2 col 5 (Note A)</t>
  </si>
  <si>
    <t>Net Transmission Plant - Total</t>
  </si>
  <si>
    <t>Attach O, p 2, line 14 and 23b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</si>
  <si>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</si>
  <si>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</si>
  <si>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</si>
  <si>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</si>
  <si>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</si>
  <si>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</si>
  <si>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</si>
  <si>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</si>
  <si>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</si>
  <si>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</si>
  <si>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</si>
  <si>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</si>
  <si>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</si>
  <si>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</si>
  <si>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</si>
  <si>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</si>
  <si>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</si>
  <si>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</si>
  <si>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</si>
  <si>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</si>
  <si>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</si>
  <si>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 4, 6, and 8</t>
  </si>
  <si>
    <t>INCOME TAXES</t>
  </si>
  <si>
    <t>10</t>
  </si>
  <si>
    <t>Attach O, p 3, line 27 col 5</t>
  </si>
  <si>
    <t>11</t>
  </si>
  <si>
    <t>Annual Allocation Factor for Income Taxes</t>
  </si>
  <si>
    <t>(line 10 divided by line 2 col 3)</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</si>
  <si>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</si>
  <si>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</si>
  <si>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</si>
  <si>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</si>
  <si>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</si>
  <si>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</si>
  <si>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</si>
  <si>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</si>
  <si>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</si>
  <si>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</si>
  <si>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</si>
  <si>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</si>
  <si>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</si>
  <si>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</si>
  <si>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</si>
  <si>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</si>
  <si>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</si>
  <si>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</si>
  <si>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</si>
  <si>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</si>
  <si>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</si>
  <si>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(Page 1 line 9)</t>
  </si>
  <si>
    <t>(Col. 3 * Col. 4)</t>
  </si>
  <si>
    <t>(Page 1 line 14)</t>
  </si>
  <si>
    <t>(Col. 6 * Col. 7)</t>
  </si>
  <si>
    <t>(Sum Col. 5, 8 &amp; 9)</t>
  </si>
  <si>
    <t>(Note F)</t>
  </si>
  <si>
    <t>Sum Col. 10 &amp; 11
(Note G)</t>
  </si>
  <si>
    <t>1b</t>
  </si>
  <si>
    <t>1c</t>
  </si>
  <si>
    <t>1d</t>
  </si>
  <si>
    <t>1e</t>
  </si>
  <si>
    <t>Bemidji</t>
  </si>
  <si>
    <t>1f</t>
  </si>
  <si>
    <t>Twin Cities - Fargo</t>
  </si>
  <si>
    <t>286</t>
  </si>
  <si>
    <t>1g</t>
  </si>
  <si>
    <t>Twin Cities - Rochester</t>
  </si>
  <si>
    <t>1024</t>
  </si>
  <si>
    <t>1h</t>
  </si>
  <si>
    <t>1i</t>
  </si>
  <si>
    <t>1j</t>
  </si>
  <si>
    <t>1k</t>
  </si>
  <si>
    <t>1l</t>
  </si>
  <si>
    <t>Pleasant Valley</t>
  </si>
  <si>
    <t>1m</t>
  </si>
  <si>
    <t>Glenco Waconia</t>
  </si>
  <si>
    <t>1n</t>
  </si>
  <si>
    <t>1o</t>
  </si>
  <si>
    <t xml:space="preserve">Minnesota Valley Kerkhoven </t>
  </si>
  <si>
    <t>1p</t>
  </si>
  <si>
    <t>Kohlman Lake</t>
  </si>
  <si>
    <t>1q</t>
  </si>
  <si>
    <t>1r</t>
  </si>
  <si>
    <t>St Cloud Loop</t>
  </si>
  <si>
    <t>2307</t>
  </si>
  <si>
    <t>2</t>
  </si>
  <si>
    <t>Annual Totals</t>
  </si>
  <si>
    <t>Rev. Req. Adj For Attachment O</t>
  </si>
  <si>
    <t>Gross Transmission Plant is that identified on page 2 line 2 of Attachment O and includes any sub lines 2a or 2b etc. and is inclusive of any CWIP included in rate base when authorized by FERC order less any prefunded AFUDC, if applicable.</t>
  </si>
  <si>
    <t>Net Transmission Plant is that identified on page 2 line 14 of Attachment O and includes any sub lines 14a or 14b etc. and is inclusive of any CWIP included in rate base when authorized by FERC order less any prefunded AFUDC, if applicable.</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</si>
  <si>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</si>
  <si>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Project Net Plant is the Project Gross Plant Identified in Column 3 less the associated Accumulated Depreciation.</t>
  </si>
  <si>
    <t>Project Depreciation Expense is the actual value booked for the project and included in the Depreciation Expense in Attachment O page 3 line 12.</t>
  </si>
  <si>
    <t>True-Up Adjustment is included pursuant to a FERC approved methodology, if applicable.</t>
  </si>
  <si>
    <t>The Network Upgrade Charge is the value to be used in Schedules 26, 37 and 38.</t>
  </si>
  <si>
    <t>The Total General and Common Depreciation Expense excludes any depreciation expense directly associated with a project and thereby included in page 2 column 9.</t>
  </si>
  <si>
    <t>Attachment GG - Supporting Data for Network Upgrade Charge Calculation - Forward Looking Rate Transmission Owner</t>
  </si>
  <si>
    <t xml:space="preserve">Rate Year </t>
  </si>
  <si>
    <t>Reporting Company</t>
  </si>
  <si>
    <t>Reliability</t>
  </si>
  <si>
    <t>MTEP Project ID</t>
  </si>
  <si>
    <t>3775</t>
  </si>
  <si>
    <t>GIP</t>
  </si>
  <si>
    <t>Pricing Zone</t>
  </si>
  <si>
    <t>Allocation Type Per Attachment FF</t>
  </si>
  <si>
    <t>Column (3)</t>
  </si>
  <si>
    <t>Depreciation</t>
  </si>
  <si>
    <t>Net Plant</t>
  </si>
  <si>
    <t>Column (6)</t>
  </si>
  <si>
    <t>Depreciation Expense</t>
  </si>
  <si>
    <t>Column (9)</t>
  </si>
  <si>
    <t>Project Amortization Expense</t>
  </si>
  <si>
    <t>Depreciation Expense Total</t>
  </si>
  <si>
    <t>Attachment GG - Description of Facilities Included in Network Upgrade Charge</t>
  </si>
  <si>
    <t>Facility ID</t>
  </si>
  <si>
    <t>Record Date</t>
  </si>
  <si>
    <t>Description of Facilities Included in Network Upgrade Charge as of Record Date</t>
  </si>
  <si>
    <t>New sub with transformer relocated from Cannon Falls substation. Facility #2277</t>
  </si>
  <si>
    <t>Build in and out of the Colvill generating station from Cannon Falls - Empire 115 kV line. Facility #2280</t>
  </si>
  <si>
    <t>Build in and out of the Covill generating station from Cannon Falls - Spring Creek line/ Facility #2281</t>
  </si>
  <si>
    <t>A new 120 MVA, 118-36.2 kV transformer, a 115 kV breaker, switches, and 34.5 kV breakers and switches and all other associated equipment. Facilicy #2491</t>
  </si>
  <si>
    <t>New 115 kV line plus permitting and ROW. Facilicty # 2303</t>
  </si>
  <si>
    <t>Substation upgrades. Facility # 2550</t>
  </si>
  <si>
    <t>Substation upgrades Facility # 2552</t>
  </si>
  <si>
    <t>345 kV substation upgrades. Facility # 2565</t>
  </si>
  <si>
    <t>Reconductor St. Cloud - Sauk River 115 kV line to 795 ACSS. Facility # 3834</t>
  </si>
  <si>
    <t>Add a new 230 kV line between Boswell and Wilton with a Cass Lake 230/115 kV Tap approximately 18 miles from Wilton. Facility # 1098</t>
  </si>
  <si>
    <t>Add a new 345 kV line from Alexandria Switching Station to Waite Park and terminal works. Facility # 1104</t>
  </si>
  <si>
    <t>Add a new 345 kV line from Maple River to Alexandria Switching Station substation and terminal works. Facility # 1105</t>
  </si>
  <si>
    <t>New transformer and terminal works. Facility # 2641</t>
  </si>
  <si>
    <t>New transformer and terminal works. Facility # 1675</t>
  </si>
  <si>
    <t>New transformer and terminal works. Facility # 1676</t>
  </si>
  <si>
    <t>New line and termial works. Facility # 1677</t>
  </si>
  <si>
    <t>New line and termial works. Facility # 2647</t>
  </si>
  <si>
    <t>New 115 kV line plus permitting and ROW. Facility # 2299</t>
  </si>
  <si>
    <t>Substation upgrades (new 115/34.5 transformer, 8-115 kV CB, 4 -34.5 kV CB). Facility # 2553</t>
  </si>
  <si>
    <t>Substation upgrades (new 345/115 transformer,  3-115 kV CB, associated equip). Facility # 2554</t>
  </si>
  <si>
    <t>Substation upgrades 4-345 kV CB. Facility # 2566</t>
  </si>
  <si>
    <t>New 4.5 MW wind interconnection. Facility # 4792</t>
  </si>
  <si>
    <t>Interconnect existing hydro generators at Flambeau Hydro Paper Mill to Xcel's 34.5 kV system, requires switch poles and gang operated air break switch. Facility #2825</t>
  </si>
  <si>
    <t>A 69 kV switch structure (3-steel poles) on line 0716 with a 3-way manually operated disconnect switch and a 400' two-span tap transmission line to the customer’s proposed substation. Facility #2851</t>
  </si>
  <si>
    <t>new 161 kV line from PV to Byron. Facility # 4021</t>
  </si>
  <si>
    <t>Build 18 miles 115 kV line from Glencoe - West Waconia. Facility # 2114</t>
  </si>
  <si>
    <t>Replace 345kV Breakers 8S23&amp; 8S25 with 3000 Amp Gas Breakers Amp Gas Breakers</t>
  </si>
  <si>
    <t>upgrade existing 115 kV line to higher capacity</t>
  </si>
  <si>
    <t>Build 2nd Goose Lake - Kohlman Lake circuit by rebuilding the existing line to double circuit.</t>
  </si>
  <si>
    <t>Install breakers to accommodate 2nd line to Kohlman Lake</t>
  </si>
  <si>
    <t>Install breakers to accommodate 2nd line to Goose Lake</t>
  </si>
  <si>
    <t>A double circuit 161/69 kV line will be constructed between Couderay and Osprey.  All existing 69 kV subs will remain on the 69 kV circuit.  The 161 kV conductor is proposed as 795 ACSS and the 69 kV conductor is proposed as 477 acsr, Radisson sub work</t>
  </si>
  <si>
    <t>A 161/115 kV transformer will be added at Osprey and a termiation in the current 115 kV yard</t>
  </si>
  <si>
    <t>Attachment MM - Generic Company</t>
  </si>
  <si>
    <t>(inputs from Attachment O are rounded to whole dollars)</t>
  </si>
  <si>
    <t>Line 1 minus Line 1a (Note B)</t>
  </si>
  <si>
    <t>O&amp;M TRANSMISSION EXPENSE</t>
  </si>
  <si>
    <t>3a</t>
  </si>
  <si>
    <t>Transmission O&amp;M</t>
  </si>
  <si>
    <t>Attach O, p 3, line 1 col 5</t>
  </si>
  <si>
    <t>3b</t>
  </si>
  <si>
    <t>Less: LSE Expenses included in above, if any</t>
  </si>
  <si>
    <t>Attach O, p 3, line 1a col 5, if any</t>
  </si>
  <si>
    <t>3c</t>
  </si>
  <si>
    <t>Less: Account 565 included in above, if any</t>
  </si>
  <si>
    <t>Attach O, p 3, line 2 col 5, if any</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</si>
  <si>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</si>
  <si>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</si>
  <si>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</si>
  <si>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</si>
  <si>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</si>
  <si>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</si>
  <si>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</si>
  <si>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</si>
  <si>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</si>
  <si>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</si>
  <si>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</si>
  <si>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</si>
  <si>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Annual Allocation Factor for Other Expense</t>
  </si>
  <si>
    <t>Sum of line 4b, 6, and 8</t>
  </si>
  <si>
    <t>Multi-Value Project (MVP) Revenue Requirement Calculation</t>
  </si>
  <si>
    <t>(6)</t>
  </si>
  <si>
    <t>(7)</t>
  </si>
  <si>
    <t>(8)</t>
  </si>
  <si>
    <t>(9)</t>
  </si>
  <si>
    <t>(10)</t>
  </si>
  <si>
    <t>(11)</t>
  </si>
  <si>
    <t>(12)</t>
  </si>
  <si>
    <t>(13)</t>
  </si>
  <si>
    <t>(14)</t>
  </si>
  <si>
    <t>(15)</t>
  </si>
  <si>
    <t>(16)</t>
  </si>
  <si>
    <t>Project Gross Plant</t>
  </si>
  <si>
    <t>Project Accumulated Depreciation</t>
  </si>
  <si>
    <t>Transmission O&amp;M Annual Allocation Factor</t>
  </si>
  <si>
    <t>Annual Allocation for Transmission O&amp;M Expense</t>
  </si>
  <si>
    <t>Other Expense Annual Allocation Factor</t>
  </si>
  <si>
    <t>Annual Allocation for Other Expense</t>
  </si>
  <si>
    <t>MVP Annual Adjusted Revenue Requirement</t>
  </si>
  <si>
    <t>Page 1 line 4</t>
  </si>
  <si>
    <t>(Col 4 * Col 5)</t>
  </si>
  <si>
    <t>Page 1 line 9</t>
  </si>
  <si>
    <t>(Col 3 * Col 7)</t>
  </si>
  <si>
    <t>(Col 6 + Col 8)</t>
  </si>
  <si>
    <t>(Col 3 - Col 4)</t>
  </si>
  <si>
    <t>(Col 10 * Col 11)</t>
  </si>
  <si>
    <t>(Sum Col. 9, 12 &amp; 13)</t>
  </si>
  <si>
    <t>Sum Col. 14 &amp; 15
(Note G)</t>
  </si>
  <si>
    <t>Multi-Value Projects (MVP)</t>
  </si>
  <si>
    <t>MVP Total Annual Revenue Requirements</t>
  </si>
  <si>
    <r>
      <t>Net Transmission Plant is that identified on page 2 line 14 of Attachment O and includes any sub lines 14a or 14b etc. and is inclusive of any CWIP included in rate base when authorized by FERC order</t>
    </r>
    <r>
      <rPr>
        <sz val="12"/>
        <rFont val="Arial"/>
        <family val="2"/>
      </rPr>
      <t>.</t>
    </r>
  </si>
  <si>
    <t xml:space="preserve">Project Gross Plant is the total capital investment for the project calculated in the same method as the gross plant value in line 1 and includes CWIP in rate base when authorized by FERC order less any prefunded AFUDC, if applicable. </t>
  </si>
  <si>
    <t xml:space="preserve"> This value includes subsequent capital investments required to maintain the facilities to their original capabilities.</t>
  </si>
  <si>
    <t>Note deliberately left blank.</t>
  </si>
  <si>
    <t>The MVP Annual Revenue Requirement is the value to be used in Schedules 26-A and 39.</t>
  </si>
  <si>
    <t>The Total General and Common Depreciation Expense excludes any depreciation expense directly associated with a project and thereby included in page 2 column 13.</t>
  </si>
  <si>
    <t>Attachment MM - Supporting Data for Network Upgrade Charge Calculation - Forward Looking Rate Transmission Owner</t>
  </si>
  <si>
    <t>Column (4)</t>
  </si>
  <si>
    <t>Column (10)</t>
  </si>
  <si>
    <t>Column (13)</t>
  </si>
  <si>
    <t>Attachment MM - Description of Facilities Included in Network Upgrade Charge</t>
  </si>
  <si>
    <t>Upgrade 47 MVA to 70 MVA</t>
  </si>
  <si>
    <t>Upgrade to 2-795 ACSR</t>
  </si>
  <si>
    <t>Upgrade to 477 ACSR</t>
  </si>
  <si>
    <t>Structures</t>
  </si>
  <si>
    <t>Preferred Stock</t>
  </si>
  <si>
    <t>Overhead Lines</t>
  </si>
  <si>
    <t>Rents</t>
  </si>
  <si>
    <t>Underground Lines</t>
  </si>
  <si>
    <t>Working Capital</t>
  </si>
  <si>
    <t xml:space="preserve">     TRANSMISSION EXPENSES</t>
  </si>
  <si>
    <t>Plant Related</t>
  </si>
  <si>
    <t>Northern States Power Company</t>
  </si>
  <si>
    <t>Total Northern States Power Company</t>
  </si>
  <si>
    <t>Common</t>
  </si>
  <si>
    <t>Northern States Power Company-MN</t>
  </si>
  <si>
    <t>Northern States Power Company - WI</t>
  </si>
  <si>
    <t>Accumulated Depreciation and Amorization</t>
  </si>
  <si>
    <t>Accumulated</t>
  </si>
  <si>
    <t>Adjustments to Rate Base</t>
  </si>
  <si>
    <t>Accumulated Deferred Income Taxes</t>
  </si>
  <si>
    <t>Other Rate Base Adjustments</t>
  </si>
  <si>
    <t>to Rate Base</t>
  </si>
  <si>
    <t>Unamortized</t>
  </si>
  <si>
    <t>Abandon Plant</t>
  </si>
  <si>
    <t>Account 253</t>
  </si>
  <si>
    <t>Pre-Funded AFUDC</t>
  </si>
  <si>
    <t>Land Held for Future Use - Transmission Only</t>
  </si>
  <si>
    <t>Materials &amp;</t>
  </si>
  <si>
    <t>Supplies</t>
  </si>
  <si>
    <t>Account 165</t>
  </si>
  <si>
    <t>Less:  SFAS 106 Deferred Taxes</t>
  </si>
  <si>
    <t>Less:  SFAS 109 Deferred Taxes</t>
  </si>
  <si>
    <t>NSP-MN</t>
  </si>
  <si>
    <t>NSP-WI</t>
  </si>
  <si>
    <t>NSP</t>
  </si>
  <si>
    <t>561.0</t>
  </si>
  <si>
    <t>561.1</t>
  </si>
  <si>
    <t>561.2</t>
  </si>
  <si>
    <t>561.3</t>
  </si>
  <si>
    <t>561.5</t>
  </si>
  <si>
    <t>561.6</t>
  </si>
  <si>
    <t>561.8</t>
  </si>
  <si>
    <t>Load Dispatching - Reliability</t>
  </si>
  <si>
    <t>Load Dispatching - Monitor &amp; Operate Transmission System</t>
  </si>
  <si>
    <t>Load Dispatching - Transmission Service &amp; Scheduling</t>
  </si>
  <si>
    <t>Scheduling, System Control &amp; Dispatch Services</t>
  </si>
  <si>
    <t>561.4</t>
  </si>
  <si>
    <t>Reliability, Planning and Standards Development</t>
  </si>
  <si>
    <t>Transmission Service Studies</t>
  </si>
  <si>
    <t>Generation Interconnection Studies</t>
  </si>
  <si>
    <t>Reliability, Planning &amp; Standards Development Services</t>
  </si>
  <si>
    <t>564</t>
  </si>
  <si>
    <t>Underground Lines Expense</t>
  </si>
  <si>
    <t>569.1</t>
  </si>
  <si>
    <t>Computer Hardware</t>
  </si>
  <si>
    <t>569.2</t>
  </si>
  <si>
    <t>569.3</t>
  </si>
  <si>
    <t>569.4</t>
  </si>
  <si>
    <t>Miscellaneous Regional Transmission Plant</t>
  </si>
  <si>
    <t>Less:  Load Serving Entity Expenses Incl. In Transmission O&amp;M</t>
  </si>
  <si>
    <t>Less:  Account 565 - Transmission of Electricity by Others</t>
  </si>
  <si>
    <t xml:space="preserve">          TOTAL NET TRANSMISSION EXPENSE</t>
  </si>
  <si>
    <t xml:space="preserve">           Account 561.4 - Scheduling, system Control &amp; Dispatch</t>
  </si>
  <si>
    <t xml:space="preserve">           Account 561.8 - Reliability, Planning &amp; Standards Dev</t>
  </si>
  <si>
    <t>Regulatory Commission Expenses -  Retail Related</t>
  </si>
  <si>
    <t>Regulatory Commission Expenses -  Transmission Related</t>
  </si>
  <si>
    <t>General Advertising Expenses</t>
  </si>
  <si>
    <t>Miscellaneous General Expense - Other</t>
  </si>
  <si>
    <t xml:space="preserve">          NET ADMINISTRATIVE AND GENERAL EXPENSE</t>
  </si>
  <si>
    <t>Total Northern States Power</t>
  </si>
  <si>
    <t>Amortization Exp</t>
  </si>
  <si>
    <t>Abandon</t>
  </si>
  <si>
    <t>Plant Amort.</t>
  </si>
  <si>
    <t>Payroll Taxes</t>
  </si>
  <si>
    <t>Highway and Vehicle</t>
  </si>
  <si>
    <t>Property Taxes</t>
  </si>
  <si>
    <t>Payments in Lieu of Taxes</t>
  </si>
  <si>
    <t>Taxes Other Than Income Taxes and Investment Tax Credit</t>
  </si>
  <si>
    <t>Investment Tax Credit Amortized</t>
  </si>
  <si>
    <t>Supporting Calculations for Allocation Factors</t>
  </si>
  <si>
    <t>Transmission Expenses included in OATT Ancillary Services</t>
  </si>
  <si>
    <t xml:space="preserve">     Account 561.1 - Load Dispatch-Reliability</t>
  </si>
  <si>
    <t xml:space="preserve">     Account 561.2 - Load Dispatch-Monitor &amp; Operate Transmission System</t>
  </si>
  <si>
    <t xml:space="preserve">     Account 561.3 - Load Dispatch-Transmission Service &amp; Scheduling</t>
  </si>
  <si>
    <t>Total Transmission Expenses included in OATT Ancillary Services</t>
  </si>
  <si>
    <t>Total Wages &amp; Salaries</t>
  </si>
  <si>
    <t>Water</t>
  </si>
  <si>
    <t>Total Plant</t>
  </si>
  <si>
    <t>Long-Term Debt</t>
  </si>
  <si>
    <t>Long-Term Debt Balance</t>
  </si>
  <si>
    <t>Long-Term Debt Interest</t>
  </si>
  <si>
    <t>Cost of Long-Term Debt</t>
  </si>
  <si>
    <t>Proprietary Capital</t>
  </si>
  <si>
    <t>Less:  Preferred Stock</t>
  </si>
  <si>
    <t>Less:  Account 216.1 - Unappropriated Undistribution Subs Earnings</t>
  </si>
  <si>
    <t>Total Common Stock</t>
  </si>
  <si>
    <t>Capital Structure</t>
  </si>
  <si>
    <t>Common Stock</t>
  </si>
  <si>
    <t>TOTAL</t>
  </si>
  <si>
    <t>Gas</t>
  </si>
  <si>
    <t>Computer Software</t>
  </si>
  <si>
    <t>Miscellaneous Transmission Expenses</t>
  </si>
  <si>
    <t>Miscellaneous Transmission Plant</t>
  </si>
  <si>
    <t>Item II.F. Number</t>
  </si>
  <si>
    <t>Information Required by Tariff Protocol</t>
  </si>
  <si>
    <t>Compliance Information or Reference</t>
  </si>
  <si>
    <t>1.</t>
  </si>
  <si>
    <t>Include a workable data-populated Formula Rate Template and underlying work papers in native format with all formulas and links intact;</t>
  </si>
  <si>
    <t>2.</t>
  </si>
  <si>
    <t>Provide the formula rate calculations and all inputs thereto, as well as supporting documentation and workpapers for data that are used in the projected net revenue requirement;</t>
  </si>
  <si>
    <t>3.</t>
  </si>
  <si>
    <t>Provide sufficient information to enable Interested Parties (as that term is defined in Section II.G. of these protocols) to replicate the calculation of the projected net revenue requirement;</t>
  </si>
  <si>
    <t>With respect to any change in accounting that affects inputs to the formula rate or the resulting charges billed under the formula rate (“Accounting Change”):</t>
  </si>
  <si>
    <t>4. a.</t>
  </si>
  <si>
    <t>Identify any Accounting Changes, including</t>
  </si>
  <si>
    <t>4. a. i.</t>
  </si>
  <si>
    <t>The initial implementation of an accounting standard or policy;</t>
  </si>
  <si>
    <t>4. a. ii.</t>
  </si>
  <si>
    <t>the initial implementation of accounting practices for unusual or unconventional items where FERC has not provided specific accounting direction;</t>
  </si>
  <si>
    <t>4. a. iii.</t>
  </si>
  <si>
    <t>correction of errors and prior period adjustments that impact the projected net revenue calculation;</t>
  </si>
  <si>
    <t>4. a. iv.</t>
  </si>
  <si>
    <t>the implementation of new estimation methods or policies that change prior estimates; and</t>
  </si>
  <si>
    <t>4. a.v.</t>
  </si>
  <si>
    <t>changes to income tax elections;</t>
  </si>
  <si>
    <t>4. b.</t>
  </si>
  <si>
    <t>Identify items included in the projected net revenue requirement at an amount other than on a historic cost basis (e.g., fair value adjustments);</t>
  </si>
  <si>
    <t>4. c.</t>
  </si>
  <si>
    <t>Identify any reorganization or merger transaction during the previous year and explain the effect of the accounting for such transaction(s) on inputs to the projected net revenue requirement;</t>
  </si>
  <si>
    <t>No reorganization or merger transaction took place during the previous year.</t>
  </si>
  <si>
    <t>4. d.</t>
  </si>
  <si>
    <t>Provide, for each item identified pursuant to items II.F.4.a - II.F.4.c of these protocols, a narrative explanation of the individual impact of such changes on the projected net revenue requirement.</t>
  </si>
  <si>
    <t xml:space="preserve">Add Back Prefunded </t>
  </si>
  <si>
    <t>Gross GG &amp; MM PIS</t>
  </si>
  <si>
    <t>January 2016</t>
  </si>
  <si>
    <t>December 2016</t>
  </si>
  <si>
    <t>Attachment GG Actual Revenue Requirement 2016</t>
  </si>
  <si>
    <t>Attachment MM Actual Revenue Requirement 2016</t>
  </si>
  <si>
    <t>new transformer</t>
  </si>
  <si>
    <t>new line</t>
  </si>
  <si>
    <t>Gross</t>
  </si>
  <si>
    <t>Prefunded</t>
  </si>
  <si>
    <t>Net</t>
  </si>
  <si>
    <t>Brookings</t>
  </si>
  <si>
    <t xml:space="preserve">Gross Prefunded </t>
  </si>
  <si>
    <t>Reserve</t>
  </si>
  <si>
    <t>Attachment O TP Multiplier</t>
  </si>
  <si>
    <t>Gross Prefunded (For Attachment GG &amp; MM Line 1)</t>
  </si>
  <si>
    <t>Net Prefunded on Attachment O, Page 2, Line 23a, Col 5</t>
  </si>
  <si>
    <t>Transmission Accumulated Depreciation that is identified on page 2 line 8 of Attachment O less any amortized prefunded AFUDC balance, if applicable.</t>
  </si>
  <si>
    <t>Project Accumulated Depreciation for the project is calculated in the same method as the Transmission Accumulated Depreciation value in line 1a.</t>
  </si>
  <si>
    <t>Budgeted 12 Months Ended December 31, 2017</t>
  </si>
  <si>
    <t>January 2017</t>
  </si>
  <si>
    <t>December 2017</t>
  </si>
  <si>
    <t>13Mo &amp; BOY/EOY Average</t>
  </si>
  <si>
    <t xml:space="preserve">NSP Wi 2015 FF1 </t>
  </si>
  <si>
    <t>1st Qtr 2016</t>
  </si>
  <si>
    <t>2nd Qtr 2016</t>
  </si>
  <si>
    <t>3rd Qtr 2016</t>
  </si>
  <si>
    <t>4th Qtr 2016</t>
  </si>
  <si>
    <t>Revenue Credits</t>
  </si>
  <si>
    <t>Attachment GG</t>
  </si>
  <si>
    <t>9523</t>
  </si>
  <si>
    <t>4140001</t>
  </si>
  <si>
    <t>700000000144</t>
  </si>
  <si>
    <t>SAP</t>
  </si>
  <si>
    <t>I/O</t>
  </si>
  <si>
    <t>700000000145</t>
  </si>
  <si>
    <t>4140051</t>
  </si>
  <si>
    <t>700000000146</t>
  </si>
  <si>
    <t xml:space="preserve">        PTP Firm - Tsmn RTO</t>
  </si>
  <si>
    <t xml:space="preserve">        PTP Non-Frim - Tsmn RT</t>
  </si>
  <si>
    <t xml:space="preserve">        Network - Tsmn RTO</t>
  </si>
  <si>
    <t xml:space="preserve">        Joint Pricing Zone - GRE</t>
  </si>
  <si>
    <t xml:space="preserve">        Joint Pricing Zone - SMMPA</t>
  </si>
  <si>
    <t xml:space="preserve">        Joint Pricing Zone - MRES</t>
  </si>
  <si>
    <t>700000000148</t>
  </si>
  <si>
    <t xml:space="preserve">        Contracts-SD State Pen</t>
  </si>
  <si>
    <t xml:space="preserve">        Contracts-WPPI Meter S</t>
  </si>
  <si>
    <t>4140101</t>
  </si>
  <si>
    <t>700000000170</t>
  </si>
  <si>
    <t>700000000171</t>
  </si>
  <si>
    <t xml:space="preserve">        Contracts-UND</t>
  </si>
  <si>
    <t xml:space="preserve">        Contracts-Granite Fall</t>
  </si>
  <si>
    <t xml:space="preserve">        Contracts-E Grand Fork</t>
  </si>
  <si>
    <t xml:space="preserve">        Contracts-Sioux Falls</t>
  </si>
  <si>
    <t>700000000173</t>
  </si>
  <si>
    <t>700000000174</t>
  </si>
  <si>
    <t>700000000175</t>
  </si>
  <si>
    <t>700000000775</t>
  </si>
  <si>
    <t>Revenue for Load in Divisor</t>
  </si>
  <si>
    <t xml:space="preserve">        Sch 1. - Tsmn RTO</t>
  </si>
  <si>
    <t xml:space="preserve">        Sch 2 - Reactive Supply</t>
  </si>
  <si>
    <t xml:space="preserve">        Sch 24 - Bal Auth</t>
  </si>
  <si>
    <t>4140201</t>
  </si>
  <si>
    <t>700000000156</t>
  </si>
  <si>
    <t>4140211</t>
  </si>
  <si>
    <t>700000000160</t>
  </si>
  <si>
    <t>4140251</t>
  </si>
  <si>
    <t>700000000163</t>
  </si>
  <si>
    <t xml:space="preserve">        Sch 26a-MVP NSP 1203</t>
  </si>
  <si>
    <t xml:space="preserve">        Sch 26 Trans Exp Plan</t>
  </si>
  <si>
    <t xml:space="preserve">        Sch 37 Trans Exp Plan</t>
  </si>
  <si>
    <t xml:space="preserve">        Sch 38 Trans Exp Plan</t>
  </si>
  <si>
    <t>4140351</t>
  </si>
  <si>
    <t>700000000165</t>
  </si>
  <si>
    <t>700000000168</t>
  </si>
  <si>
    <t>700000000166</t>
  </si>
  <si>
    <t>700000000167</t>
  </si>
  <si>
    <t>Total per above</t>
  </si>
  <si>
    <t xml:space="preserve">   Less: 26 &amp; 26A</t>
  </si>
  <si>
    <t xml:space="preserve">   Add: Tran Acct 26</t>
  </si>
  <si>
    <t xml:space="preserve">   Add:Tran Acct 26a</t>
  </si>
  <si>
    <t>Open Line</t>
  </si>
  <si>
    <t>Sch 26 &amp; 26A</t>
  </si>
  <si>
    <t>Attach O, p 2, line 8 col 5 (Note J)</t>
  </si>
  <si>
    <t>Transmission Accumulated Depreciation</t>
  </si>
  <si>
    <t>Gross Transmission Plant is that identified on page 2 line 2 of Attachment O and includes any sub lines 2a or 2b etc. and is inclusive of any CWIP included in rate base when authorized by FERC order less any prefunded AFUDC associated with gross plant and CWIP, if applicable. References to Attachment O "Column 5" throughout this template is an illustrative column designation intended to reference the appropriate right-most column in Attachment O which position may vary by company.</t>
  </si>
  <si>
    <t>Project Depreciation Expense is the actual value booked for the project and included in the Depreciation Expense in Attachment O page 3 line 12, less any prefunded AFUDC amortization, if applicable, related to the project.</t>
  </si>
  <si>
    <t>historic 2015 FF1 M&amp;S and Prepayments</t>
  </si>
  <si>
    <t>New 345 kV breaker station named Crandal required as part of the G826 generator interconnection. The new Crandal substation will tap the existing Lakefield Generation to Fieldon 345 kV line.</t>
  </si>
  <si>
    <t>Federal &amp; State Composite Rate</t>
  </si>
  <si>
    <t>Fed Rate</t>
  </si>
  <si>
    <t>Check</t>
  </si>
  <si>
    <t>.35-(.35x+x)</t>
  </si>
  <si>
    <t>.35+.65x</t>
  </si>
  <si>
    <t>-.35+.35+.65x</t>
  </si>
  <si>
    <t>0.65x</t>
  </si>
  <si>
    <t>0.65x/.65</t>
  </si>
  <si>
    <t>x</t>
  </si>
  <si>
    <t>SIT Composite</t>
  </si>
  <si>
    <t>To footnote K</t>
  </si>
  <si>
    <t>COMPOSITE TAX RATE RECAP</t>
  </si>
  <si>
    <t>Tax Rate Workpaper</t>
  </si>
  <si>
    <t>Balance by Project</t>
  </si>
  <si>
    <t>CAPX 2020 Brookings</t>
  </si>
  <si>
    <t>CAPX 2020-Bemidji</t>
  </si>
  <si>
    <t>CAPX 2020 Fargo</t>
  </si>
  <si>
    <t>CAPX 2020 La Crosse</t>
  </si>
  <si>
    <t>CAPX 2020 La Crosse Local</t>
  </si>
  <si>
    <t>Chisago Apple River</t>
  </si>
  <si>
    <t>Transmission-Related Rent</t>
  </si>
  <si>
    <t>Total RQ Load</t>
  </si>
  <si>
    <t>Network Load</t>
  </si>
  <si>
    <t>GRE</t>
  </si>
  <si>
    <t>SMMPA</t>
  </si>
  <si>
    <t>MRES</t>
  </si>
  <si>
    <t>C = A+B</t>
  </si>
  <si>
    <t>Total Network</t>
  </si>
  <si>
    <t>H= D+E+F+G</t>
  </si>
  <si>
    <t>I = C+H</t>
  </si>
  <si>
    <t>GIP 826 Crandal</t>
  </si>
  <si>
    <t>Gross In Service</t>
  </si>
  <si>
    <t>Attachment GG and MM Project Spend</t>
  </si>
  <si>
    <t xml:space="preserve">ROE Determination </t>
  </si>
  <si>
    <t>ROE per EL14-12, Effective 9-28-2016</t>
  </si>
  <si>
    <t>RTO Adder per ER15-358, Effective January 6, 2015</t>
  </si>
  <si>
    <t>NSP Companies 2018 Projected Net Revenue Requirement Compliance Matrix</t>
  </si>
  <si>
    <t>See NSP Companies Attachment O, GG and MM Effective Jan 1 2018 and Supporting Work Papers tabs</t>
  </si>
  <si>
    <t xml:space="preserve">See Items Identified below. The 2018 revenue requirements are based upon budgeted cost projections. Accounting changes, if any, implemented during 2018 could impact the actual results.  </t>
  </si>
  <si>
    <t>None at the time of the 2018 Rate Calculation</t>
  </si>
  <si>
    <t>NSP files using a future test period. Therefore cost information included in the calculation of the projected net revenue requirement is based on budgeted cost information for 2018.</t>
  </si>
  <si>
    <t xml:space="preserve">The 2018 revenue requirements are based upon budgeted cost projections. Accounting changes, if any, implemented during 2018 could impact the actual results.  </t>
  </si>
  <si>
    <t>For  the 12 months ended 12/31/2018</t>
  </si>
  <si>
    <t>2018 Workpapers</t>
  </si>
  <si>
    <t>Budgeted 12 Months Ended December 31, 2018</t>
  </si>
  <si>
    <t>January 2018</t>
  </si>
  <si>
    <t>December 2018</t>
  </si>
  <si>
    <t>Total 2018</t>
  </si>
  <si>
    <t>Actual 2016</t>
  </si>
  <si>
    <t>Budget 2016</t>
  </si>
  <si>
    <t>1st Qtr 2017</t>
  </si>
  <si>
    <t>2nd Qtr 2017</t>
  </si>
  <si>
    <t>3rd Qtr 2017</t>
  </si>
  <si>
    <t>4th Qtr 2017</t>
  </si>
  <si>
    <t>Interest form Jan 1, 2016 the Dec 31, 2017</t>
  </si>
  <si>
    <t>August 30, 2017</t>
  </si>
  <si>
    <t>For the 12 months ended 12/31/2018</t>
  </si>
  <si>
    <t xml:space="preserve">         TOTAL O&amp;M And A&amp;G EXPENSE</t>
  </si>
  <si>
    <t xml:space="preserve">NSP Mn 2016 FF1 </t>
  </si>
  <si>
    <t>June 2016</t>
  </si>
  <si>
    <t>June 2017</t>
  </si>
  <si>
    <t>from 2018 GG</t>
  </si>
  <si>
    <t>from 2018 MM</t>
  </si>
  <si>
    <t xml:space="preserve">        Joint Pricing Zone - Sch 2 Reactive Supply</t>
  </si>
  <si>
    <t xml:space="preserve">        Other (Kasota,Shakopee, St James) </t>
  </si>
  <si>
    <r>
      <t xml:space="preserve">     Total Per Tran Acct (</t>
    </r>
    <r>
      <rPr>
        <sz val="8"/>
        <color theme="2" tint="-0.499984740745262"/>
        <rFont val="Arial"/>
        <family val="2"/>
      </rPr>
      <t>2018-22 Revenue Credits V2.xlsx)</t>
    </r>
  </si>
  <si>
    <t>historic 2016 FF1 M&amp;S and Prepayments</t>
  </si>
  <si>
    <t>No Monthly CWIP balances</t>
  </si>
  <si>
    <t>projected for 2018</t>
  </si>
  <si>
    <t>2221</t>
  </si>
  <si>
    <t>3127</t>
  </si>
  <si>
    <t>1B</t>
  </si>
  <si>
    <t>1C</t>
  </si>
  <si>
    <t>Big Stone South to Brookings</t>
  </si>
  <si>
    <t>N LaCrosse-N Madison-Cardinal-Spring Green</t>
  </si>
  <si>
    <t>N LaCrosse-N Madison</t>
  </si>
  <si>
    <t>NSP Companies</t>
  </si>
  <si>
    <t>Rate Year =</t>
  </si>
  <si>
    <t>Proration Used for Projected Revenue Requirement Calculation</t>
  </si>
  <si>
    <t>Proration Used for True-up Revenue Requirement Calculation</t>
  </si>
  <si>
    <t>NSP MN - Account 190</t>
  </si>
  <si>
    <t>Days in Period</t>
  </si>
  <si>
    <t>Averaging with Proration - Projected</t>
  </si>
  <si>
    <t>Averaging Preserving Projected Proration - True-up</t>
  </si>
  <si>
    <t>Month</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</si>
  <si>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</si>
  <si>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</si>
  <si>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</si>
  <si>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</si>
  <si>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</si>
  <si>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</si>
  <si>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</si>
  <si>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Actual Monthly Activity</t>
  </si>
  <si>
    <t>Difference between projected and actual activity</t>
  </si>
  <si>
    <t>Partially prorate actual activity above Monthly projection</t>
  </si>
  <si>
    <t>Partially prorate actual activity below Monthly projection but increases ADIT</t>
  </si>
  <si>
    <t>Partially prorate actual activity below Monthly projection and is a reduction to ADIT</t>
  </si>
  <si>
    <t>Partially prorated actual balance</t>
  </si>
  <si>
    <t>December 31st balance Prorated Items</t>
  </si>
  <si>
    <t>January</t>
  </si>
  <si>
    <t>December</t>
  </si>
  <si>
    <t>Beginning Balance</t>
  </si>
  <si>
    <t>234.8.b</t>
  </si>
  <si>
    <t>Less non Prorated Items</t>
  </si>
  <si>
    <t>Beginning Balance of Prorated items</t>
  </si>
  <si>
    <t>Ending Balance</t>
  </si>
  <si>
    <t>Ending Balance of Prorated items</t>
  </si>
  <si>
    <r>
      <t>Average Balance</t>
    </r>
    <r>
      <rPr>
        <sz val="8"/>
        <color theme="1"/>
        <rFont val="Calibri"/>
        <family val="2"/>
        <scheme val="minor"/>
      </rPr>
      <t xml:space="preserve"> (13Mo Prorate: BOY/EOY Non Prorate)</t>
    </r>
  </si>
  <si>
    <t>Less FASB 106 &amp; 109 Items</t>
  </si>
  <si>
    <t>Attachment O, Footnote F</t>
  </si>
  <si>
    <t>Amount for Attachment O</t>
  </si>
  <si>
    <t>NSP MN - Account 281</t>
  </si>
  <si>
    <t>272.b</t>
  </si>
  <si>
    <t>273.k</t>
  </si>
  <si>
    <t>NSP MN - Account 282</t>
  </si>
  <si>
    <t>Proration Amount       (C / D)</t>
  </si>
  <si>
    <t>274.b</t>
  </si>
  <si>
    <t>275.k</t>
  </si>
  <si>
    <t>NSP MN - Account 283</t>
  </si>
  <si>
    <t>276.b</t>
  </si>
  <si>
    <t>277.k</t>
  </si>
  <si>
    <t>NSP WI - Account 190</t>
  </si>
  <si>
    <t>NSP WI - Account 281</t>
  </si>
  <si>
    <t>NSP WI - Account 282</t>
  </si>
  <si>
    <t>NSP WI - Account 283</t>
  </si>
  <si>
    <t>Projected 2018</t>
  </si>
  <si>
    <t>Year Ended December 31, 2018</t>
  </si>
  <si>
    <t>Less:  SFAS 106 + SFAS 109 Deferred Taxes</t>
  </si>
  <si>
    <t>In Service</t>
  </si>
  <si>
    <t>Dec 2016 Balance</t>
  </si>
  <si>
    <t>AttO</t>
  </si>
  <si>
    <t>Att GG</t>
  </si>
  <si>
    <t>Att MM</t>
  </si>
  <si>
    <t>0.408468-.35</t>
  </si>
  <si>
    <t>0.058468/.65</t>
  </si>
  <si>
    <t>=(1-0.089951)*0.35+0.089951</t>
  </si>
  <si>
    <t>V1.0</t>
  </si>
  <si>
    <t>Baseline submission to MISO</t>
  </si>
  <si>
    <t xml:space="preserve">Updated 2016 Attachment O True-Up </t>
  </si>
  <si>
    <t xml:space="preserve">Updated 2016 Attachment GG True-Up </t>
  </si>
  <si>
    <t xml:space="preserve">Updated 2016 Attachment MM True-Up </t>
  </si>
  <si>
    <t>Single circuit on double circuit towers</t>
  </si>
  <si>
    <t>Termination for Big Stone - Brookings Co 345 kV line and conversion of the existing ring bus to a breaker-and-a-half</t>
  </si>
  <si>
    <t>Construct a Briggs Road - North Madison 345-kV line</t>
  </si>
  <si>
    <t>Construct a North Madison - Cardinal 345-kV line</t>
  </si>
  <si>
    <t>Reconductor with T2-477 HAWK ACSR</t>
  </si>
  <si>
    <t>Terminate North Madison - North LaCrosse 345 kV line into Briggs Road, create 345 kV breaker ring bus, and 50 MVAR of 34.5 kV reactors on the tertiary</t>
  </si>
  <si>
    <t>V2.0</t>
  </si>
  <si>
    <t>Updated the Attachment MM project Gross Plant for MTEP 1203</t>
  </si>
  <si>
    <t>Updated Project Description for MTEP 2221 &amp; MTEP 3127</t>
  </si>
  <si>
    <t>Tabs Updated include:</t>
  </si>
  <si>
    <t xml:space="preserve">     Attachment O</t>
  </si>
  <si>
    <t xml:space="preserve">     Attachment GG</t>
  </si>
  <si>
    <t xml:space="preserve">     Attachment MM</t>
  </si>
  <si>
    <t xml:space="preserve">     Att MM Support Data</t>
  </si>
  <si>
    <t xml:space="preserve">     Attachment MM Proj Description</t>
  </si>
  <si>
    <t xml:space="preserve">     Prior Year True-Up</t>
  </si>
  <si>
    <t xml:space="preserve">     True-Up Interest Calc</t>
  </si>
  <si>
    <t xml:space="preserve">     Attachment GG and MM Proj</t>
  </si>
  <si>
    <t>The impact of this update resulted in a decrease in the 2018 Attachment O Net Revenue Requirements of $5.5M;</t>
  </si>
  <si>
    <t>A decrease in the 2018 Attachment MM MVP Annual Adjusted Revenue Requirement of $691k.</t>
  </si>
  <si>
    <t>A decrease in the 2018 Attachment GG Network Upgrade Charge of $1.05M;</t>
  </si>
  <si>
    <t>V2.1</t>
  </si>
  <si>
    <t>Updated the Attachment O template as approved effective 12/1/17 in Docket ER18-12</t>
  </si>
  <si>
    <t>(Note W1, Note X)</t>
  </si>
  <si>
    <t>(Note W2, Note X)</t>
  </si>
  <si>
    <t>(Note W1)</t>
  </si>
  <si>
    <t>(Note W2</t>
  </si>
  <si>
    <t>The balances in Accounts 190, 281, 282 and 283, as adjusted by any amounts in contra accounts identified as regulatory assets or liabilities related to FASB 106 or 109. Balance of Account 255 is reduced by prior flow</t>
  </si>
  <si>
    <t>throughs and excluded if the utility chose to utilize amortization of tax credits against taxable income as discussed in Note K. Account 281 is not allocated. The calculations of ADIT in the annual true-up calculation</t>
  </si>
  <si>
    <t>will use the 13 month average balances for plant related items and average of beginning-of-year and end-of-year balances for non-plant related items. The calculation of ADIT in the annual projection and Annual True-</t>
  </si>
  <si>
    <t>Up calculations will be performed in accordance with IRS regulation Section 1.167(l)-1(h)(6). Work papers supporting the ADIT calculations will be posted with each Annual True-Up and/or projected net revenue</t>
  </si>
  <si>
    <t>requirement and included in the annual Informational Filing submitted to the Commission. Beginning with the 2017 rate year, the Annual True-Up for a given year will use the same methodology that was used to</t>
  </si>
  <si>
    <t>project that year’s rates. The proration of the Annual True-Up shall apply beginning with the 2017 Annual True-Up.</t>
  </si>
  <si>
    <t>W1</t>
  </si>
  <si>
    <t>W2</t>
  </si>
  <si>
    <t>Page 2, Line 23a includes the net pre-funded AFUDC amount associated with the CWIP projects included in rate base. The net pre-funded AFUDC amount is a total NSP System number (not jurisdictionalized), and is</t>
  </si>
  <si>
    <t>a reduction to rate base. Page 3, Line 9a includes that annual amortization of the pre-funded AFUDC amounts for the total NSP System (also not jurisdictionalized) and is a reduction to standard depreciation.</t>
  </si>
  <si>
    <t>Removes from revenue credits revenues that are distributed pursuant to Schedules associated with Attachment MM of the Midwest ISO Tariff, since the Transmission Owner's Attachment O revenue requirements have</t>
  </si>
  <si>
    <t>already been reduced by the Attachment MM revenue requirements.</t>
  </si>
  <si>
    <t>on Page 111, Line 57 in the Form 1.</t>
  </si>
  <si>
    <t>Commission Expenses directly related to transmission service, ISO filings, or transmission siting itemized at 351.h.</t>
  </si>
  <si>
    <t>revenue requirement in the Rate Formula Template, since they are recovered elsewhere.</t>
  </si>
  <si>
    <t>in more than one state it must attach a work paper showing the name of each state and how the blended or composite SIT was developed. Furthermore, a utility that elected to utilize amortization of tax credits against</t>
  </si>
  <si>
    <t>taxable income, rather than book tax credits to Account No. 255 and reduce rate base, must reduce its income tax expense by the amount of the Amortized Investment Tax Credit (Form 1, 266.8.f) multiplied by (1/1-T)</t>
  </si>
  <si>
    <t>(Page 3, Line 26).</t>
  </si>
  <si>
    <t>generation step-up facilities are those facilities at a generator substation on which there is no through-flow when the generator is shut down.</t>
  </si>
  <si>
    <t>in ROE may be made absent a filing with FERC. A 50 basis point adder for RTO participation may be added to the ROE up to the upper end of the zone of reasonableness established by FERC.</t>
  </si>
  <si>
    <t>whose rates have not been changed to eliminate or mitigate pancaking - the revenues are not included in Line 4, Page 1 nor are the loads included in Line 13, Page 1.</t>
  </si>
  <si>
    <t>integrated transmission facilities. They do not include revenues associated with FERC annual charges, gross receipts taxes, ancillary services, facilities not included in this template (e.g., direct assignment facilities and</t>
  </si>
  <si>
    <t>GSUs) which are not recovered under this Rate Formula Template.</t>
  </si>
  <si>
    <t>The FERC's annual charges for the year assessed the Transmission Owner for service under this tariff.</t>
  </si>
  <si>
    <t>Cash Working Capital assigned to transmission is one-eighth of O&amp;M allocated to transmission at Page 3, Line 8, Column 5. Prepayments are the electric related prepayments booked to Account No. 165 and reported</t>
  </si>
  <si>
    <t>Line 5 - EPRI Annual Membership Dues listed in Form 1 at 353.f, all Regulatory Commission Expenses itemized at 351.h, and non-safety related advertising included in Account 930.1. Line 5a - Regulatory</t>
  </si>
  <si>
    <t>Includes only FICA, unemployment, highway, property, gross receipts, and other assessments charged in the current year. Taxes related to income are excluded. Gross receipts taxes are not included in transmission</t>
  </si>
  <si>
    <t>The currently effective income tax rate, where FIT is the Federal income tax rate; SIT is the State income tax rate, and p = "the percentage of federal income tax deductible for state income taxes." If the utility is taxed</t>
  </si>
  <si>
    <t>Removes dollar amount of transmission expenses included in the OATT ancillary services rates, including Account Nos. 561.1, 561.2, 561.3, and 561.BA.</t>
  </si>
  <si>
    <t>Removes transmission plant determined by Commission order to be state-jurisdictional according to the seven-factor test (until Form 1 balances are adjusted to reflect application of seven-factor test).</t>
  </si>
  <si>
    <t>Removes dollar amount of transmission plant included in the development of OATT ancillary services rates and generation step-up facilities, which are deemed included in OATT ancillary services. For these purposes,</t>
  </si>
  <si>
    <t>Enter dollar amounts.</t>
  </si>
  <si>
    <t>Debt cost rate = long-term interest (Line 21) / long term debt (Line 27). Preferred cost rate = preferred dividends (Line 22) / preferred outstanding (Line 28). ROE will be supported in the original filing and no change</t>
  </si>
  <si>
    <t>Line 33 must equal zero since all short-term power sales must be unbundled and the transmission component reflected in Account No. 456.1 and all other uses are to be included in the divisor.</t>
  </si>
  <si>
    <t>Grandfathered agreements whose rates have been changed to eliminate or mitigate pancaking - the revenues are included in Line 4, Page 1 and the loads are included in Line 13, Page 1. Grandfathered agreements</t>
  </si>
  <si>
    <t>The revenues credited on Page 1, Lines 2-5 shall include only the amounts received directly (in the case of grandfathered agreements) or from the ISO (for service under this tariff) reflecting the Transmission Owner's</t>
  </si>
  <si>
    <t>costs included in transmission depreciation expense. These amounts are shown in the work papers required pursuant to the Annual Rate Calculation and True-Up Procedures. No charges associated with abandoned</t>
  </si>
  <si>
    <t>plant costs will be recovered under this Formula Rate Template until a filing is made under FPA Section 205 seeking to recover such charges and recovery has been approved by FERC under a separate docket.</t>
  </si>
  <si>
    <t>shown in Column 2.</t>
  </si>
  <si>
    <t>already been reduced by the Attachment GG revenue requirements.</t>
  </si>
  <si>
    <t>Calculate using 13 month average balances for plant related and average of beginning of year and end of year for non-plant related adjustments to rate base, reconciling to FERC Form No. 1 by page, line and column as</t>
  </si>
  <si>
    <t>Removes from revenue credits revenues that are distributed pursuant to Schedules associated with Attachment GG of the Midwest ISO Tariff, since the Transmission Owner's Attachment O revenue requirements have</t>
  </si>
  <si>
    <t>Pursuant to Attachment MM of the Midwest ISO Tariff, removes dollar amount of revenue requirements calculated pursuant to Attachment MM..</t>
  </si>
  <si>
    <t>Page 2, Line 23b incudes any unamortized balances related to the recovery of abandoned plant costs. Page 3, Line 9b includes the amortization expense of abandonment</t>
  </si>
  <si>
    <t xml:space="preserve">     Rev Credits</t>
  </si>
  <si>
    <t xml:space="preserve">     Revenue Cr MISO Review</t>
  </si>
  <si>
    <t>The impact of this update resulted in no change to the 2018 Attachment O Net Revenue Requirements;</t>
  </si>
  <si>
    <t>A increase in the 2018 Attachment GG Network Upgrade Charge of $958;</t>
  </si>
  <si>
    <t>No change in the 2018 Attachment MM MVP Annual Adjusted Revenue Requirement.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</si>
</sst>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0.00&quot; $&quot;;\-#,##0.00&quot; $&quot;"/>
    <numFmt numFmtId="167" formatCode="_-* #,##0.0_-;\-* #,##0.0_-;_-* &quot;-&quot;??_-;_-@_-"/>
    <numFmt numFmtId="168" formatCode="m\-d\-yy"/>
    <numFmt numFmtId="169" formatCode="0.0000%"/>
    <numFmt numFmtId="170" formatCode="_(* #,##0_);_(* \(#,##0\);_(* &quot;-&quot;??_);_(@_)"/>
    <numFmt numFmtId="171" formatCode="0.0000"/>
    <numFmt numFmtId="172" formatCode="mmmm\ d\ h:mm\ AM/PM"/>
    <numFmt numFmtId="173" formatCode="#,##0.000"/>
    <numFmt numFmtId="174" formatCode="_(&quot;$&quot;* #,##0_);_(&quot;$&quot;* \(#,##0\);_(&quot;$&quot;* &quot;-&quot;??_);_(@_)"/>
    <numFmt numFmtId="175" formatCode="0.000%"/>
    <numFmt numFmtId="176" formatCode="&quot;$&quot;#,##0"/>
    <numFmt numFmtId="177" formatCode="_(&quot;$&quot;* #,##0.000_);_(&quot;$&quot;* \(#,##0.000\);_(&quot;$&quot;* &quot;-&quot;??_);_(@_)"/>
    <numFmt numFmtId="178" formatCode="&quot;$&quot;#,##0.00"/>
    <numFmt numFmtId="179" formatCode="0.00000"/>
    <numFmt numFmtId="180" formatCode="0.00000%"/>
    <numFmt numFmtId="181" formatCode="0.000000%"/>
    <numFmt numFmtId="182" formatCode="&quot;$&quot;#,##0.000"/>
    <numFmt numFmtId="183" formatCode="#,##0.00000"/>
    <numFmt numFmtId="184" formatCode="#,##0.0"/>
    <numFmt numFmtId="185" formatCode="#,##0.0000"/>
    <numFmt numFmtId="186" formatCode="0_);\(0\)"/>
    <numFmt numFmtId="187" formatCode="m/d/yyyy;@"/>
    <numFmt numFmtId="188" formatCode="_(&quot;$&quot;* #,##0.00_);_(&quot;$&quot;* \(#,##0.00\);_(&quot;$&quot;* &quot;-&quot;_);_(@_)"/>
    <numFmt numFmtId="189" formatCode="m/d/yy;@"/>
    <numFmt numFmtId="190" formatCode="0.000000"/>
    <numFmt numFmtId="191" formatCode="&quot;$&quot;#,##0.0000"/>
    <numFmt numFmtId="192" formatCode="_(* #,##0.00000_);_(* \(#,##0.00000\);_(* &quot;-&quot;??_);_(@_)"/>
    <numFmt numFmtId="193" formatCode="#,##0.0000_);\(#,##0.0000\)"/>
    <numFmt numFmtId="194" formatCode="#,##0.000000_);\(#,##0.000000\)"/>
  </numFmts>
  <fonts count="125">
    <font>
      <sz val="12"/>
      <name val="Arial"/>
    </font>
    <font>
      <sz val="12"/>
      <name val="Arial"/>
      <family val="2"/>
    </font>
    <font>
      <b/>
      <sz val="10"/>
      <name val="Arial"/>
      <family val="2"/>
    </font>
    <font>
      <sz val="11"/>
      <name val="??"/>
      <family val="3"/>
      <charset val="129"/>
    </font>
    <font>
      <sz val="10"/>
      <name val="Arial"/>
      <family val="2"/>
    </font>
    <font>
      <sz val="8"/>
      <name val="Arial"/>
      <family val="2"/>
    </font>
    <font>
      <b/>
      <u/>
      <sz val="11"/>
      <color indexed="37"/>
      <name val="Arial"/>
      <family val="2"/>
    </font>
    <font>
      <sz val="10"/>
      <color indexed="12"/>
      <name val="Arial"/>
      <family val="2"/>
    </font>
    <font>
      <sz val="7"/>
      <name val="Small Fonts"/>
      <family val="2"/>
    </font>
    <font>
      <b/>
      <i/>
      <sz val="16"/>
      <name val="Helv"/>
    </font>
    <font>
      <sz val="12"/>
      <name val="Arial"/>
      <family val="2"/>
    </font>
    <font>
      <sz val="10"/>
      <color indexed="12"/>
      <name val="MS Sans Serif"/>
      <family val="2"/>
    </font>
    <font>
      <b/>
      <sz val="10"/>
      <color indexed="12"/>
      <name val="MS Sans Serif"/>
      <family val="2"/>
    </font>
    <font>
      <sz val="8"/>
      <name val="Arial"/>
      <family val="2"/>
    </font>
    <font>
      <sz val="8"/>
      <color indexed="12"/>
      <name val="Arial"/>
      <family val="2"/>
    </font>
    <font>
      <sz val="12"/>
      <name val="Garamond"/>
      <family val="1"/>
    </font>
    <font>
      <b/>
      <sz val="9"/>
      <name val="Arial"/>
      <family val="2"/>
    </font>
    <font>
      <sz val="9"/>
      <color indexed="8"/>
      <name val="Arial"/>
      <family val="2"/>
    </font>
    <font>
      <b/>
      <sz val="9"/>
      <color indexed="8"/>
      <name val="Arial"/>
      <family val="2"/>
    </font>
    <font>
      <b/>
      <i/>
      <sz val="9"/>
      <color indexed="8"/>
      <name val="Arial"/>
      <family val="2"/>
    </font>
    <font>
      <sz val="9"/>
      <name val="Arial"/>
      <family val="2"/>
    </font>
    <font>
      <sz val="9"/>
      <color indexed="12"/>
      <name val="Arial"/>
      <family val="2"/>
    </font>
    <font>
      <i/>
      <sz val="9"/>
      <color indexed="8"/>
      <name val="Arial"/>
      <family val="2"/>
    </font>
    <font>
      <sz val="9"/>
      <color indexed="9"/>
      <name val="Arial"/>
      <family val="2"/>
    </font>
    <font>
      <sz val="9"/>
      <color indexed="18"/>
      <name val="Arial"/>
      <family val="2"/>
    </font>
    <font>
      <b/>
      <sz val="18"/>
      <name val="Arial"/>
      <family val="2"/>
    </font>
    <font>
      <b/>
      <sz val="12"/>
      <name val="Arial"/>
      <family val="2"/>
    </font>
    <font>
      <sz val="8"/>
      <color indexed="81"/>
      <name val="Tahoma"/>
      <family val="2"/>
    </font>
    <font>
      <b/>
      <sz val="8"/>
      <color indexed="81"/>
      <name val="Tahoma"/>
      <family val="2"/>
    </font>
    <font>
      <b/>
      <sz val="9"/>
      <color indexed="10"/>
      <name val="Arial"/>
      <family val="2"/>
    </font>
    <font>
      <sz val="10"/>
      <color indexed="8"/>
      <name val="Arial"/>
      <family val="2"/>
    </font>
    <font>
      <b/>
      <sz val="10"/>
      <name val="Arial"/>
      <family val="2"/>
    </font>
    <font>
      <sz val="10"/>
      <name val="Arial"/>
      <family val="2"/>
    </font>
    <font>
      <b/>
      <sz val="10"/>
      <color indexed="8"/>
      <name val="Arial"/>
      <family val="2"/>
    </font>
    <font>
      <b/>
      <i/>
      <sz val="10"/>
      <color indexed="8"/>
      <name val="Arial"/>
      <family val="2"/>
    </font>
    <font>
      <sz val="11"/>
      <name val="Times New Roman"/>
      <family val="1"/>
    </font>
    <font>
      <sz val="9"/>
      <name val="Arial"/>
      <family val="2"/>
    </font>
    <font>
      <b/>
      <u/>
      <sz val="10"/>
      <color indexed="8"/>
      <name val="Arial"/>
      <family val="2"/>
    </font>
    <font>
      <i/>
      <sz val="10"/>
      <color indexed="8"/>
      <name val="Arial"/>
      <family val="2"/>
    </font>
    <font>
      <b/>
      <sz val="9"/>
      <color indexed="12"/>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MS Sans Serif"/>
      <family val="2"/>
    </font>
    <font>
      <b/>
      <sz val="18"/>
      <color indexed="56"/>
      <name val="Cambria"/>
      <family val="2"/>
    </font>
    <font>
      <sz val="11"/>
      <color indexed="10"/>
      <name val="Calibri"/>
      <family val="2"/>
    </font>
    <font>
      <b/>
      <sz val="10"/>
      <color indexed="10"/>
      <name val="Arial"/>
      <family val="2"/>
    </font>
    <font>
      <sz val="10"/>
      <color indexed="8"/>
      <name val="Arial"/>
      <family val="2"/>
    </font>
    <font>
      <b/>
      <sz val="8"/>
      <name val="Arial"/>
      <family val="2"/>
    </font>
    <font>
      <u/>
      <sz val="10"/>
      <name val="Arial"/>
      <family val="2"/>
    </font>
    <font>
      <sz val="12"/>
      <name val="Times New Roman"/>
      <family val="1"/>
    </font>
    <font>
      <b/>
      <sz val="12"/>
      <color indexed="10"/>
      <name val="Times New Roman"/>
      <family val="1"/>
    </font>
    <font>
      <sz val="12"/>
      <color indexed="12"/>
      <name val="Times New Roman"/>
      <family val="1"/>
    </font>
    <font>
      <b/>
      <sz val="12"/>
      <name val="Times New Roman"/>
      <family val="1"/>
    </font>
    <font>
      <strike/>
      <sz val="12"/>
      <color indexed="10"/>
      <name val="Times New Roman"/>
      <family val="1"/>
    </font>
    <font>
      <sz val="12"/>
      <color indexed="17"/>
      <name val="Times New Roman"/>
      <family val="1"/>
    </font>
    <font>
      <sz val="12"/>
      <color indexed="9"/>
      <name val="Times New Roman"/>
      <family val="1"/>
    </font>
    <font>
      <strike/>
      <sz val="12"/>
      <name val="Times New Roman"/>
      <family val="1"/>
    </font>
    <font>
      <sz val="12"/>
      <color indexed="10"/>
      <name val="Times New Roman"/>
      <family val="1"/>
    </font>
    <font>
      <u/>
      <sz val="12"/>
      <color indexed="17"/>
      <name val="Times New Roman"/>
      <family val="1"/>
    </font>
    <font>
      <sz val="12"/>
      <color indexed="8"/>
      <name val="Times New Roman"/>
      <family val="1"/>
    </font>
    <font>
      <sz val="12"/>
      <color indexed="17"/>
      <name val="Arial"/>
      <family val="2"/>
    </font>
    <font>
      <i/>
      <sz val="12"/>
      <name val="Arial"/>
      <family val="2"/>
    </font>
    <font>
      <b/>
      <u/>
      <sz val="12"/>
      <name val="Arial"/>
      <family val="2"/>
    </font>
    <font>
      <sz val="12"/>
      <color indexed="10"/>
      <name val="Arial"/>
      <family val="2"/>
    </font>
    <font>
      <b/>
      <sz val="14"/>
      <name val="Arial"/>
      <family val="2"/>
    </font>
    <font>
      <sz val="10"/>
      <name val="Arial Narrow"/>
      <family val="2"/>
    </font>
    <font>
      <b/>
      <sz val="10"/>
      <color indexed="9"/>
      <name val="Arial"/>
      <family val="2"/>
    </font>
    <font>
      <b/>
      <sz val="10"/>
      <color indexed="9"/>
      <name val="Arial MT"/>
    </font>
    <font>
      <sz val="12"/>
      <name val="Arial MT"/>
    </font>
    <font>
      <sz val="10"/>
      <name val="Arial MT"/>
    </font>
    <font>
      <sz val="12"/>
      <color indexed="17"/>
      <name val="Arial MT"/>
    </font>
    <font>
      <b/>
      <sz val="12"/>
      <name val="Arial MT"/>
    </font>
    <font>
      <b/>
      <u/>
      <sz val="12"/>
      <name val="Arial MT"/>
    </font>
    <font>
      <u/>
      <sz val="12"/>
      <name val="Arial"/>
      <family val="2"/>
    </font>
    <font>
      <sz val="12"/>
      <color indexed="10"/>
      <name val="Arial MT"/>
    </font>
    <font>
      <sz val="12"/>
      <color indexed="9"/>
      <name val="Arial MT"/>
    </font>
    <font>
      <b/>
      <sz val="10"/>
      <name val="Arial MT"/>
    </font>
    <font>
      <sz val="10"/>
      <color indexed="9"/>
      <name val="Arial"/>
      <family val="2"/>
    </font>
    <font>
      <sz val="10"/>
      <color indexed="49"/>
      <name val="Arial"/>
      <family val="2"/>
    </font>
    <font>
      <sz val="10"/>
      <color indexed="9"/>
      <name val="Arial"/>
      <family val="2"/>
    </font>
    <font>
      <sz val="12"/>
      <color indexed="8"/>
      <name val="Arial"/>
      <family val="2"/>
    </font>
    <font>
      <sz val="14"/>
      <color indexed="8"/>
      <name val="Arial"/>
      <family val="2"/>
    </font>
    <font>
      <u/>
      <sz val="10"/>
      <color indexed="8"/>
      <name val="Arial"/>
      <family val="2"/>
    </font>
    <font>
      <sz val="24"/>
      <color rgb="FFFF0000"/>
      <name val="Arial"/>
      <family val="2"/>
    </font>
    <font>
      <b/>
      <sz val="9"/>
      <color rgb="FFFF0000"/>
      <name val="Arial"/>
      <family val="2"/>
    </font>
    <font>
      <sz val="8"/>
      <color indexed="8"/>
      <name val="Arial"/>
      <family val="2"/>
    </font>
    <font>
      <u/>
      <sz val="11"/>
      <name val="Times New Roman"/>
      <family val="1"/>
    </font>
    <font>
      <sz val="12"/>
      <color rgb="FFFF0000"/>
      <name val="Times New Roman"/>
      <family val="1"/>
    </font>
    <font>
      <sz val="12"/>
      <color rgb="FFFF0000"/>
      <name val="Arial"/>
      <family val="2"/>
    </font>
    <font>
      <sz val="10"/>
      <color theme="2" tint="-0.499984740745262"/>
      <name val="Arial"/>
      <family val="2"/>
    </font>
    <font>
      <sz val="9"/>
      <color rgb="FFFF0000"/>
      <name val="Arial"/>
      <family val="2"/>
    </font>
    <font>
      <b/>
      <i/>
      <u/>
      <sz val="10"/>
      <name val="Arial"/>
      <family val="2"/>
    </font>
    <font>
      <b/>
      <u/>
      <sz val="10"/>
      <name val="Arial"/>
      <family val="2"/>
    </font>
    <font>
      <sz val="10"/>
      <color indexed="10"/>
      <name val="Arial"/>
      <family val="2"/>
    </font>
    <font>
      <b/>
      <sz val="8"/>
      <color indexed="8"/>
      <name val="Arial"/>
      <family val="2"/>
    </font>
    <font>
      <sz val="12"/>
      <color rgb="FF0070C0"/>
      <name val="Times New Roman"/>
      <family val="1"/>
    </font>
    <font>
      <sz val="12"/>
      <color theme="1"/>
      <name val="Times New Roman"/>
      <family val="1"/>
    </font>
    <font>
      <sz val="11"/>
      <color theme="1"/>
      <name val="Calibri"/>
      <family val="2"/>
      <scheme val="minor"/>
    </font>
    <font>
      <sz val="8"/>
      <color theme="2" tint="-0.499984740745262"/>
      <name val="Arial"/>
      <family val="2"/>
    </font>
    <font>
      <sz val="10"/>
      <color rgb="FFFF0000"/>
      <name val="Arial"/>
      <family val="2"/>
    </font>
    <font>
      <b/>
      <sz val="12"/>
      <color theme="1"/>
      <name val="Calibri"/>
      <family val="2"/>
      <scheme val="minor"/>
    </font>
    <font>
      <sz val="12"/>
      <color theme="1"/>
      <name val="Calibri"/>
      <family val="2"/>
      <scheme val="minor"/>
    </font>
    <font>
      <i/>
      <sz val="12"/>
      <color theme="1"/>
      <name val="Calibri"/>
      <family val="2"/>
      <scheme val="minor"/>
    </font>
    <font>
      <b/>
      <sz val="12"/>
      <color theme="9" tint="-0.499984740745262"/>
      <name val="Calibri"/>
      <family val="2"/>
      <scheme val="minor"/>
    </font>
    <font>
      <sz val="12"/>
      <color theme="9" tint="-0.499984740745262"/>
      <name val="Calibri"/>
      <family val="2"/>
      <scheme val="minor"/>
    </font>
    <font>
      <sz val="8"/>
      <color theme="1"/>
      <name val="Calibri"/>
      <family val="2"/>
      <scheme val="minor"/>
    </font>
    <font>
      <b/>
      <sz val="11"/>
      <color theme="1"/>
      <name val="Calibri"/>
      <family val="2"/>
      <scheme val="minor"/>
    </font>
    <font>
      <sz val="12"/>
      <name val="Calibri"/>
      <family val="2"/>
      <scheme val="minor"/>
    </font>
    <font>
      <b/>
      <sz val="12"/>
      <name val="Calibri"/>
      <family val="2"/>
      <scheme val="minor"/>
    </font>
    <font>
      <sz val="9"/>
      <name val="Calibri"/>
      <family val="2"/>
      <scheme val="minor"/>
    </font>
    <font>
      <sz val="12"/>
      <name val="Cambria"/>
      <family val="1"/>
      <scheme val="major"/>
    </font>
  </fonts>
  <fills count="4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8"/>
        <bgColor indexed="64"/>
      </patternFill>
    </fill>
    <fill>
      <patternFill patternType="solid">
        <fgColor theme="0"/>
        <bgColor indexed="64"/>
      </patternFill>
    </fill>
    <fill>
      <patternFill patternType="solid">
        <fgColor rgb="FFE1FFE1"/>
        <bgColor indexed="64"/>
      </patternFill>
    </fill>
    <fill>
      <patternFill patternType="solid">
        <fgColor rgb="FFFFDDEE"/>
        <bgColor indexed="64"/>
      </patternFill>
    </fill>
    <fill>
      <patternFill patternType="solid">
        <fgColor rgb="FFFFFFD1"/>
        <bgColor indexed="64"/>
      </patternFill>
    </fill>
    <fill>
      <patternFill patternType="solid">
        <fgColor rgb="FFEBFFFF"/>
        <bgColor indexed="64"/>
      </patternFill>
    </fill>
    <fill>
      <patternFill patternType="solid">
        <fgColor rgb="FFCDE6FF"/>
        <bgColor indexed="64"/>
      </patternFill>
    </fill>
    <fill>
      <patternFill patternType="solid">
        <fgColor rgb="FFFFEEDD"/>
        <bgColor indexed="64"/>
      </patternFill>
    </fill>
    <fill>
      <patternFill patternType="solid">
        <fgColor rgb="FFCDF5FF"/>
        <bgColor indexed="64"/>
      </patternFill>
    </fill>
    <fill>
      <patternFill patternType="solid">
        <fgColor rgb="FFFFFF99"/>
        <bgColor indexed="64"/>
      </patternFill>
    </fill>
    <fill>
      <patternFill patternType="solid">
        <fgColor theme="5" tint="0.59999389629810485"/>
        <bgColor indexed="64"/>
      </patternFill>
    </fill>
    <fill>
      <patternFill patternType="solid">
        <fgColor rgb="FFFFFFCC"/>
        <bgColor indexed="64"/>
      </patternFill>
    </fill>
    <fill>
      <patternFill patternType="solid">
        <fgColor indexed="4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8"/>
      </patternFill>
    </fill>
  </fills>
  <borders count="45">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double">
        <color indexed="12"/>
      </left>
      <right style="double">
        <color indexed="12"/>
      </right>
      <top style="double">
        <color indexed="12"/>
      </top>
      <bottom style="dotted">
        <color indexed="12"/>
      </bottom>
      <diagonal/>
    </border>
    <border>
      <left style="thick">
        <color indexed="12"/>
      </left>
      <right style="thick">
        <color indexed="12"/>
      </right>
      <top style="thick">
        <color indexed="12"/>
      </top>
      <bottom/>
      <diagonal/>
    </border>
    <border>
      <left/>
      <right/>
      <top style="thin">
        <color indexed="64"/>
      </top>
      <bottom style="double">
        <color indexed="64"/>
      </bottom>
      <diagonal/>
    </border>
    <border>
      <left/>
      <right/>
      <top/>
      <bottom style="thin">
        <color indexed="8"/>
      </bottom>
      <diagonal/>
    </border>
    <border>
      <left/>
      <right/>
      <top/>
      <bottom style="thin">
        <color indexed="64"/>
      </bottom>
      <diagonal/>
    </border>
    <border>
      <left/>
      <right/>
      <top style="thin">
        <color indexed="64"/>
      </top>
      <bottom/>
      <diagonal/>
    </border>
    <border>
      <left/>
      <right/>
      <top/>
      <bottom style="double">
        <color indexed="64"/>
      </bottom>
      <diagonal/>
    </border>
    <border>
      <left/>
      <right/>
      <top/>
      <bottom style="double">
        <color indexed="8"/>
      </bottom>
      <diagonal/>
    </border>
    <border>
      <left/>
      <right/>
      <top style="double">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style="medium">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22"/>
      </left>
      <right style="thin">
        <color indexed="22"/>
      </right>
      <top/>
      <bottom style="thin">
        <color indexed="22"/>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73">
    <xf numFmtId="0" fontId="0" fillId="0" borderId="0">
      <alignment vertical="top"/>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168" fontId="2" fillId="20" borderId="1">
      <alignment horizontal="center" vertical="center"/>
    </xf>
    <xf numFmtId="0" fontId="43" fillId="3" borderId="0" applyNumberFormat="0" applyBorder="0" applyAlignment="0" applyProtection="0"/>
    <xf numFmtId="0" fontId="44" fillId="21" borderId="2" applyNumberFormat="0" applyAlignment="0" applyProtection="0"/>
    <xf numFmtId="0" fontId="45" fillId="22" borderId="3" applyNumberFormat="0" applyAlignment="0" applyProtection="0"/>
    <xf numFmtId="43" fontId="1"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6" fontId="3" fillId="0" borderId="0">
      <protection locked="0"/>
    </xf>
    <xf numFmtId="0" fontId="47" fillId="0" borderId="0" applyNumberFormat="0" applyFill="0" applyBorder="0" applyAlignment="0" applyProtection="0"/>
    <xf numFmtId="167" fontId="4" fillId="0" borderId="0">
      <protection locked="0"/>
    </xf>
    <xf numFmtId="0" fontId="48" fillId="4" borderId="0" applyNumberFormat="0" applyBorder="0" applyAlignment="0" applyProtection="0"/>
    <xf numFmtId="38" fontId="5" fillId="23" borderId="0" applyNumberFormat="0" applyBorder="0" applyAlignment="0" applyProtection="0"/>
    <xf numFmtId="0" fontId="6"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166" fontId="4" fillId="0" borderId="0">
      <protection locked="0"/>
    </xf>
    <xf numFmtId="166" fontId="4" fillId="0" borderId="0">
      <protection locked="0"/>
    </xf>
    <xf numFmtId="0" fontId="7" fillId="0" borderId="7" applyNumberFormat="0" applyFill="0" applyAlignment="0" applyProtection="0"/>
    <xf numFmtId="0" fontId="52" fillId="7" borderId="2" applyNumberFormat="0" applyAlignment="0" applyProtection="0"/>
    <xf numFmtId="10" fontId="5" fillId="24" borderId="8" applyNumberFormat="0" applyBorder="0" applyAlignment="0" applyProtection="0"/>
    <xf numFmtId="0" fontId="53" fillId="0" borderId="9" applyNumberFormat="0" applyFill="0" applyAlignment="0" applyProtection="0"/>
    <xf numFmtId="0" fontId="54" fillId="25" borderId="0" applyNumberFormat="0" applyBorder="0" applyAlignment="0" applyProtection="0"/>
    <xf numFmtId="37" fontId="8" fillId="0" borderId="0"/>
    <xf numFmtId="165" fontId="9" fillId="0" borderId="0"/>
    <xf numFmtId="0" fontId="32" fillId="0" borderId="0"/>
    <xf numFmtId="0" fontId="15" fillId="0" borderId="0"/>
    <xf numFmtId="38" fontId="10" fillId="0" borderId="0"/>
    <xf numFmtId="0" fontId="32" fillId="0" borderId="0"/>
    <xf numFmtId="178" fontId="82" fillId="0" borderId="0" applyProtection="0"/>
    <xf numFmtId="38" fontId="10" fillId="0" borderId="0"/>
    <xf numFmtId="0" fontId="1" fillId="0" borderId="0"/>
    <xf numFmtId="38" fontId="10" fillId="0" borderId="0"/>
    <xf numFmtId="38" fontId="10" fillId="0" borderId="0"/>
    <xf numFmtId="0" fontId="4" fillId="0" borderId="0"/>
    <xf numFmtId="0" fontId="79" fillId="0" borderId="0">
      <alignment vertical="top"/>
    </xf>
    <xf numFmtId="0" fontId="79" fillId="0" borderId="0">
      <alignment vertical="top"/>
    </xf>
    <xf numFmtId="0" fontId="30" fillId="26" borderId="10" applyNumberFormat="0" applyFont="0" applyAlignment="0" applyProtection="0"/>
    <xf numFmtId="0" fontId="55" fillId="21" borderId="11" applyNumberFormat="0" applyAlignment="0" applyProtection="0"/>
    <xf numFmtId="9" fontId="1" fillId="0" borderId="0" applyFont="0" applyFill="0" applyBorder="0" applyAlignment="0" applyProtection="0"/>
    <xf numFmtId="10" fontId="4" fillId="0" borderId="0" applyFont="0" applyFill="0" applyBorder="0" applyAlignment="0" applyProtection="0"/>
    <xf numFmtId="9" fontId="32" fillId="0" borderId="0" applyFont="0" applyFill="0" applyBorder="0" applyAlignment="0" applyProtection="0"/>
    <xf numFmtId="0" fontId="46" fillId="0" borderId="0" applyNumberFormat="0" applyFont="0" applyFill="0" applyBorder="0" applyAlignment="0" applyProtection="0">
      <alignment horizontal="left"/>
    </xf>
    <xf numFmtId="15" fontId="46" fillId="0" borderId="0" applyFont="0" applyFill="0" applyBorder="0" applyAlignment="0" applyProtection="0"/>
    <xf numFmtId="0" fontId="56" fillId="0" borderId="12">
      <alignment horizontal="center"/>
    </xf>
    <xf numFmtId="0" fontId="11" fillId="0" borderId="13"/>
    <xf numFmtId="0" fontId="12" fillId="0" borderId="14"/>
    <xf numFmtId="0" fontId="4" fillId="0" borderId="0"/>
    <xf numFmtId="0" fontId="57" fillId="0" borderId="0" applyNumberFormat="0" applyFill="0" applyBorder="0" applyAlignment="0" applyProtection="0"/>
    <xf numFmtId="166" fontId="4" fillId="0" borderId="15">
      <protection locked="0"/>
    </xf>
    <xf numFmtId="37" fontId="5" fillId="27" borderId="0" applyNumberFormat="0" applyBorder="0" applyAlignment="0" applyProtection="0"/>
    <xf numFmtId="37" fontId="13" fillId="0" borderId="0"/>
    <xf numFmtId="3" fontId="14" fillId="0" borderId="7" applyProtection="0"/>
    <xf numFmtId="0" fontId="58"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7" fontId="5" fillId="0" borderId="0"/>
    <xf numFmtId="37" fontId="5" fillId="0" borderId="0"/>
    <xf numFmtId="37" fontId="5" fillId="0" borderId="0"/>
    <xf numFmtId="9" fontId="111" fillId="0" borderId="0" applyFont="0" applyFill="0" applyBorder="0" applyAlignment="0" applyProtection="0"/>
    <xf numFmtId="0" fontId="111" fillId="0" borderId="0"/>
    <xf numFmtId="43"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3" borderId="0" applyNumberFormat="0" applyBorder="0" applyAlignment="0" applyProtection="0"/>
    <xf numFmtId="0" fontId="44" fillId="21" borderId="2" applyNumberFormat="0" applyAlignment="0" applyProtection="0"/>
    <xf numFmtId="0" fontId="45" fillId="22" borderId="3"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7" borderId="2" applyNumberFormat="0" applyAlignment="0" applyProtection="0"/>
    <xf numFmtId="0" fontId="53" fillId="0" borderId="9" applyNumberFormat="0" applyFill="0" applyAlignment="0" applyProtection="0"/>
    <xf numFmtId="0" fontId="54" fillId="25" borderId="0" applyNumberFormat="0" applyBorder="0" applyAlignment="0" applyProtection="0"/>
    <xf numFmtId="0" fontId="4" fillId="0" borderId="0"/>
    <xf numFmtId="0" fontId="30" fillId="26" borderId="10" applyNumberFormat="0" applyFont="0" applyAlignment="0" applyProtection="0"/>
    <xf numFmtId="0" fontId="55" fillId="21" borderId="11" applyNumberFormat="0" applyAlignment="0" applyProtection="0"/>
    <xf numFmtId="0" fontId="111" fillId="0" borderId="0"/>
    <xf numFmtId="9" fontId="4" fillId="0" borderId="0" applyFont="0" applyFill="0" applyBorder="0" applyAlignment="0" applyProtection="0"/>
    <xf numFmtId="0" fontId="57" fillId="0" borderId="0" applyNumberFormat="0" applyFill="0" applyBorder="0" applyAlignment="0" applyProtection="0"/>
    <xf numFmtId="166" fontId="4" fillId="0" borderId="15">
      <protection locked="0"/>
    </xf>
    <xf numFmtId="0" fontId="58" fillId="0" borderId="0" applyNumberFormat="0" applyFill="0" applyBorder="0" applyAlignment="0" applyProtection="0"/>
    <xf numFmtId="9" fontId="111" fillId="0" borderId="0" applyFont="0" applyFill="0" applyBorder="0" applyAlignment="0" applyProtection="0"/>
    <xf numFmtId="0" fontId="111" fillId="0" borderId="0"/>
  </cellStyleXfs>
  <cellXfs count="1214">
    <xf numFmtId="0" fontId="0" fillId="0" borderId="0" xfId="0" applyAlignment="1"/>
    <xf numFmtId="0" fontId="16" fillId="0" borderId="0" xfId="58" applyFont="1" applyAlignment="1">
      <alignment horizontal="left" vertical="center"/>
    </xf>
    <xf numFmtId="0" fontId="17" fillId="0" borderId="0" xfId="53" applyFont="1"/>
    <xf numFmtId="0" fontId="17" fillId="0" borderId="0" xfId="53" applyFont="1" applyAlignment="1">
      <alignment horizontal="right"/>
    </xf>
    <xf numFmtId="0" fontId="18" fillId="0" borderId="0" xfId="53" applyFont="1" applyAlignment="1">
      <alignment horizontal="right"/>
    </xf>
    <xf numFmtId="0" fontId="18" fillId="0" borderId="0" xfId="53" applyFont="1" applyAlignment="1">
      <alignment horizontal="left"/>
    </xf>
    <xf numFmtId="164" fontId="18" fillId="0" borderId="0" xfId="59" applyNumberFormat="1" applyFont="1" applyAlignment="1" applyProtection="1"/>
    <xf numFmtId="0" fontId="18" fillId="0" borderId="0" xfId="53" applyFont="1" applyAlignment="1" applyProtection="1">
      <alignment horizontal="right"/>
      <protection locked="0"/>
    </xf>
    <xf numFmtId="0" fontId="17" fillId="0" borderId="0" xfId="53" applyFont="1" applyAlignment="1">
      <alignment horizontal="left"/>
    </xf>
    <xf numFmtId="0" fontId="19" fillId="0" borderId="0" xfId="53" applyFont="1"/>
    <xf numFmtId="0" fontId="18" fillId="0" borderId="0" xfId="53" applyFont="1" applyAlignment="1">
      <alignment horizontal="center"/>
    </xf>
    <xf numFmtId="0" fontId="18" fillId="0" borderId="0" xfId="53" applyFont="1" applyBorder="1" applyAlignment="1">
      <alignment horizontal="center"/>
    </xf>
    <xf numFmtId="0" fontId="18" fillId="0" borderId="16" xfId="53" applyFont="1" applyBorder="1" applyAlignment="1">
      <alignment horizontal="left"/>
    </xf>
    <xf numFmtId="0" fontId="17" fillId="0" borderId="16" xfId="53" applyFont="1" applyBorder="1"/>
    <xf numFmtId="0" fontId="18" fillId="0" borderId="16" xfId="53" applyFont="1" applyBorder="1" applyAlignment="1">
      <alignment horizontal="center"/>
    </xf>
    <xf numFmtId="0" fontId="18" fillId="0" borderId="17" xfId="53" applyFont="1" applyBorder="1" applyAlignment="1">
      <alignment horizontal="center"/>
    </xf>
    <xf numFmtId="0" fontId="17" fillId="0" borderId="18" xfId="53" applyFont="1" applyBorder="1" applyAlignment="1">
      <alignment horizontal="right"/>
    </xf>
    <xf numFmtId="0" fontId="16" fillId="0" borderId="17" xfId="0" applyFont="1" applyBorder="1" applyAlignment="1"/>
    <xf numFmtId="0" fontId="17" fillId="0" borderId="0" xfId="53" applyFont="1" applyBorder="1" applyAlignment="1">
      <alignment horizontal="right"/>
    </xf>
    <xf numFmtId="0" fontId="20" fillId="0" borderId="0" xfId="0" applyFont="1" applyAlignment="1"/>
    <xf numFmtId="37" fontId="17" fillId="0" borderId="0" xfId="53" applyNumberFormat="1" applyFont="1"/>
    <xf numFmtId="5" fontId="20" fillId="0" borderId="0" xfId="53" applyNumberFormat="1" applyFont="1" applyAlignment="1">
      <alignment horizontal="right"/>
    </xf>
    <xf numFmtId="37" fontId="20" fillId="0" borderId="0" xfId="53" applyNumberFormat="1" applyFont="1" applyAlignment="1">
      <alignment horizontal="right"/>
    </xf>
    <xf numFmtId="169" fontId="17" fillId="0" borderId="0" xfId="53" applyNumberFormat="1" applyFont="1"/>
    <xf numFmtId="37" fontId="17" fillId="0" borderId="0" xfId="53" applyNumberFormat="1" applyFont="1" applyAlignment="1" applyProtection="1">
      <alignment horizontal="right"/>
    </xf>
    <xf numFmtId="37" fontId="20" fillId="0" borderId="0" xfId="53" applyNumberFormat="1" applyFont="1" applyAlignment="1" applyProtection="1">
      <alignment horizontal="right"/>
    </xf>
    <xf numFmtId="37" fontId="17" fillId="0" borderId="0" xfId="53" applyNumberFormat="1" applyFont="1" applyAlignment="1">
      <alignment horizontal="right"/>
    </xf>
    <xf numFmtId="5" fontId="17" fillId="0" borderId="0" xfId="53" applyNumberFormat="1" applyFont="1"/>
    <xf numFmtId="37" fontId="20" fillId="0" borderId="17" xfId="53" applyNumberFormat="1" applyFont="1" applyBorder="1" applyAlignment="1">
      <alignment horizontal="right"/>
    </xf>
    <xf numFmtId="5" fontId="20" fillId="0" borderId="19" xfId="0" applyNumberFormat="1" applyFont="1" applyBorder="1" applyAlignment="1"/>
    <xf numFmtId="0" fontId="16" fillId="0" borderId="17" xfId="0" applyFont="1" applyBorder="1" applyAlignment="1">
      <alignment horizontal="center"/>
    </xf>
    <xf numFmtId="0" fontId="16" fillId="0" borderId="0" xfId="0" applyFont="1" applyAlignment="1">
      <alignment horizontal="center"/>
    </xf>
    <xf numFmtId="5" fontId="20" fillId="0" borderId="0" xfId="0" applyNumberFormat="1" applyFont="1" applyAlignment="1"/>
    <xf numFmtId="9" fontId="20" fillId="0" borderId="0" xfId="0" applyNumberFormat="1" applyFont="1" applyAlignment="1"/>
    <xf numFmtId="10" fontId="20" fillId="0" borderId="0" xfId="0" applyNumberFormat="1" applyFont="1" applyAlignment="1"/>
    <xf numFmtId="10" fontId="17" fillId="0" borderId="0" xfId="53" applyNumberFormat="1" applyFont="1"/>
    <xf numFmtId="169" fontId="20" fillId="0" borderId="0" xfId="0" applyNumberFormat="1" applyFont="1" applyAlignment="1"/>
    <xf numFmtId="37" fontId="20" fillId="0" borderId="0" xfId="0" applyNumberFormat="1" applyFont="1" applyAlignment="1"/>
    <xf numFmtId="37" fontId="20" fillId="0" borderId="17" xfId="0" applyNumberFormat="1" applyFont="1" applyBorder="1" applyAlignment="1"/>
    <xf numFmtId="9" fontId="20" fillId="0" borderId="17" xfId="0" applyNumberFormat="1" applyFont="1" applyBorder="1" applyAlignment="1"/>
    <xf numFmtId="10" fontId="17" fillId="0" borderId="17" xfId="53" applyNumberFormat="1" applyFont="1" applyBorder="1"/>
    <xf numFmtId="10" fontId="17" fillId="0" borderId="19" xfId="53" applyNumberFormat="1" applyFont="1" applyBorder="1"/>
    <xf numFmtId="0" fontId="18" fillId="0" borderId="17" xfId="53" applyFont="1" applyBorder="1"/>
    <xf numFmtId="0" fontId="22" fillId="0" borderId="0" xfId="53" applyFont="1" applyAlignment="1">
      <alignment horizontal="left"/>
    </xf>
    <xf numFmtId="38" fontId="17" fillId="0" borderId="0" xfId="54" applyFont="1"/>
    <xf numFmtId="0" fontId="22" fillId="0" borderId="0" xfId="53" applyFont="1"/>
    <xf numFmtId="5" fontId="17" fillId="0" borderId="19" xfId="53" applyNumberFormat="1" applyFont="1" applyBorder="1"/>
    <xf numFmtId="38" fontId="18" fillId="0" borderId="0" xfId="59" applyFont="1"/>
    <xf numFmtId="164" fontId="18" fillId="0" borderId="0" xfId="59" applyNumberFormat="1" applyFont="1" applyAlignment="1" applyProtection="1">
      <alignment horizontal="right"/>
    </xf>
    <xf numFmtId="38" fontId="17" fillId="0" borderId="0" xfId="59" applyFont="1"/>
    <xf numFmtId="164" fontId="18" fillId="0" borderId="0" xfId="59" applyNumberFormat="1" applyFont="1" applyAlignment="1" applyProtection="1">
      <alignment horizontal="right"/>
      <protection locked="0"/>
    </xf>
    <xf numFmtId="38" fontId="17" fillId="0" borderId="0" xfId="59" applyFont="1" applyAlignment="1"/>
    <xf numFmtId="38" fontId="17" fillId="0" borderId="0" xfId="60" applyFont="1"/>
    <xf numFmtId="38" fontId="17" fillId="0" borderId="0" xfId="59" applyFont="1" applyBorder="1"/>
    <xf numFmtId="164" fontId="18" fillId="0" borderId="0" xfId="59" applyNumberFormat="1" applyFont="1" applyAlignment="1" applyProtection="1">
      <alignment horizontal="center"/>
    </xf>
    <xf numFmtId="164" fontId="18" fillId="0" borderId="0" xfId="59" applyNumberFormat="1" applyFont="1" applyBorder="1" applyAlignment="1" applyProtection="1">
      <alignment horizontal="center"/>
    </xf>
    <xf numFmtId="164" fontId="17" fillId="0" borderId="0" xfId="59" applyNumberFormat="1" applyFont="1" applyAlignment="1" applyProtection="1">
      <alignment horizontal="center"/>
    </xf>
    <xf numFmtId="38" fontId="18" fillId="0" borderId="0" xfId="59" applyFont="1" applyAlignment="1">
      <alignment horizontal="center"/>
    </xf>
    <xf numFmtId="38" fontId="17" fillId="0" borderId="16" xfId="59" applyFont="1" applyBorder="1" applyAlignment="1"/>
    <xf numFmtId="164" fontId="18" fillId="0" borderId="16" xfId="59" applyNumberFormat="1" applyFont="1" applyBorder="1" applyAlignment="1" applyProtection="1">
      <alignment horizontal="center"/>
    </xf>
    <xf numFmtId="38" fontId="17" fillId="0" borderId="0" xfId="59" quotePrefix="1" applyFont="1" applyAlignment="1"/>
    <xf numFmtId="164" fontId="18" fillId="0" borderId="17" xfId="59" applyNumberFormat="1" applyFont="1" applyBorder="1" applyAlignment="1" applyProtection="1">
      <alignment horizontal="left"/>
    </xf>
    <xf numFmtId="38" fontId="18" fillId="0" borderId="17" xfId="59" applyFont="1" applyBorder="1"/>
    <xf numFmtId="38" fontId="17" fillId="0" borderId="18" xfId="59" applyFont="1" applyBorder="1"/>
    <xf numFmtId="38" fontId="17" fillId="0" borderId="0" xfId="59" quotePrefix="1" applyFont="1" applyAlignment="1">
      <alignment horizontal="left"/>
    </xf>
    <xf numFmtId="49" fontId="17" fillId="0" borderId="0" xfId="59" applyNumberFormat="1" applyFont="1" applyAlignment="1" applyProtection="1">
      <alignment horizontal="left"/>
    </xf>
    <xf numFmtId="5" fontId="20" fillId="0" borderId="0" xfId="59" applyNumberFormat="1" applyFont="1" applyProtection="1"/>
    <xf numFmtId="38" fontId="21" fillId="0" borderId="0" xfId="59" applyFont="1" applyBorder="1"/>
    <xf numFmtId="5" fontId="21" fillId="0" borderId="0" xfId="59" applyNumberFormat="1" applyFont="1" applyProtection="1"/>
    <xf numFmtId="38" fontId="20" fillId="0" borderId="0" xfId="59" applyFont="1" applyBorder="1"/>
    <xf numFmtId="37" fontId="21" fillId="0" borderId="0" xfId="59" applyNumberFormat="1" applyFont="1" applyBorder="1" applyAlignment="1">
      <alignment horizontal="right"/>
    </xf>
    <xf numFmtId="37" fontId="20" fillId="0" borderId="0" xfId="59" applyNumberFormat="1" applyFont="1" applyProtection="1"/>
    <xf numFmtId="37" fontId="17" fillId="0" borderId="18" xfId="59" applyNumberFormat="1" applyFont="1" applyBorder="1" applyProtection="1"/>
    <xf numFmtId="37" fontId="17" fillId="0" borderId="0" xfId="59" applyNumberFormat="1" applyFont="1" applyProtection="1"/>
    <xf numFmtId="37" fontId="17" fillId="0" borderId="18" xfId="59" applyNumberFormat="1" applyFont="1" applyBorder="1" applyAlignment="1">
      <alignment horizontal="right"/>
    </xf>
    <xf numFmtId="37" fontId="17" fillId="0" borderId="0" xfId="59" applyNumberFormat="1" applyFont="1" applyBorder="1" applyAlignment="1">
      <alignment horizontal="right"/>
    </xf>
    <xf numFmtId="37" fontId="20" fillId="0" borderId="18" xfId="59" applyNumberFormat="1" applyFont="1" applyBorder="1" applyProtection="1"/>
    <xf numFmtId="164" fontId="18" fillId="0" borderId="0" xfId="59" quotePrefix="1" applyNumberFormat="1" applyFont="1" applyAlignment="1" applyProtection="1">
      <alignment horizontal="left"/>
    </xf>
    <xf numFmtId="5" fontId="18" fillId="0" borderId="19" xfId="59" applyNumberFormat="1" applyFont="1" applyBorder="1" applyProtection="1"/>
    <xf numFmtId="37" fontId="18" fillId="0" borderId="0" xfId="59" applyNumberFormat="1" applyFont="1" applyProtection="1"/>
    <xf numFmtId="5" fontId="17" fillId="0" borderId="0" xfId="59" applyNumberFormat="1" applyFont="1" applyProtection="1"/>
    <xf numFmtId="37" fontId="18" fillId="0" borderId="0" xfId="59" applyNumberFormat="1" applyFont="1" applyBorder="1" applyAlignment="1">
      <alignment horizontal="right"/>
    </xf>
    <xf numFmtId="5" fontId="16" fillId="0" borderId="19" xfId="59" applyNumberFormat="1" applyFont="1" applyBorder="1" applyProtection="1"/>
    <xf numFmtId="38" fontId="20" fillId="0" borderId="18" xfId="59" applyFont="1" applyBorder="1"/>
    <xf numFmtId="37" fontId="21" fillId="0" borderId="0" xfId="59" applyNumberFormat="1" applyFont="1" applyProtection="1"/>
    <xf numFmtId="38" fontId="20" fillId="0" borderId="0" xfId="59" applyFont="1"/>
    <xf numFmtId="5" fontId="18" fillId="0" borderId="19" xfId="59" applyNumberFormat="1" applyFont="1" applyFill="1" applyBorder="1" applyProtection="1"/>
    <xf numFmtId="38" fontId="17" fillId="0" borderId="0" xfId="59" applyFont="1" applyFill="1"/>
    <xf numFmtId="37" fontId="17" fillId="0" borderId="18" xfId="53" applyNumberFormat="1" applyFont="1" applyBorder="1" applyAlignment="1">
      <alignment horizontal="right"/>
    </xf>
    <xf numFmtId="37" fontId="20" fillId="0" borderId="18" xfId="53" applyNumberFormat="1" applyFont="1" applyBorder="1" applyAlignment="1">
      <alignment horizontal="right"/>
    </xf>
    <xf numFmtId="5" fontId="17" fillId="0" borderId="20" xfId="53" applyNumberFormat="1" applyFont="1" applyBorder="1" applyAlignment="1" applyProtection="1">
      <alignment horizontal="right"/>
    </xf>
    <xf numFmtId="0" fontId="17" fillId="0" borderId="21" xfId="53" applyFont="1" applyBorder="1" applyAlignment="1">
      <alignment horizontal="right"/>
    </xf>
    <xf numFmtId="0" fontId="18" fillId="0" borderId="0" xfId="53" applyFont="1" applyBorder="1"/>
    <xf numFmtId="5" fontId="20" fillId="0" borderId="19" xfId="53" applyNumberFormat="1" applyFont="1" applyBorder="1" applyAlignment="1">
      <alignment horizontal="right"/>
    </xf>
    <xf numFmtId="9" fontId="18" fillId="0" borderId="0" xfId="66" applyFont="1" applyAlignment="1">
      <alignment horizontal="left"/>
    </xf>
    <xf numFmtId="0" fontId="17" fillId="0" borderId="0" xfId="53" applyFont="1" applyBorder="1"/>
    <xf numFmtId="0" fontId="18" fillId="0" borderId="0" xfId="53" applyFont="1"/>
    <xf numFmtId="0" fontId="18" fillId="0" borderId="0" xfId="53" applyFont="1" applyBorder="1" applyAlignment="1">
      <alignment horizontal="centerContinuous"/>
    </xf>
    <xf numFmtId="38" fontId="18" fillId="0" borderId="0" xfId="57" applyFont="1" applyAlignment="1">
      <alignment horizontal="left"/>
    </xf>
    <xf numFmtId="0" fontId="17" fillId="0" borderId="0" xfId="53" applyFont="1" applyAlignment="1">
      <alignment horizontal="center"/>
    </xf>
    <xf numFmtId="38" fontId="18" fillId="0" borderId="16" xfId="57" applyFont="1" applyBorder="1" applyAlignment="1">
      <alignment horizontal="left"/>
    </xf>
    <xf numFmtId="0" fontId="17" fillId="0" borderId="0" xfId="53" applyFont="1" applyBorder="1" applyAlignment="1">
      <alignment horizontal="center"/>
    </xf>
    <xf numFmtId="0" fontId="20" fillId="0" borderId="0" xfId="0" applyFont="1" applyBorder="1" applyAlignment="1"/>
    <xf numFmtId="49" fontId="17" fillId="0" borderId="0" xfId="57" applyNumberFormat="1" applyFont="1" applyAlignment="1" applyProtection="1">
      <alignment horizontal="left"/>
    </xf>
    <xf numFmtId="5" fontId="20" fillId="0" borderId="0" xfId="53" applyNumberFormat="1" applyFont="1" applyBorder="1" applyProtection="1"/>
    <xf numFmtId="37" fontId="17" fillId="0" borderId="0" xfId="53" applyNumberFormat="1" applyFont="1" applyBorder="1" applyProtection="1"/>
    <xf numFmtId="37" fontId="17" fillId="0" borderId="0" xfId="53" applyNumberFormat="1" applyFont="1" applyBorder="1" applyAlignment="1">
      <alignment horizontal="right"/>
    </xf>
    <xf numFmtId="37" fontId="17" fillId="0" borderId="0" xfId="53" applyNumberFormat="1" applyFont="1" applyProtection="1"/>
    <xf numFmtId="37" fontId="17" fillId="0" borderId="18" xfId="53" applyNumberFormat="1" applyFont="1" applyBorder="1" applyProtection="1"/>
    <xf numFmtId="5" fontId="18" fillId="0" borderId="19" xfId="53" applyNumberFormat="1" applyFont="1" applyBorder="1" applyProtection="1"/>
    <xf numFmtId="5" fontId="18" fillId="0" borderId="19" xfId="53" applyNumberFormat="1" applyFont="1" applyBorder="1" applyAlignment="1" applyProtection="1">
      <alignment horizontal="right"/>
    </xf>
    <xf numFmtId="5" fontId="18" fillId="0" borderId="0" xfId="53" applyNumberFormat="1" applyFont="1" applyBorder="1" applyProtection="1"/>
    <xf numFmtId="5" fontId="18" fillId="0" borderId="0" xfId="53" applyNumberFormat="1" applyFont="1" applyBorder="1" applyAlignment="1" applyProtection="1">
      <alignment horizontal="right"/>
    </xf>
    <xf numFmtId="5" fontId="21" fillId="0" borderId="0" xfId="53" applyNumberFormat="1" applyFont="1" applyBorder="1" applyProtection="1"/>
    <xf numFmtId="5" fontId="17" fillId="0" borderId="0" xfId="53" applyNumberFormat="1" applyFont="1" applyBorder="1" applyAlignment="1">
      <alignment horizontal="right"/>
    </xf>
    <xf numFmtId="37" fontId="21" fillId="0" borderId="0" xfId="53" applyNumberFormat="1" applyFont="1" applyProtection="1"/>
    <xf numFmtId="38" fontId="20" fillId="0" borderId="17" xfId="59" applyFont="1" applyBorder="1"/>
    <xf numFmtId="37" fontId="17" fillId="0" borderId="17" xfId="59" applyNumberFormat="1" applyFont="1" applyBorder="1" applyProtection="1"/>
    <xf numFmtId="37" fontId="17" fillId="0" borderId="0" xfId="59" applyNumberFormat="1" applyFont="1" applyBorder="1" applyProtection="1"/>
    <xf numFmtId="164" fontId="17" fillId="0" borderId="0" xfId="59" applyNumberFormat="1" applyFont="1" applyAlignment="1" applyProtection="1">
      <alignment horizontal="left"/>
    </xf>
    <xf numFmtId="5" fontId="18" fillId="0" borderId="0" xfId="59" applyNumberFormat="1" applyFont="1" applyBorder="1" applyProtection="1"/>
    <xf numFmtId="164" fontId="18" fillId="0" borderId="0" xfId="59" applyNumberFormat="1" applyFont="1" applyAlignment="1" applyProtection="1">
      <alignment horizontal="left"/>
    </xf>
    <xf numFmtId="0" fontId="16" fillId="0" borderId="0" xfId="0" applyFont="1" applyAlignment="1"/>
    <xf numFmtId="5" fontId="21" fillId="0" borderId="0" xfId="59" applyNumberFormat="1" applyFont="1" applyBorder="1" applyProtection="1"/>
    <xf numFmtId="38" fontId="21" fillId="0" borderId="17" xfId="59" applyFont="1" applyBorder="1"/>
    <xf numFmtId="5" fontId="17" fillId="0" borderId="0" xfId="59" applyNumberFormat="1" applyFont="1" applyBorder="1" applyProtection="1"/>
    <xf numFmtId="38" fontId="18" fillId="0" borderId="0" xfId="59" applyFont="1" applyBorder="1"/>
    <xf numFmtId="37" fontId="18" fillId="0" borderId="0" xfId="59" applyNumberFormat="1" applyFont="1" applyBorder="1" applyProtection="1"/>
    <xf numFmtId="5" fontId="16" fillId="0" borderId="0" xfId="59" applyNumberFormat="1" applyFont="1" applyBorder="1" applyProtection="1"/>
    <xf numFmtId="7" fontId="20" fillId="0" borderId="0" xfId="0" applyNumberFormat="1" applyFont="1" applyAlignment="1"/>
    <xf numFmtId="5" fontId="20" fillId="0" borderId="17" xfId="59" applyNumberFormat="1" applyFont="1" applyBorder="1" applyProtection="1"/>
    <xf numFmtId="38" fontId="18" fillId="0" borderId="17" xfId="60" applyFont="1" applyBorder="1"/>
    <xf numFmtId="38" fontId="18" fillId="0" borderId="0" xfId="60" applyFont="1" applyBorder="1" applyAlignment="1">
      <alignment horizontal="center"/>
    </xf>
    <xf numFmtId="38" fontId="17" fillId="0" borderId="0" xfId="59" applyFont="1" applyAlignment="1">
      <alignment horizontal="left"/>
    </xf>
    <xf numFmtId="38" fontId="18" fillId="0" borderId="0" xfId="60" applyFont="1" applyBorder="1"/>
    <xf numFmtId="164" fontId="18" fillId="0" borderId="17" xfId="59" applyNumberFormat="1" applyFont="1" applyBorder="1" applyAlignment="1" applyProtection="1">
      <alignment horizontal="center"/>
    </xf>
    <xf numFmtId="0" fontId="17" fillId="0" borderId="0" xfId="59" applyNumberFormat="1" applyFont="1" applyAlignment="1">
      <alignment horizontal="right"/>
    </xf>
    <xf numFmtId="37" fontId="20" fillId="0" borderId="0" xfId="53" applyNumberFormat="1" applyFont="1" applyFill="1" applyAlignment="1">
      <alignment horizontal="right"/>
    </xf>
    <xf numFmtId="0" fontId="20" fillId="0" borderId="0" xfId="53" applyFont="1" applyFill="1"/>
    <xf numFmtId="0" fontId="23" fillId="0" borderId="0" xfId="53" applyFont="1"/>
    <xf numFmtId="38" fontId="18" fillId="0" borderId="0" xfId="59" applyFont="1" applyFill="1"/>
    <xf numFmtId="38" fontId="21" fillId="0" borderId="0" xfId="59" applyFont="1" applyFill="1" applyBorder="1"/>
    <xf numFmtId="37" fontId="17" fillId="0" borderId="0" xfId="59" applyNumberFormat="1" applyFont="1" applyFill="1" applyProtection="1"/>
    <xf numFmtId="37" fontId="17" fillId="0" borderId="0" xfId="59" applyNumberFormat="1" applyFont="1" applyFill="1" applyBorder="1" applyProtection="1"/>
    <xf numFmtId="0" fontId="20" fillId="0" borderId="0" xfId="0" applyFont="1" applyFill="1" applyAlignment="1"/>
    <xf numFmtId="0" fontId="16" fillId="0" borderId="0" xfId="0" applyFont="1" applyFill="1" applyAlignment="1"/>
    <xf numFmtId="37" fontId="21" fillId="0" borderId="0" xfId="53" applyNumberFormat="1" applyFont="1" applyFill="1" applyAlignment="1">
      <alignment horizontal="right"/>
    </xf>
    <xf numFmtId="37" fontId="17" fillId="0" borderId="0" xfId="53" applyNumberFormat="1" applyFont="1" applyFill="1" applyAlignment="1" applyProtection="1">
      <alignment horizontal="right"/>
    </xf>
    <xf numFmtId="37" fontId="17" fillId="0" borderId="0" xfId="53" applyNumberFormat="1" applyFont="1" applyFill="1" applyAlignment="1">
      <alignment horizontal="right"/>
    </xf>
    <xf numFmtId="0" fontId="24" fillId="0" borderId="0" xfId="53" applyFont="1" applyFill="1" applyAlignment="1">
      <alignment horizontal="right"/>
    </xf>
    <xf numFmtId="5" fontId="21" fillId="0" borderId="0" xfId="59" applyNumberFormat="1" applyFont="1" applyFill="1" applyProtection="1"/>
    <xf numFmtId="37" fontId="21" fillId="0" borderId="0" xfId="59" applyNumberFormat="1" applyFont="1" applyFill="1" applyProtection="1"/>
    <xf numFmtId="37" fontId="21" fillId="0" borderId="0" xfId="59" applyNumberFormat="1" applyFont="1" applyFill="1" applyBorder="1"/>
    <xf numFmtId="38" fontId="18" fillId="0" borderId="0" xfId="59" applyFont="1" applyFill="1" applyBorder="1"/>
    <xf numFmtId="37" fontId="18" fillId="0" borderId="0" xfId="59" applyNumberFormat="1" applyFont="1" applyFill="1" applyBorder="1" applyProtection="1"/>
    <xf numFmtId="5" fontId="17" fillId="0" borderId="0" xfId="59" applyNumberFormat="1" applyFont="1" applyFill="1" applyBorder="1" applyProtection="1"/>
    <xf numFmtId="38" fontId="21" fillId="0" borderId="17" xfId="59" applyFont="1" applyFill="1" applyBorder="1"/>
    <xf numFmtId="37" fontId="18" fillId="0" borderId="0" xfId="59" applyNumberFormat="1" applyFont="1" applyFill="1" applyProtection="1"/>
    <xf numFmtId="5" fontId="17" fillId="0" borderId="0" xfId="59" applyNumberFormat="1" applyFont="1" applyFill="1" applyProtection="1"/>
    <xf numFmtId="37" fontId="17" fillId="0" borderId="18" xfId="59" applyNumberFormat="1" applyFont="1" applyFill="1" applyBorder="1" applyProtection="1"/>
    <xf numFmtId="37" fontId="21" fillId="0" borderId="0" xfId="53" applyNumberFormat="1" applyFont="1" applyFill="1" applyProtection="1"/>
    <xf numFmtId="5" fontId="21" fillId="0" borderId="0" xfId="53" applyNumberFormat="1" applyFont="1" applyFill="1" applyBorder="1" applyProtection="1"/>
    <xf numFmtId="37" fontId="21" fillId="0" borderId="17" xfId="53" applyNumberFormat="1" applyFont="1" applyFill="1" applyBorder="1" applyAlignment="1">
      <alignment horizontal="right"/>
    </xf>
    <xf numFmtId="5" fontId="20" fillId="0" borderId="0" xfId="59" applyNumberFormat="1" applyFont="1" applyFill="1" applyProtection="1"/>
    <xf numFmtId="37" fontId="20" fillId="0" borderId="0" xfId="59" applyNumberFormat="1" applyFont="1" applyFill="1" applyProtection="1"/>
    <xf numFmtId="0" fontId="25" fillId="0" borderId="0" xfId="0" applyFont="1" applyAlignment="1"/>
    <xf numFmtId="0" fontId="0" fillId="0" borderId="0" xfId="0" applyFill="1" applyBorder="1" applyAlignment="1"/>
    <xf numFmtId="0" fontId="26" fillId="0" borderId="0" xfId="0" applyFont="1" applyAlignment="1">
      <alignment horizontal="right"/>
    </xf>
    <xf numFmtId="171" fontId="20" fillId="0" borderId="0" xfId="0" applyNumberFormat="1" applyFont="1" applyAlignment="1">
      <alignment horizontal="center"/>
    </xf>
    <xf numFmtId="37" fontId="17" fillId="0" borderId="0" xfId="59" applyNumberFormat="1" applyFont="1" applyAlignment="1" applyProtection="1">
      <alignment horizontal="center"/>
    </xf>
    <xf numFmtId="5" fontId="17" fillId="0" borderId="0" xfId="53" applyNumberFormat="1" applyFont="1" applyFill="1"/>
    <xf numFmtId="37" fontId="17" fillId="0" borderId="0" xfId="53" applyNumberFormat="1" applyFont="1" applyFill="1"/>
    <xf numFmtId="5" fontId="18" fillId="0" borderId="12" xfId="59" applyNumberFormat="1" applyFont="1" applyBorder="1" applyProtection="1"/>
    <xf numFmtId="38" fontId="29" fillId="0" borderId="0" xfId="59" applyFont="1" applyFill="1"/>
    <xf numFmtId="164" fontId="18" fillId="0" borderId="0" xfId="59" applyNumberFormat="1" applyFont="1" applyFill="1" applyAlignment="1" applyProtection="1">
      <alignment horizontal="left"/>
    </xf>
    <xf numFmtId="37" fontId="18" fillId="0" borderId="0" xfId="59" applyNumberFormat="1" applyFont="1" applyFill="1" applyBorder="1" applyAlignment="1">
      <alignment horizontal="right"/>
    </xf>
    <xf numFmtId="5" fontId="18" fillId="0" borderId="0" xfId="59" applyNumberFormat="1" applyFont="1" applyFill="1" applyBorder="1" applyAlignment="1" applyProtection="1">
      <alignment horizontal="center"/>
    </xf>
    <xf numFmtId="5" fontId="18" fillId="0" borderId="22" xfId="59" applyNumberFormat="1" applyFont="1" applyFill="1" applyBorder="1" applyProtection="1"/>
    <xf numFmtId="5" fontId="18" fillId="0" borderId="15" xfId="59" applyNumberFormat="1" applyFont="1" applyFill="1" applyBorder="1" applyProtection="1"/>
    <xf numFmtId="37" fontId="30" fillId="0" borderId="0" xfId="59" applyNumberFormat="1" applyFont="1" applyAlignment="1"/>
    <xf numFmtId="164" fontId="18" fillId="28" borderId="17" xfId="59" applyNumberFormat="1" applyFont="1" applyFill="1" applyBorder="1" applyAlignment="1" applyProtection="1">
      <alignment horizontal="left"/>
    </xf>
    <xf numFmtId="38" fontId="18" fillId="28" borderId="17" xfId="59" applyFont="1" applyFill="1" applyBorder="1"/>
    <xf numFmtId="38" fontId="29" fillId="0" borderId="0" xfId="59" applyFont="1"/>
    <xf numFmtId="0" fontId="18" fillId="28" borderId="17" xfId="53" applyFont="1" applyFill="1" applyBorder="1"/>
    <xf numFmtId="0" fontId="17" fillId="28" borderId="17" xfId="53" applyFont="1" applyFill="1" applyBorder="1"/>
    <xf numFmtId="0" fontId="18" fillId="28" borderId="17" xfId="53" applyFont="1" applyFill="1" applyBorder="1" applyAlignment="1">
      <alignment horizontal="left"/>
    </xf>
    <xf numFmtId="0" fontId="16" fillId="28" borderId="17" xfId="0" applyFont="1" applyFill="1" applyBorder="1" applyAlignment="1"/>
    <xf numFmtId="38" fontId="23" fillId="0" borderId="0" xfId="59" applyFont="1" applyAlignment="1"/>
    <xf numFmtId="37" fontId="20" fillId="0" borderId="0" xfId="59" applyNumberFormat="1" applyFont="1" applyBorder="1"/>
    <xf numFmtId="0" fontId="20" fillId="0" borderId="0" xfId="0" applyNumberFormat="1" applyFont="1" applyFill="1" applyAlignment="1"/>
    <xf numFmtId="42" fontId="20" fillId="0" borderId="0" xfId="0" applyNumberFormat="1" applyFont="1" applyAlignment="1"/>
    <xf numFmtId="0" fontId="20" fillId="0" borderId="0" xfId="0" applyFont="1" applyAlignment="1">
      <alignment horizontal="center"/>
    </xf>
    <xf numFmtId="170" fontId="20" fillId="0" borderId="0" xfId="29" applyNumberFormat="1" applyFont="1"/>
    <xf numFmtId="170" fontId="20" fillId="0" borderId="0" xfId="0" applyNumberFormat="1" applyFont="1" applyAlignment="1"/>
    <xf numFmtId="170" fontId="20" fillId="0" borderId="8" xfId="0" applyNumberFormat="1" applyFont="1" applyBorder="1" applyAlignment="1"/>
    <xf numFmtId="0" fontId="20" fillId="0" borderId="0" xfId="0" applyFont="1" applyAlignment="1">
      <alignment horizontal="right"/>
    </xf>
    <xf numFmtId="43" fontId="20" fillId="0" borderId="0" xfId="29" applyFont="1"/>
    <xf numFmtId="17" fontId="20" fillId="0" borderId="0" xfId="0" applyNumberFormat="1" applyFont="1" applyAlignment="1"/>
    <xf numFmtId="43" fontId="20" fillId="0" borderId="0" xfId="0" applyNumberFormat="1" applyFont="1" applyAlignment="1"/>
    <xf numFmtId="0" fontId="32" fillId="0" borderId="0" xfId="0" applyFont="1" applyFill="1" applyAlignment="1"/>
    <xf numFmtId="0" fontId="32" fillId="0" borderId="0" xfId="0" applyFont="1" applyAlignment="1"/>
    <xf numFmtId="0" fontId="31" fillId="0" borderId="0" xfId="0" applyFont="1" applyAlignment="1">
      <alignment horizontal="center"/>
    </xf>
    <xf numFmtId="176" fontId="32" fillId="0" borderId="0" xfId="0" applyNumberFormat="1" applyFont="1" applyAlignment="1">
      <alignment horizontal="center"/>
    </xf>
    <xf numFmtId="0" fontId="31" fillId="0" borderId="0" xfId="58" applyFont="1" applyAlignment="1">
      <alignment horizontal="left" vertical="center"/>
    </xf>
    <xf numFmtId="164" fontId="33" fillId="0" borderId="0" xfId="59" applyNumberFormat="1" applyFont="1" applyAlignment="1" applyProtection="1">
      <alignment horizontal="right"/>
    </xf>
    <xf numFmtId="0" fontId="33" fillId="0" borderId="0" xfId="53" applyFont="1" applyAlignment="1">
      <alignment horizontal="left"/>
    </xf>
    <xf numFmtId="17" fontId="32" fillId="0" borderId="0" xfId="0" applyNumberFormat="1" applyFont="1" applyAlignment="1"/>
    <xf numFmtId="37" fontId="32" fillId="0" borderId="0" xfId="0" applyNumberFormat="1" applyFont="1" applyAlignment="1"/>
    <xf numFmtId="37" fontId="32" fillId="0" borderId="17" xfId="0" applyNumberFormat="1" applyFont="1" applyBorder="1" applyAlignment="1"/>
    <xf numFmtId="5" fontId="32" fillId="0" borderId="0" xfId="0" applyNumberFormat="1" applyFont="1" applyAlignment="1"/>
    <xf numFmtId="0" fontId="32" fillId="0" borderId="0" xfId="0" applyFont="1" applyBorder="1" applyAlignment="1"/>
    <xf numFmtId="5" fontId="32" fillId="0" borderId="0" xfId="0" applyNumberFormat="1" applyFont="1" applyBorder="1" applyAlignment="1"/>
    <xf numFmtId="37" fontId="32" fillId="0" borderId="0" xfId="0" applyNumberFormat="1" applyFont="1" applyBorder="1" applyAlignment="1"/>
    <xf numFmtId="37" fontId="32" fillId="0" borderId="23" xfId="0" applyNumberFormat="1" applyFont="1" applyBorder="1" applyAlignment="1"/>
    <xf numFmtId="37" fontId="33" fillId="0" borderId="0" xfId="59" applyNumberFormat="1" applyFont="1" applyAlignment="1" applyProtection="1"/>
    <xf numFmtId="37" fontId="33" fillId="0" borderId="0" xfId="59" applyNumberFormat="1" applyFont="1"/>
    <xf numFmtId="37" fontId="30" fillId="0" borderId="0" xfId="59" applyNumberFormat="1" applyFont="1"/>
    <xf numFmtId="37" fontId="33" fillId="0" borderId="0" xfId="59" applyNumberFormat="1" applyFont="1" applyAlignment="1" applyProtection="1">
      <alignment horizontal="right"/>
      <protection locked="0"/>
    </xf>
    <xf numFmtId="37" fontId="30" fillId="0" borderId="0" xfId="60" applyNumberFormat="1" applyFont="1"/>
    <xf numFmtId="37" fontId="32" fillId="0" borderId="0" xfId="59" applyNumberFormat="1" applyFont="1" applyFill="1"/>
    <xf numFmtId="37" fontId="33" fillId="0" borderId="0" xfId="59" applyNumberFormat="1" applyFont="1" applyAlignment="1">
      <alignment horizontal="center"/>
    </xf>
    <xf numFmtId="37" fontId="33" fillId="0" borderId="0" xfId="59" applyNumberFormat="1" applyFont="1" applyAlignment="1" applyProtection="1">
      <alignment horizontal="center"/>
    </xf>
    <xf numFmtId="37" fontId="31" fillId="0" borderId="0" xfId="0" applyNumberFormat="1" applyFont="1" applyAlignment="1">
      <alignment horizontal="center"/>
    </xf>
    <xf numFmtId="37" fontId="33" fillId="0" borderId="0" xfId="59" applyNumberFormat="1" applyFont="1" applyBorder="1" applyAlignment="1" applyProtection="1">
      <alignment horizontal="center"/>
    </xf>
    <xf numFmtId="37" fontId="30" fillId="0" borderId="16" xfId="59" applyNumberFormat="1" applyFont="1" applyBorder="1" applyAlignment="1"/>
    <xf numFmtId="37" fontId="30" fillId="0" borderId="0" xfId="59" quotePrefix="1" applyNumberFormat="1" applyFont="1" applyAlignment="1"/>
    <xf numFmtId="37" fontId="33" fillId="0" borderId="17" xfId="59" applyNumberFormat="1" applyFont="1" applyBorder="1" applyAlignment="1" applyProtection="1">
      <alignment horizontal="left"/>
    </xf>
    <xf numFmtId="37" fontId="33" fillId="0" borderId="17" xfId="59" applyNumberFormat="1" applyFont="1" applyBorder="1"/>
    <xf numFmtId="37" fontId="30" fillId="0" borderId="18" xfId="59" applyNumberFormat="1" applyFont="1" applyBorder="1"/>
    <xf numFmtId="37" fontId="30" fillId="0" borderId="0" xfId="59" quotePrefix="1" applyNumberFormat="1" applyFont="1" applyAlignment="1">
      <alignment horizontal="left"/>
    </xf>
    <xf numFmtId="37" fontId="30" fillId="0" borderId="0" xfId="59" quotePrefix="1" applyNumberFormat="1" applyFont="1" applyAlignment="1" applyProtection="1">
      <alignment horizontal="left"/>
    </xf>
    <xf numFmtId="37" fontId="32" fillId="0" borderId="0" xfId="59" applyNumberFormat="1" applyFont="1" applyBorder="1"/>
    <xf numFmtId="37" fontId="7" fillId="0" borderId="0" xfId="59" applyNumberFormat="1" applyFont="1" applyBorder="1"/>
    <xf numFmtId="37" fontId="32" fillId="0" borderId="0" xfId="59" applyNumberFormat="1" applyFont="1" applyProtection="1"/>
    <xf numFmtId="37" fontId="30" fillId="0" borderId="0" xfId="59" applyNumberFormat="1" applyFont="1" applyAlignment="1" applyProtection="1">
      <alignment horizontal="left"/>
    </xf>
    <xf numFmtId="37" fontId="30" fillId="0" borderId="18" xfId="59" applyNumberFormat="1" applyFont="1" applyBorder="1" applyProtection="1"/>
    <xf numFmtId="37" fontId="30" fillId="0" borderId="0" xfId="59" applyNumberFormat="1" applyFont="1" applyProtection="1"/>
    <xf numFmtId="37" fontId="30" fillId="0" borderId="0" xfId="59" applyNumberFormat="1" applyFont="1" applyBorder="1" applyAlignment="1">
      <alignment horizontal="right"/>
    </xf>
    <xf numFmtId="37" fontId="32" fillId="0" borderId="18" xfId="59" applyNumberFormat="1" applyFont="1" applyBorder="1" applyProtection="1"/>
    <xf numFmtId="37" fontId="33" fillId="0" borderId="0" xfId="59" quotePrefix="1" applyNumberFormat="1" applyFont="1" applyAlignment="1" applyProtection="1">
      <alignment horizontal="left"/>
    </xf>
    <xf numFmtId="37" fontId="33" fillId="0" borderId="19" xfId="59" applyNumberFormat="1" applyFont="1" applyBorder="1" applyProtection="1"/>
    <xf numFmtId="37" fontId="33" fillId="0" borderId="0" xfId="59" applyNumberFormat="1" applyFont="1" applyBorder="1" applyAlignment="1">
      <alignment horizontal="right"/>
    </xf>
    <xf numFmtId="37" fontId="32" fillId="0" borderId="0" xfId="59" applyNumberFormat="1" applyFont="1"/>
    <xf numFmtId="17" fontId="31" fillId="0" borderId="0" xfId="0" applyNumberFormat="1" applyFont="1" applyBorder="1" applyAlignment="1">
      <alignment horizontal="center" wrapText="1"/>
    </xf>
    <xf numFmtId="0" fontId="30" fillId="0" borderId="0" xfId="53" applyFont="1"/>
    <xf numFmtId="0" fontId="30" fillId="0" borderId="0" xfId="53" applyFont="1" applyAlignment="1">
      <alignment horizontal="right"/>
    </xf>
    <xf numFmtId="0" fontId="33" fillId="0" borderId="0" xfId="53" applyFont="1" applyAlignment="1">
      <alignment horizontal="right"/>
    </xf>
    <xf numFmtId="0" fontId="33" fillId="0" borderId="0" xfId="53" applyFont="1" applyAlignment="1" applyProtection="1">
      <alignment horizontal="right"/>
      <protection locked="0"/>
    </xf>
    <xf numFmtId="0" fontId="30" fillId="0" borderId="0" xfId="53" applyFont="1" applyAlignment="1">
      <alignment horizontal="left"/>
    </xf>
    <xf numFmtId="0" fontId="34" fillId="0" borderId="0" xfId="53" applyFont="1"/>
    <xf numFmtId="0" fontId="33" fillId="0" borderId="0" xfId="53" applyFont="1" applyAlignment="1">
      <alignment horizontal="center"/>
    </xf>
    <xf numFmtId="0" fontId="33" fillId="0" borderId="0" xfId="53" applyFont="1" applyBorder="1" applyAlignment="1">
      <alignment horizontal="center"/>
    </xf>
    <xf numFmtId="0" fontId="33" fillId="0" borderId="16" xfId="53" applyFont="1" applyBorder="1" applyAlignment="1">
      <alignment horizontal="left"/>
    </xf>
    <xf numFmtId="0" fontId="30" fillId="0" borderId="16" xfId="53" applyFont="1" applyBorder="1"/>
    <xf numFmtId="0" fontId="33" fillId="0" borderId="16" xfId="53" applyFont="1" applyBorder="1" applyAlignment="1">
      <alignment horizontal="center"/>
    </xf>
    <xf numFmtId="0" fontId="33" fillId="0" borderId="17" xfId="53" applyFont="1" applyBorder="1" applyAlignment="1">
      <alignment horizontal="center"/>
    </xf>
    <xf numFmtId="0" fontId="30" fillId="0" borderId="18" xfId="53" applyFont="1" applyBorder="1" applyAlignment="1">
      <alignment horizontal="right"/>
    </xf>
    <xf numFmtId="0" fontId="33" fillId="0" borderId="17" xfId="53" applyFont="1" applyBorder="1"/>
    <xf numFmtId="0" fontId="30" fillId="0" borderId="17" xfId="53" applyFont="1" applyBorder="1"/>
    <xf numFmtId="0" fontId="30" fillId="0" borderId="0" xfId="53" applyFont="1" applyBorder="1" applyAlignment="1">
      <alignment horizontal="right"/>
    </xf>
    <xf numFmtId="37" fontId="30" fillId="0" borderId="0" xfId="53" applyNumberFormat="1" applyFont="1"/>
    <xf numFmtId="38" fontId="30" fillId="0" borderId="0" xfId="54" applyFont="1"/>
    <xf numFmtId="37" fontId="7" fillId="0" borderId="0" xfId="53" applyNumberFormat="1" applyFont="1" applyAlignment="1">
      <alignment horizontal="right"/>
    </xf>
    <xf numFmtId="5" fontId="30" fillId="0" borderId="0" xfId="53" applyNumberFormat="1" applyFont="1" applyAlignment="1" applyProtection="1">
      <alignment horizontal="right"/>
    </xf>
    <xf numFmtId="37" fontId="30" fillId="0" borderId="0" xfId="53" applyNumberFormat="1" applyFont="1" applyAlignment="1">
      <alignment horizontal="right"/>
    </xf>
    <xf numFmtId="0" fontId="34" fillId="0" borderId="17" xfId="53" applyFont="1" applyBorder="1"/>
    <xf numFmtId="5" fontId="30" fillId="0" borderId="0" xfId="53" applyNumberFormat="1" applyFont="1"/>
    <xf numFmtId="0" fontId="35" fillId="0" borderId="0" xfId="0" applyNumberFormat="1" applyFont="1" applyFill="1" applyAlignment="1">
      <alignment horizontal="right"/>
    </xf>
    <xf numFmtId="0" fontId="35" fillId="0" borderId="0" xfId="0" applyNumberFormat="1" applyFont="1" applyFill="1" applyAlignment="1"/>
    <xf numFmtId="0" fontId="35" fillId="0" borderId="0" xfId="0" applyNumberFormat="1" applyFont="1" applyFill="1" applyAlignment="1">
      <alignment horizontal="center"/>
    </xf>
    <xf numFmtId="5" fontId="18" fillId="0" borderId="0" xfId="59" applyNumberFormat="1" applyFont="1" applyFill="1" applyBorder="1" applyProtection="1"/>
    <xf numFmtId="5" fontId="18" fillId="0" borderId="8" xfId="59" applyNumberFormat="1" applyFont="1" applyFill="1" applyBorder="1" applyProtection="1"/>
    <xf numFmtId="0" fontId="36" fillId="0" borderId="0" xfId="0" applyFont="1" applyAlignment="1"/>
    <xf numFmtId="43" fontId="36" fillId="0" borderId="0" xfId="29" applyFont="1"/>
    <xf numFmtId="0" fontId="36" fillId="0" borderId="0" xfId="0" applyFont="1" applyAlignment="1">
      <alignment horizontal="center" wrapText="1"/>
    </xf>
    <xf numFmtId="43" fontId="36" fillId="0" borderId="0" xfId="29" applyFont="1" applyAlignment="1">
      <alignment horizontal="center" wrapText="1"/>
    </xf>
    <xf numFmtId="170" fontId="36" fillId="0" borderId="0" xfId="29" applyNumberFormat="1" applyFont="1"/>
    <xf numFmtId="0" fontId="36" fillId="0" borderId="0" xfId="0" applyFont="1" applyFill="1" applyAlignment="1"/>
    <xf numFmtId="170" fontId="36" fillId="0" borderId="23" xfId="29" applyNumberFormat="1" applyFont="1" applyBorder="1"/>
    <xf numFmtId="5" fontId="17" fillId="0" borderId="17" xfId="59" applyNumberFormat="1" applyFont="1" applyBorder="1" applyProtection="1"/>
    <xf numFmtId="164" fontId="33" fillId="0" borderId="0" xfId="57" applyNumberFormat="1" applyFont="1" applyAlignment="1" applyProtection="1">
      <alignment horizontal="left"/>
    </xf>
    <xf numFmtId="0" fontId="30" fillId="0" borderId="0" xfId="53" applyFont="1" applyBorder="1"/>
    <xf numFmtId="164" fontId="33" fillId="0" borderId="0" xfId="59" applyNumberFormat="1" applyFont="1" applyAlignment="1" applyProtection="1">
      <alignment horizontal="right"/>
      <protection locked="0"/>
    </xf>
    <xf numFmtId="0" fontId="33" fillId="0" borderId="0" xfId="53" applyFont="1"/>
    <xf numFmtId="0" fontId="33" fillId="0" borderId="0" xfId="53" applyFont="1" applyAlignment="1" applyProtection="1">
      <alignment horizontal="left"/>
      <protection locked="0"/>
    </xf>
    <xf numFmtId="0" fontId="30" fillId="0" borderId="0" xfId="53" applyFont="1" applyAlignment="1">
      <alignment horizontal="center"/>
    </xf>
    <xf numFmtId="0" fontId="33" fillId="0" borderId="0" xfId="53" applyFont="1" applyBorder="1"/>
    <xf numFmtId="0" fontId="37" fillId="0" borderId="0" xfId="53" applyFont="1" applyAlignment="1">
      <alignment horizontal="left"/>
    </xf>
    <xf numFmtId="0" fontId="38" fillId="0" borderId="0" xfId="53" applyFont="1" applyAlignment="1">
      <alignment horizontal="left"/>
    </xf>
    <xf numFmtId="5" fontId="7" fillId="0" borderId="0" xfId="53" applyNumberFormat="1" applyFont="1" applyFill="1" applyBorder="1"/>
    <xf numFmtId="5" fontId="30" fillId="0" borderId="0" xfId="53" applyNumberFormat="1" applyFont="1" applyProtection="1"/>
    <xf numFmtId="0" fontId="30" fillId="0" borderId="0" xfId="53" quotePrefix="1" applyFont="1" applyAlignment="1">
      <alignment horizontal="left"/>
    </xf>
    <xf numFmtId="37" fontId="7" fillId="0" borderId="0" xfId="53" applyNumberFormat="1" applyFont="1" applyFill="1" applyProtection="1"/>
    <xf numFmtId="37" fontId="7" fillId="0" borderId="0" xfId="53" applyNumberFormat="1" applyFont="1" applyFill="1" applyBorder="1"/>
    <xf numFmtId="37" fontId="30" fillId="0" borderId="0" xfId="53" applyNumberFormat="1" applyFont="1" applyProtection="1"/>
    <xf numFmtId="5" fontId="30" fillId="0" borderId="18" xfId="53" applyNumberFormat="1" applyFont="1" applyBorder="1" applyProtection="1"/>
    <xf numFmtId="37" fontId="30" fillId="0" borderId="0" xfId="53" applyNumberFormat="1" applyFont="1" applyBorder="1" applyProtection="1"/>
    <xf numFmtId="37" fontId="30" fillId="0" borderId="17" xfId="53" applyNumberFormat="1" applyFont="1" applyBorder="1" applyProtection="1"/>
    <xf numFmtId="5" fontId="30" fillId="0" borderId="20" xfId="53" applyNumberFormat="1" applyFont="1" applyBorder="1" applyProtection="1"/>
    <xf numFmtId="5" fontId="30" fillId="0" borderId="0" xfId="53" applyNumberFormat="1" applyFont="1" applyBorder="1" applyProtection="1"/>
    <xf numFmtId="5" fontId="7" fillId="0" borderId="0" xfId="53" applyNumberFormat="1" applyFont="1" applyProtection="1"/>
    <xf numFmtId="5" fontId="7" fillId="0" borderId="19" xfId="53" applyNumberFormat="1" applyFont="1" applyBorder="1" applyProtection="1"/>
    <xf numFmtId="5" fontId="7" fillId="0" borderId="17" xfId="53" applyNumberFormat="1" applyFont="1" applyFill="1" applyBorder="1" applyProtection="1"/>
    <xf numFmtId="37" fontId="7" fillId="27" borderId="17" xfId="53" applyNumberFormat="1" applyFont="1" applyFill="1" applyBorder="1" applyProtection="1"/>
    <xf numFmtId="5" fontId="7" fillId="0" borderId="17" xfId="53" applyNumberFormat="1" applyFont="1" applyBorder="1" applyProtection="1"/>
    <xf numFmtId="5" fontId="30" fillId="0" borderId="19" xfId="53" applyNumberFormat="1" applyFont="1" applyBorder="1" applyProtection="1"/>
    <xf numFmtId="38" fontId="30" fillId="0" borderId="0" xfId="53" applyNumberFormat="1" applyFont="1" applyProtection="1"/>
    <xf numFmtId="37" fontId="30" fillId="0" borderId="0" xfId="53" applyNumberFormat="1" applyFont="1" applyFill="1"/>
    <xf numFmtId="37" fontId="30" fillId="0" borderId="0" xfId="53" applyNumberFormat="1" applyFont="1" applyFill="1" applyProtection="1"/>
    <xf numFmtId="37" fontId="30" fillId="0" borderId="0" xfId="53" applyNumberFormat="1" applyFont="1" applyAlignment="1">
      <alignment horizontal="left"/>
    </xf>
    <xf numFmtId="5" fontId="30" fillId="0" borderId="19" xfId="53" applyNumberFormat="1" applyFont="1" applyBorder="1"/>
    <xf numFmtId="0" fontId="30" fillId="0" borderId="0" xfId="53" applyFont="1" applyFill="1"/>
    <xf numFmtId="5" fontId="30" fillId="0" borderId="19" xfId="53" applyNumberFormat="1" applyFont="1" applyFill="1" applyBorder="1"/>
    <xf numFmtId="170" fontId="30" fillId="0" borderId="0" xfId="29" applyNumberFormat="1" applyFont="1"/>
    <xf numFmtId="37" fontId="7" fillId="27" borderId="0" xfId="53" applyNumberFormat="1" applyFont="1" applyFill="1" applyBorder="1" applyProtection="1"/>
    <xf numFmtId="0" fontId="30" fillId="0" borderId="0" xfId="53" applyFont="1" applyFill="1" applyBorder="1"/>
    <xf numFmtId="0" fontId="30" fillId="0" borderId="0" xfId="53" applyFont="1" applyFill="1" applyBorder="1" applyAlignment="1">
      <alignment horizontal="center"/>
    </xf>
    <xf numFmtId="0" fontId="33" fillId="0" borderId="0" xfId="53" applyFont="1" applyFill="1" applyBorder="1" applyAlignment="1">
      <alignment horizontal="center"/>
    </xf>
    <xf numFmtId="5" fontId="30" fillId="0" borderId="0" xfId="53" applyNumberFormat="1" applyFont="1" applyFill="1" applyBorder="1"/>
    <xf numFmtId="37" fontId="30" fillId="0" borderId="0" xfId="53" applyNumberFormat="1" applyFont="1" applyFill="1" applyBorder="1"/>
    <xf numFmtId="174" fontId="20" fillId="0" borderId="15" xfId="0" applyNumberFormat="1" applyFont="1" applyFill="1" applyBorder="1" applyAlignment="1"/>
    <xf numFmtId="5" fontId="30" fillId="0" borderId="18" xfId="53" applyNumberFormat="1" applyFont="1" applyFill="1" applyBorder="1" applyProtection="1"/>
    <xf numFmtId="37" fontId="7" fillId="0" borderId="0" xfId="53" applyNumberFormat="1" applyFont="1" applyFill="1" applyBorder="1" applyProtection="1"/>
    <xf numFmtId="37" fontId="7" fillId="0" borderId="17" xfId="53" applyNumberFormat="1" applyFont="1" applyFill="1" applyBorder="1" applyProtection="1"/>
    <xf numFmtId="37" fontId="32" fillId="0" borderId="0" xfId="0" applyNumberFormat="1" applyFont="1" applyFill="1" applyAlignment="1"/>
    <xf numFmtId="17" fontId="20" fillId="0" borderId="0" xfId="0" applyNumberFormat="1" applyFont="1" applyFill="1" applyAlignment="1"/>
    <xf numFmtId="10" fontId="20" fillId="0" borderId="0" xfId="66" applyNumberFormat="1" applyFont="1" applyFill="1"/>
    <xf numFmtId="37" fontId="21" fillId="29" borderId="0" xfId="53" applyNumberFormat="1" applyFont="1" applyFill="1" applyAlignment="1">
      <alignment horizontal="right"/>
    </xf>
    <xf numFmtId="0" fontId="17" fillId="29" borderId="0" xfId="53" applyFont="1" applyFill="1"/>
    <xf numFmtId="37" fontId="17" fillId="29" borderId="0" xfId="53" applyNumberFormat="1" applyFont="1" applyFill="1" applyAlignment="1" applyProtection="1">
      <alignment horizontal="right"/>
    </xf>
    <xf numFmtId="37" fontId="17" fillId="29" borderId="0" xfId="53" applyNumberFormat="1" applyFont="1" applyFill="1" applyAlignment="1">
      <alignment horizontal="right"/>
    </xf>
    <xf numFmtId="38" fontId="21" fillId="29" borderId="0" xfId="59" applyFont="1" applyFill="1" applyBorder="1"/>
    <xf numFmtId="0" fontId="20" fillId="29" borderId="0" xfId="0" applyFont="1" applyFill="1" applyAlignment="1"/>
    <xf numFmtId="5" fontId="7" fillId="29" borderId="0" xfId="53" applyNumberFormat="1" applyFont="1" applyFill="1" applyAlignment="1">
      <alignment horizontal="right"/>
    </xf>
    <xf numFmtId="37" fontId="7" fillId="29" borderId="0" xfId="53" applyNumberFormat="1" applyFont="1" applyFill="1" applyBorder="1" applyAlignment="1">
      <alignment horizontal="right"/>
    </xf>
    <xf numFmtId="0" fontId="30" fillId="29" borderId="0" xfId="53" applyFont="1" applyFill="1"/>
    <xf numFmtId="37" fontId="7" fillId="29" borderId="17" xfId="53" applyNumberFormat="1" applyFont="1" applyFill="1" applyBorder="1" applyAlignment="1">
      <alignment horizontal="right"/>
    </xf>
    <xf numFmtId="37" fontId="32" fillId="0" borderId="17" xfId="0" applyNumberFormat="1" applyFont="1" applyFill="1" applyBorder="1" applyAlignment="1"/>
    <xf numFmtId="37" fontId="32" fillId="0" borderId="0" xfId="59" applyNumberFormat="1" applyFont="1" applyFill="1" applyBorder="1"/>
    <xf numFmtId="37" fontId="7" fillId="0" borderId="0" xfId="59" applyNumberFormat="1" applyFont="1" applyFill="1" applyBorder="1"/>
    <xf numFmtId="170" fontId="36" fillId="0" borderId="0" xfId="29" applyNumberFormat="1" applyFont="1" applyFill="1"/>
    <xf numFmtId="37" fontId="21" fillId="0" borderId="0" xfId="59" applyNumberFormat="1" applyFont="1" applyFill="1" applyBorder="1" applyAlignment="1">
      <alignment horizontal="right"/>
    </xf>
    <xf numFmtId="38" fontId="39" fillId="0" borderId="0" xfId="59" applyFont="1" applyFill="1" applyBorder="1"/>
    <xf numFmtId="38" fontId="21" fillId="0" borderId="0" xfId="59" applyFont="1" applyFill="1"/>
    <xf numFmtId="38" fontId="39" fillId="0" borderId="0" xfId="59" applyFont="1" applyFill="1"/>
    <xf numFmtId="0" fontId="25" fillId="0" borderId="0" xfId="0" applyFont="1" applyAlignment="1">
      <alignment horizontal="center"/>
    </xf>
    <xf numFmtId="37" fontId="32" fillId="0" borderId="17" xfId="53" applyNumberFormat="1" applyFont="1" applyFill="1" applyBorder="1" applyProtection="1"/>
    <xf numFmtId="37" fontId="32" fillId="0" borderId="0" xfId="53" applyNumberFormat="1" applyFont="1" applyFill="1" applyProtection="1"/>
    <xf numFmtId="17" fontId="17" fillId="0" borderId="0" xfId="59" quotePrefix="1" applyNumberFormat="1" applyFont="1" applyBorder="1" applyAlignment="1">
      <alignment horizontal="right"/>
    </xf>
    <xf numFmtId="0" fontId="17" fillId="0" borderId="0" xfId="59" applyNumberFormat="1" applyFont="1" applyBorder="1" applyAlignment="1">
      <alignment horizontal="right"/>
    </xf>
    <xf numFmtId="0" fontId="17" fillId="0" borderId="0" xfId="59" quotePrefix="1" applyNumberFormat="1" applyFont="1" applyBorder="1" applyAlignment="1">
      <alignment horizontal="right"/>
    </xf>
    <xf numFmtId="17" fontId="17" fillId="0" borderId="0" xfId="59" quotePrefix="1" applyNumberFormat="1" applyFont="1" applyAlignment="1">
      <alignment horizontal="center"/>
    </xf>
    <xf numFmtId="0" fontId="17" fillId="0" borderId="0" xfId="59" quotePrefix="1" applyNumberFormat="1" applyFont="1" applyAlignment="1">
      <alignment horizontal="center"/>
    </xf>
    <xf numFmtId="164" fontId="18" fillId="0" borderId="0" xfId="59" applyNumberFormat="1" applyFont="1" applyFill="1" applyAlignment="1" applyProtection="1">
      <alignment horizontal="center"/>
    </xf>
    <xf numFmtId="164" fontId="18" fillId="0" borderId="17" xfId="59" applyNumberFormat="1" applyFont="1" applyFill="1" applyBorder="1" applyAlignment="1" applyProtection="1">
      <alignment horizontal="center"/>
    </xf>
    <xf numFmtId="38" fontId="20" fillId="0" borderId="0" xfId="59" applyFont="1" applyFill="1" applyBorder="1"/>
    <xf numFmtId="38" fontId="17" fillId="0" borderId="18" xfId="59" applyFont="1" applyFill="1" applyBorder="1"/>
    <xf numFmtId="38" fontId="20" fillId="0" borderId="17" xfId="59" applyFont="1" applyFill="1" applyBorder="1"/>
    <xf numFmtId="5" fontId="30" fillId="0" borderId="23" xfId="53" applyNumberFormat="1" applyFont="1" applyBorder="1" applyAlignment="1" applyProtection="1">
      <alignment horizontal="right"/>
    </xf>
    <xf numFmtId="0" fontId="32" fillId="0" borderId="0" xfId="53" applyFont="1" applyAlignment="1">
      <alignment horizontal="right"/>
    </xf>
    <xf numFmtId="0" fontId="32" fillId="0" borderId="0" xfId="53" applyFont="1"/>
    <xf numFmtId="0" fontId="32" fillId="0" borderId="0" xfId="53" applyFont="1" applyBorder="1" applyAlignment="1">
      <alignment horizontal="right"/>
    </xf>
    <xf numFmtId="37" fontId="32" fillId="0" borderId="0" xfId="53" applyNumberFormat="1" applyFont="1" applyBorder="1"/>
    <xf numFmtId="0" fontId="32" fillId="0" borderId="0" xfId="53" applyFont="1" applyBorder="1"/>
    <xf numFmtId="0" fontId="31" fillId="0" borderId="0" xfId="53" applyFont="1" applyBorder="1" applyAlignment="1">
      <alignment horizontal="center"/>
    </xf>
    <xf numFmtId="5" fontId="32" fillId="0" borderId="0" xfId="53" applyNumberFormat="1" applyFont="1" applyBorder="1"/>
    <xf numFmtId="37" fontId="32" fillId="0" borderId="0" xfId="53" applyNumberFormat="1" applyFont="1" applyFill="1"/>
    <xf numFmtId="5" fontId="32" fillId="0" borderId="0" xfId="53" applyNumberFormat="1" applyFont="1" applyFill="1"/>
    <xf numFmtId="37" fontId="32" fillId="0" borderId="0" xfId="53" applyNumberFormat="1" applyFont="1" applyFill="1" applyBorder="1"/>
    <xf numFmtId="172" fontId="40" fillId="0" borderId="0" xfId="0" quotePrefix="1" applyNumberFormat="1" applyFont="1" applyFill="1" applyBorder="1" applyAlignment="1">
      <alignment horizontal="center"/>
    </xf>
    <xf numFmtId="10" fontId="21" fillId="0" borderId="0" xfId="66" applyNumberFormat="1" applyFont="1" applyFill="1"/>
    <xf numFmtId="170" fontId="17" fillId="0" borderId="0" xfId="29" applyNumberFormat="1" applyFont="1"/>
    <xf numFmtId="0" fontId="59" fillId="0" borderId="0" xfId="0" applyFont="1" applyAlignment="1"/>
    <xf numFmtId="37" fontId="17" fillId="0" borderId="0" xfId="53" applyNumberFormat="1" applyFont="1" applyFill="1" applyProtection="1"/>
    <xf numFmtId="5" fontId="32" fillId="27" borderId="19" xfId="53" applyNumberFormat="1" applyFont="1" applyFill="1" applyBorder="1" applyProtection="1"/>
    <xf numFmtId="37" fontId="32" fillId="27" borderId="0" xfId="53" applyNumberFormat="1" applyFont="1" applyFill="1" applyProtection="1"/>
    <xf numFmtId="37" fontId="32" fillId="27" borderId="17" xfId="53" applyNumberFormat="1" applyFont="1" applyFill="1" applyBorder="1" applyProtection="1"/>
    <xf numFmtId="5" fontId="30" fillId="27" borderId="20" xfId="53" applyNumberFormat="1" applyFont="1" applyFill="1" applyBorder="1" applyProtection="1"/>
    <xf numFmtId="37" fontId="30" fillId="27" borderId="0" xfId="53" applyNumberFormat="1" applyFont="1" applyFill="1" applyProtection="1"/>
    <xf numFmtId="37" fontId="32" fillId="27" borderId="0" xfId="0" applyNumberFormat="1" applyFont="1" applyFill="1" applyBorder="1" applyAlignment="1"/>
    <xf numFmtId="5" fontId="30" fillId="27" borderId="19" xfId="53" applyNumberFormat="1" applyFont="1" applyFill="1" applyBorder="1"/>
    <xf numFmtId="5" fontId="7" fillId="0" borderId="0" xfId="53" applyNumberFormat="1" applyFont="1" applyFill="1" applyAlignment="1">
      <alignment horizontal="right"/>
    </xf>
    <xf numFmtId="37" fontId="7" fillId="0" borderId="17" xfId="53" applyNumberFormat="1" applyFont="1" applyFill="1" applyBorder="1" applyAlignment="1">
      <alignment horizontal="right"/>
    </xf>
    <xf numFmtId="37" fontId="7" fillId="0" borderId="0" xfId="53" applyNumberFormat="1" applyFont="1" applyFill="1" applyAlignment="1">
      <alignment horizontal="right"/>
    </xf>
    <xf numFmtId="5" fontId="30" fillId="0" borderId="0" xfId="53" applyNumberFormat="1" applyFont="1" applyFill="1" applyAlignment="1" applyProtection="1">
      <alignment horizontal="right"/>
    </xf>
    <xf numFmtId="37" fontId="30" fillId="0" borderId="0" xfId="53" applyNumberFormat="1" applyFont="1" applyFill="1" applyAlignment="1">
      <alignment horizontal="right"/>
    </xf>
    <xf numFmtId="37" fontId="7" fillId="0" borderId="0" xfId="53" applyNumberFormat="1" applyFont="1" applyFill="1" applyBorder="1" applyAlignment="1">
      <alignment horizontal="right"/>
    </xf>
    <xf numFmtId="5" fontId="30" fillId="0" borderId="19" xfId="53" applyNumberFormat="1" applyFont="1" applyFill="1" applyBorder="1" applyProtection="1"/>
    <xf numFmtId="38" fontId="17" fillId="0" borderId="0" xfId="59" applyFont="1" applyAlignment="1">
      <alignment horizontal="center"/>
    </xf>
    <xf numFmtId="0" fontId="0" fillId="0" borderId="0" xfId="0" applyFill="1" applyBorder="1" applyAlignment="1">
      <alignment horizontal="center"/>
    </xf>
    <xf numFmtId="0" fontId="36" fillId="0" borderId="0" xfId="0" quotePrefix="1" applyFont="1" applyAlignment="1"/>
    <xf numFmtId="5" fontId="17" fillId="0" borderId="0" xfId="66" applyNumberFormat="1" applyFont="1"/>
    <xf numFmtId="10" fontId="17" fillId="0" borderId="0" xfId="66" applyNumberFormat="1" applyFont="1"/>
    <xf numFmtId="10" fontId="18" fillId="0" borderId="0" xfId="66" applyNumberFormat="1" applyFont="1"/>
    <xf numFmtId="170" fontId="30" fillId="0" borderId="0" xfId="29" applyNumberFormat="1" applyFont="1" applyAlignment="1">
      <alignment horizontal="center"/>
    </xf>
    <xf numFmtId="170" fontId="18" fillId="0" borderId="0" xfId="29" applyNumberFormat="1" applyFont="1" applyAlignment="1">
      <alignment horizontal="center"/>
    </xf>
    <xf numFmtId="170" fontId="17" fillId="0" borderId="0" xfId="29" applyNumberFormat="1" applyFont="1" applyAlignment="1">
      <alignment horizontal="center"/>
    </xf>
    <xf numFmtId="0" fontId="29" fillId="0" borderId="0" xfId="53" applyFont="1"/>
    <xf numFmtId="37" fontId="30" fillId="30" borderId="0" xfId="59" applyNumberFormat="1" applyFont="1" applyFill="1" applyAlignment="1"/>
    <xf numFmtId="42" fontId="32" fillId="0" borderId="19" xfId="0" applyNumberFormat="1" applyFont="1" applyFill="1" applyBorder="1" applyAlignment="1">
      <alignment horizontal="right"/>
    </xf>
    <xf numFmtId="3" fontId="32" fillId="0" borderId="0" xfId="0" applyNumberFormat="1" applyFont="1" applyFill="1">
      <alignment vertical="top"/>
    </xf>
    <xf numFmtId="0" fontId="32" fillId="0" borderId="0" xfId="0" applyNumberFormat="1" applyFont="1" applyFill="1">
      <alignment vertical="top"/>
    </xf>
    <xf numFmtId="0" fontId="31" fillId="0" borderId="0" xfId="0" applyFont="1" applyFill="1" applyAlignment="1"/>
    <xf numFmtId="164" fontId="33" fillId="0" borderId="0" xfId="59" applyNumberFormat="1" applyFont="1" applyAlignment="1" applyProtection="1"/>
    <xf numFmtId="0" fontId="32" fillId="0" borderId="0" xfId="0" applyFont="1" applyFill="1" applyAlignment="1">
      <alignment horizontal="center"/>
    </xf>
    <xf numFmtId="0" fontId="32" fillId="0" borderId="0" xfId="0" applyNumberFormat="1" applyFont="1" applyFill="1" applyAlignment="1"/>
    <xf numFmtId="3" fontId="32" fillId="0" borderId="0" xfId="0" applyNumberFormat="1" applyFont="1" applyFill="1" applyAlignment="1"/>
    <xf numFmtId="3" fontId="32" fillId="0" borderId="0" xfId="0" applyNumberFormat="1" applyFont="1" applyFill="1" applyBorder="1" applyAlignment="1"/>
    <xf numFmtId="3" fontId="32" fillId="0" borderId="23" xfId="0" applyNumberFormat="1" applyFont="1" applyFill="1" applyBorder="1" applyAlignment="1"/>
    <xf numFmtId="177" fontId="32" fillId="0" borderId="0" xfId="0" applyNumberFormat="1" applyFont="1" applyFill="1" applyAlignment="1"/>
    <xf numFmtId="3" fontId="32" fillId="0" borderId="17" xfId="0" applyNumberFormat="1" applyFont="1" applyFill="1" applyBorder="1" applyAlignment="1"/>
    <xf numFmtId="174" fontId="32" fillId="0" borderId="19" xfId="31" applyNumberFormat="1" applyFont="1" applyFill="1" applyBorder="1" applyAlignment="1"/>
    <xf numFmtId="42" fontId="32" fillId="0" borderId="0" xfId="0" applyNumberFormat="1" applyFont="1" applyFill="1" applyAlignment="1"/>
    <xf numFmtId="0" fontId="32" fillId="0" borderId="0" xfId="0" applyFont="1" applyFill="1" applyAlignment="1">
      <alignment horizontal="right"/>
    </xf>
    <xf numFmtId="37" fontId="61" fillId="0" borderId="0" xfId="59" applyNumberFormat="1" applyFont="1" applyFill="1" applyAlignment="1">
      <alignment horizontal="center"/>
    </xf>
    <xf numFmtId="37" fontId="5" fillId="0" borderId="0" xfId="59" applyNumberFormat="1" applyFont="1" applyFill="1" applyAlignment="1">
      <alignment horizontal="center"/>
    </xf>
    <xf numFmtId="0" fontId="5" fillId="0" borderId="0" xfId="0" applyFont="1" applyFill="1" applyAlignment="1">
      <alignment horizontal="center"/>
    </xf>
    <xf numFmtId="37" fontId="21" fillId="29" borderId="0" xfId="59" applyNumberFormat="1" applyFont="1" applyFill="1" applyProtection="1"/>
    <xf numFmtId="38" fontId="17" fillId="30" borderId="0" xfId="59" applyFont="1" applyFill="1" applyAlignment="1"/>
    <xf numFmtId="0" fontId="30" fillId="30" borderId="0" xfId="53" applyFont="1" applyFill="1" applyAlignment="1">
      <alignment horizontal="left"/>
    </xf>
    <xf numFmtId="0" fontId="17" fillId="30" borderId="0" xfId="53" applyFont="1" applyFill="1" applyAlignment="1">
      <alignment horizontal="left"/>
    </xf>
    <xf numFmtId="164" fontId="31" fillId="0" borderId="0" xfId="59" applyNumberFormat="1" applyFont="1" applyFill="1" applyAlignment="1" applyProtection="1"/>
    <xf numFmtId="0" fontId="32" fillId="0" borderId="0" xfId="0" applyFont="1">
      <alignment vertical="top"/>
    </xf>
    <xf numFmtId="0" fontId="62" fillId="0" borderId="0" xfId="0" applyFont="1" applyAlignment="1">
      <alignment wrapText="1"/>
    </xf>
    <xf numFmtId="0" fontId="32" fillId="0" borderId="0" xfId="0" applyFont="1" applyAlignment="1">
      <alignment wrapText="1"/>
    </xf>
    <xf numFmtId="0" fontId="32" fillId="0" borderId="0" xfId="0" applyFont="1" applyAlignment="1">
      <alignment horizontal="center" wrapText="1"/>
    </xf>
    <xf numFmtId="0" fontId="32" fillId="0" borderId="0" xfId="0" applyFont="1" applyAlignment="1">
      <alignment horizontal="left" wrapText="1"/>
    </xf>
    <xf numFmtId="49" fontId="32" fillId="0" borderId="0" xfId="59" applyNumberFormat="1" applyFont="1" applyFill="1" applyAlignment="1" applyProtection="1">
      <alignment horizontal="left"/>
    </xf>
    <xf numFmtId="170" fontId="32" fillId="0" borderId="0" xfId="29" applyNumberFormat="1" applyFont="1"/>
    <xf numFmtId="170" fontId="32" fillId="0" borderId="0" xfId="0" applyNumberFormat="1" applyFont="1">
      <alignment vertical="top"/>
    </xf>
    <xf numFmtId="0" fontId="32" fillId="0" borderId="0" xfId="0" applyFont="1" applyAlignment="1">
      <alignment horizontal="left"/>
    </xf>
    <xf numFmtId="0" fontId="32" fillId="0" borderId="0" xfId="0" applyFont="1" applyAlignment="1">
      <alignment horizontal="right" vertical="top"/>
    </xf>
    <xf numFmtId="0" fontId="63" fillId="0" borderId="0" xfId="0" applyFont="1" applyAlignment="1"/>
    <xf numFmtId="0" fontId="63" fillId="0" borderId="0" xfId="0" applyFont="1" applyAlignment="1">
      <alignment horizontal="right"/>
    </xf>
    <xf numFmtId="0" fontId="63" fillId="0" borderId="0" xfId="0" applyNumberFormat="1" applyFont="1" applyAlignment="1" applyProtection="1">
      <protection locked="0"/>
    </xf>
    <xf numFmtId="0" fontId="63" fillId="0" borderId="0" xfId="0" applyNumberFormat="1" applyFont="1" applyAlignment="1" applyProtection="1">
      <alignment horizontal="left"/>
      <protection locked="0"/>
    </xf>
    <xf numFmtId="0" fontId="63" fillId="0" borderId="0" xfId="0" applyNumberFormat="1" applyFont="1" applyProtection="1">
      <alignment vertical="top"/>
      <protection locked="0"/>
    </xf>
    <xf numFmtId="0" fontId="63" fillId="0" borderId="0" xfId="0" applyNumberFormat="1" applyFont="1" applyAlignment="1" applyProtection="1">
      <alignment horizontal="right"/>
      <protection locked="0"/>
    </xf>
    <xf numFmtId="0" fontId="63" fillId="0" borderId="0" xfId="0" applyNumberFormat="1" applyFont="1" applyFill="1" applyAlignment="1" applyProtection="1">
      <alignment horizontal="right"/>
      <protection locked="0"/>
    </xf>
    <xf numFmtId="0" fontId="63" fillId="0" borderId="0" xfId="0" applyNumberFormat="1" applyFont="1" applyFill="1">
      <alignment vertical="top"/>
    </xf>
    <xf numFmtId="0" fontId="63" fillId="0" borderId="0" xfId="0" applyFont="1" applyFill="1" applyAlignment="1"/>
    <xf numFmtId="3" fontId="63" fillId="0" borderId="0" xfId="0" applyNumberFormat="1" applyFont="1" applyAlignment="1"/>
    <xf numFmtId="0" fontId="63" fillId="0" borderId="0" xfId="0" applyNumberFormat="1" applyFont="1">
      <alignment vertical="top"/>
    </xf>
    <xf numFmtId="49" fontId="63" fillId="0" borderId="0" xfId="0" applyNumberFormat="1" applyFont="1" applyFill="1" applyAlignment="1">
      <alignment horizontal="center"/>
    </xf>
    <xf numFmtId="0" fontId="64" fillId="0" borderId="0" xfId="0" applyFont="1" applyAlignment="1"/>
    <xf numFmtId="0" fontId="63" fillId="0" borderId="0" xfId="0" applyNumberFormat="1" applyFont="1" applyAlignment="1" applyProtection="1">
      <alignment horizontal="center"/>
      <protection locked="0"/>
    </xf>
    <xf numFmtId="49" fontId="63" fillId="0" borderId="0" xfId="0" applyNumberFormat="1" applyFont="1">
      <alignment vertical="top"/>
    </xf>
    <xf numFmtId="0" fontId="63" fillId="0" borderId="12" xfId="0" applyNumberFormat="1" applyFont="1" applyBorder="1" applyAlignment="1" applyProtection="1">
      <alignment horizontal="center"/>
      <protection locked="0"/>
    </xf>
    <xf numFmtId="0" fontId="63" fillId="0" borderId="0" xfId="0" applyNumberFormat="1" applyFont="1" applyBorder="1" applyAlignment="1" applyProtection="1">
      <alignment horizontal="center"/>
      <protection locked="0"/>
    </xf>
    <xf numFmtId="3" fontId="63" fillId="0" borderId="0" xfId="0" applyNumberFormat="1" applyFont="1">
      <alignment vertical="top"/>
    </xf>
    <xf numFmtId="42" fontId="63" fillId="0" borderId="0" xfId="0" applyNumberFormat="1" applyFont="1">
      <alignment vertical="top"/>
    </xf>
    <xf numFmtId="0" fontId="63" fillId="0" borderId="0" xfId="0" applyNumberFormat="1" applyFont="1" applyAlignment="1"/>
    <xf numFmtId="3" fontId="63" fillId="0" borderId="0" xfId="0" applyNumberFormat="1" applyFont="1" applyFill="1" applyAlignment="1"/>
    <xf numFmtId="0" fontId="63" fillId="0" borderId="12" xfId="0" applyNumberFormat="1" applyFont="1" applyBorder="1" applyAlignment="1" applyProtection="1">
      <alignment horizontal="centerContinuous"/>
      <protection locked="0"/>
    </xf>
    <xf numFmtId="179" fontId="63" fillId="0" borderId="0" xfId="0" applyNumberFormat="1" applyFont="1" applyAlignment="1"/>
    <xf numFmtId="3" fontId="63" fillId="0" borderId="0" xfId="0" applyNumberFormat="1" applyFont="1" applyFill="1" applyBorder="1">
      <alignment vertical="top"/>
    </xf>
    <xf numFmtId="3" fontId="63" fillId="27" borderId="0" xfId="0" applyNumberFormat="1" applyFont="1" applyFill="1" applyAlignment="1"/>
    <xf numFmtId="3" fontId="63" fillId="0" borderId="12" xfId="0" applyNumberFormat="1" applyFont="1" applyBorder="1" applyAlignment="1"/>
    <xf numFmtId="3" fontId="63" fillId="0" borderId="0" xfId="0" applyNumberFormat="1" applyFont="1" applyBorder="1" applyAlignment="1"/>
    <xf numFmtId="3" fontId="63" fillId="0" borderId="0" xfId="0" applyNumberFormat="1" applyFont="1" applyAlignment="1">
      <alignment horizontal="fill"/>
    </xf>
    <xf numFmtId="0" fontId="63" fillId="0" borderId="0" xfId="0" applyNumberFormat="1" applyFont="1" applyFill="1" applyAlignment="1" applyProtection="1">
      <alignment horizontal="center"/>
      <protection locked="0"/>
    </xf>
    <xf numFmtId="179" fontId="63" fillId="0" borderId="0" xfId="0" applyNumberFormat="1" applyFont="1" applyFill="1" applyAlignment="1"/>
    <xf numFmtId="3" fontId="63" fillId="27" borderId="0" xfId="0" applyNumberFormat="1" applyFont="1" applyFill="1" applyBorder="1" applyAlignment="1"/>
    <xf numFmtId="3" fontId="63" fillId="0" borderId="0" xfId="0" applyNumberFormat="1" applyFont="1" applyFill="1" applyBorder="1" applyAlignment="1"/>
    <xf numFmtId="3" fontId="63" fillId="27" borderId="12" xfId="0" applyNumberFormat="1" applyFont="1" applyFill="1" applyBorder="1" applyAlignment="1"/>
    <xf numFmtId="42" fontId="63" fillId="0" borderId="19" xfId="0" applyNumberFormat="1" applyFont="1" applyFill="1" applyBorder="1" applyAlignment="1" applyProtection="1">
      <alignment horizontal="right"/>
      <protection locked="0"/>
    </xf>
    <xf numFmtId="42" fontId="63" fillId="0" borderId="0" xfId="0" applyNumberFormat="1" applyFont="1" applyFill="1" applyBorder="1" applyAlignment="1" applyProtection="1">
      <alignment horizontal="right"/>
      <protection locked="0"/>
    </xf>
    <xf numFmtId="3" fontId="63" fillId="0" borderId="0" xfId="0" applyNumberFormat="1" applyFont="1" applyFill="1">
      <alignment vertical="top"/>
    </xf>
    <xf numFmtId="0" fontId="63" fillId="0" borderId="18" xfId="0" applyFont="1" applyBorder="1" applyAlignment="1"/>
    <xf numFmtId="0" fontId="65" fillId="0" borderId="24" xfId="0" applyFont="1" applyBorder="1" applyAlignment="1"/>
    <xf numFmtId="0" fontId="63" fillId="0" borderId="0" xfId="0" applyNumberFormat="1" applyFont="1" applyFill="1" applyAlignment="1"/>
    <xf numFmtId="0" fontId="63" fillId="0" borderId="0" xfId="0" applyNumberFormat="1" applyFont="1" applyFill="1" applyProtection="1">
      <alignment vertical="top"/>
      <protection locked="0"/>
    </xf>
    <xf numFmtId="3" fontId="63" fillId="27" borderId="0" xfId="0" applyNumberFormat="1" applyFont="1" applyFill="1">
      <alignment vertical="top"/>
    </xf>
    <xf numFmtId="0" fontId="63" fillId="0" borderId="0" xfId="0" applyFont="1" applyBorder="1" applyAlignment="1"/>
    <xf numFmtId="0" fontId="65" fillId="0" borderId="25" xfId="0" applyFont="1" applyBorder="1" applyAlignment="1"/>
    <xf numFmtId="0" fontId="63" fillId="0" borderId="17" xfId="0" applyFont="1" applyBorder="1" applyAlignment="1"/>
    <xf numFmtId="0" fontId="63" fillId="0" borderId="26" xfId="0" applyFont="1" applyBorder="1" applyAlignment="1"/>
    <xf numFmtId="3" fontId="63" fillId="27" borderId="0" xfId="0" applyNumberFormat="1" applyFont="1" applyFill="1" applyBorder="1">
      <alignment vertical="top"/>
    </xf>
    <xf numFmtId="3" fontId="63" fillId="27" borderId="12" xfId="0" applyNumberFormat="1" applyFont="1" applyFill="1" applyBorder="1">
      <alignment vertical="top"/>
    </xf>
    <xf numFmtId="173" fontId="63" fillId="0" borderId="0" xfId="0" applyNumberFormat="1" applyFont="1" applyFill="1">
      <alignment vertical="top"/>
    </xf>
    <xf numFmtId="173" fontId="63" fillId="0" borderId="0" xfId="0" applyNumberFormat="1" applyFont="1">
      <alignment vertical="top"/>
    </xf>
    <xf numFmtId="173" fontId="63" fillId="0" borderId="0" xfId="0" applyNumberFormat="1" applyFont="1" applyAlignment="1">
      <alignment horizontal="center"/>
    </xf>
    <xf numFmtId="0" fontId="63" fillId="0" borderId="0" xfId="0" applyFont="1" applyAlignment="1">
      <alignment horizontal="center"/>
    </xf>
    <xf numFmtId="0" fontId="63" fillId="0" borderId="0" xfId="0" applyNumberFormat="1" applyFont="1" applyAlignment="1">
      <alignment horizontal="left"/>
    </xf>
    <xf numFmtId="182" fontId="63" fillId="0" borderId="0" xfId="0" applyNumberFormat="1" applyFont="1" applyAlignment="1"/>
    <xf numFmtId="182" fontId="63" fillId="27" borderId="0" xfId="0" applyNumberFormat="1" applyFont="1" applyFill="1" applyProtection="1">
      <alignment vertical="top"/>
      <protection locked="0"/>
    </xf>
    <xf numFmtId="182" fontId="63" fillId="0" borderId="0" xfId="0" applyNumberFormat="1" applyFont="1" applyProtection="1">
      <alignment vertical="top"/>
      <protection locked="0"/>
    </xf>
    <xf numFmtId="182" fontId="63" fillId="0" borderId="0" xfId="0" applyNumberFormat="1" applyFont="1" applyFill="1" applyProtection="1">
      <alignment vertical="top"/>
      <protection locked="0"/>
    </xf>
    <xf numFmtId="0" fontId="63" fillId="0" borderId="0" xfId="0" applyNumberFormat="1" applyFont="1" applyAlignment="1">
      <alignment horizontal="right"/>
    </xf>
    <xf numFmtId="0" fontId="63" fillId="0" borderId="0" xfId="0" applyNumberFormat="1" applyFont="1" applyFill="1" applyAlignment="1">
      <alignment horizontal="right"/>
    </xf>
    <xf numFmtId="3" fontId="63" fillId="0" borderId="0" xfId="0" applyNumberFormat="1" applyFont="1" applyFill="1" applyAlignment="1">
      <alignment horizontal="center"/>
    </xf>
    <xf numFmtId="0" fontId="63" fillId="0" borderId="0" xfId="0" applyNumberFormat="1" applyFont="1" applyAlignment="1">
      <alignment horizontal="center"/>
    </xf>
    <xf numFmtId="49" fontId="63" fillId="0" borderId="0" xfId="0" applyNumberFormat="1" applyFont="1" applyAlignment="1">
      <alignment horizontal="left"/>
    </xf>
    <xf numFmtId="49" fontId="63" fillId="0" borderId="0" xfId="0" applyNumberFormat="1" applyFont="1" applyAlignment="1">
      <alignment horizontal="center"/>
    </xf>
    <xf numFmtId="0" fontId="63" fillId="0" borderId="0" xfId="0" applyNumberFormat="1" applyFont="1" applyFill="1" applyAlignment="1">
      <alignment horizontal="center"/>
    </xf>
    <xf numFmtId="3" fontId="66" fillId="0" borderId="0" xfId="0" applyNumberFormat="1" applyFont="1" applyAlignment="1">
      <alignment horizontal="center"/>
    </xf>
    <xf numFmtId="0" fontId="66" fillId="0" borderId="0" xfId="0" applyNumberFormat="1" applyFont="1" applyAlignment="1" applyProtection="1">
      <alignment horizontal="center"/>
      <protection locked="0"/>
    </xf>
    <xf numFmtId="0" fontId="66" fillId="30" borderId="0" xfId="0" applyFont="1" applyFill="1" applyAlignment="1">
      <alignment horizontal="center"/>
    </xf>
    <xf numFmtId="0" fontId="66" fillId="0" borderId="0" xfId="0" applyFont="1" applyAlignment="1">
      <alignment horizontal="center"/>
    </xf>
    <xf numFmtId="0" fontId="66" fillId="0" borderId="0" xfId="0" applyNumberFormat="1" applyFont="1" applyAlignment="1" applyProtection="1">
      <alignment horizontal="left"/>
      <protection locked="0"/>
    </xf>
    <xf numFmtId="3" fontId="66" fillId="0" borderId="0" xfId="0" applyNumberFormat="1" applyFont="1" applyAlignment="1"/>
    <xf numFmtId="0" fontId="66" fillId="0" borderId="0" xfId="0" applyNumberFormat="1" applyFont="1" applyAlignment="1"/>
    <xf numFmtId="3" fontId="67" fillId="0" borderId="0" xfId="0" applyNumberFormat="1" applyFont="1" applyAlignment="1"/>
    <xf numFmtId="183" fontId="63" fillId="0" borderId="0" xfId="0" applyNumberFormat="1" applyFont="1" applyAlignment="1"/>
    <xf numFmtId="3" fontId="68" fillId="0" borderId="0" xfId="0" applyNumberFormat="1" applyFont="1" applyFill="1" applyAlignment="1"/>
    <xf numFmtId="3" fontId="68" fillId="0" borderId="12" xfId="0" applyNumberFormat="1" applyFont="1" applyFill="1" applyBorder="1" applyAlignment="1"/>
    <xf numFmtId="0" fontId="65" fillId="0" borderId="0" xfId="0" applyNumberFormat="1" applyFont="1" applyAlignment="1">
      <alignment horizontal="left"/>
    </xf>
    <xf numFmtId="175" fontId="63" fillId="0" borderId="0" xfId="0" applyNumberFormat="1" applyFont="1" applyAlignment="1">
      <alignment horizontal="center"/>
    </xf>
    <xf numFmtId="175" fontId="63" fillId="0" borderId="0" xfId="0" applyNumberFormat="1" applyFont="1" applyFill="1" applyAlignment="1">
      <alignment horizontal="center"/>
    </xf>
    <xf numFmtId="176" fontId="65" fillId="0" borderId="0" xfId="0" applyNumberFormat="1" applyFont="1" applyAlignment="1">
      <alignment horizontal="left"/>
    </xf>
    <xf numFmtId="3" fontId="63" fillId="0" borderId="31" xfId="0" applyNumberFormat="1" applyFont="1" applyBorder="1" applyAlignment="1"/>
    <xf numFmtId="3" fontId="63" fillId="0" borderId="0" xfId="0" applyNumberFormat="1" applyFont="1" applyBorder="1" applyAlignment="1">
      <alignment horizontal="fill"/>
    </xf>
    <xf numFmtId="179" fontId="63" fillId="0" borderId="0" xfId="0" applyNumberFormat="1" applyFont="1" applyFill="1" applyAlignment="1">
      <alignment horizontal="center"/>
    </xf>
    <xf numFmtId="183" fontId="63" fillId="0" borderId="0" xfId="0" applyNumberFormat="1" applyFont="1" applyFill="1" applyAlignment="1">
      <alignment horizontal="right"/>
    </xf>
    <xf numFmtId="3" fontId="68" fillId="0" borderId="0" xfId="0" applyNumberFormat="1" applyFont="1" applyFill="1" applyBorder="1" applyAlignment="1"/>
    <xf numFmtId="183" fontId="63" fillId="0" borderId="0" xfId="0" applyNumberFormat="1" applyFont="1" applyFill="1" applyAlignment="1"/>
    <xf numFmtId="0" fontId="63" fillId="0" borderId="0" xfId="0" applyNumberFormat="1" applyFont="1" applyFill="1" applyAlignment="1" applyProtection="1">
      <protection locked="0"/>
    </xf>
    <xf numFmtId="3" fontId="63" fillId="0" borderId="0" xfId="0" applyNumberFormat="1" applyFont="1" applyAlignment="1">
      <alignment horizontal="center"/>
    </xf>
    <xf numFmtId="0" fontId="65" fillId="0" borderId="0" xfId="0" applyNumberFormat="1" applyFont="1" applyAlignment="1"/>
    <xf numFmtId="170" fontId="63" fillId="0" borderId="0" xfId="29" applyNumberFormat="1" applyFont="1" applyAlignment="1"/>
    <xf numFmtId="0" fontId="63" fillId="0" borderId="12" xfId="0" applyFont="1" applyBorder="1" applyAlignment="1"/>
    <xf numFmtId="3" fontId="63" fillId="0" borderId="19" xfId="0" applyNumberFormat="1" applyFont="1" applyBorder="1" applyAlignment="1"/>
    <xf numFmtId="38" fontId="63" fillId="0" borderId="0" xfId="29" applyNumberFormat="1" applyFont="1" applyFill="1" applyAlignment="1">
      <alignment horizontal="center"/>
    </xf>
    <xf numFmtId="0" fontId="66" fillId="0" borderId="0" xfId="0" applyNumberFormat="1" applyFont="1" applyFill="1" applyAlignment="1" applyProtection="1">
      <alignment horizontal="center"/>
      <protection locked="0"/>
    </xf>
    <xf numFmtId="176" fontId="69" fillId="0" borderId="0" xfId="0" applyNumberFormat="1" applyFont="1" applyAlignment="1"/>
    <xf numFmtId="3" fontId="70" fillId="0" borderId="0" xfId="0" applyNumberFormat="1" applyFont="1" applyAlignment="1"/>
    <xf numFmtId="3" fontId="69" fillId="0" borderId="0" xfId="0" applyNumberFormat="1" applyFont="1" applyFill="1" applyAlignment="1"/>
    <xf numFmtId="0" fontId="69" fillId="0" borderId="0" xfId="0" applyFont="1" applyAlignment="1"/>
    <xf numFmtId="184" fontId="63" fillId="0" borderId="0" xfId="0" applyNumberFormat="1" applyFont="1" applyFill="1" applyAlignment="1">
      <alignment horizontal="left"/>
    </xf>
    <xf numFmtId="176" fontId="69" fillId="0" borderId="0" xfId="0" applyNumberFormat="1" applyFont="1" applyFill="1" applyAlignment="1"/>
    <xf numFmtId="176" fontId="63" fillId="0" borderId="0" xfId="0" applyNumberFormat="1" applyFont="1" applyAlignment="1"/>
    <xf numFmtId="0" fontId="63" fillId="0" borderId="0" xfId="55" applyNumberFormat="1" applyFont="1" applyAlignment="1"/>
    <xf numFmtId="3" fontId="65" fillId="0" borderId="0" xfId="0" applyNumberFormat="1" applyFont="1" applyFill="1" applyAlignment="1"/>
    <xf numFmtId="0" fontId="71" fillId="0" borderId="0" xfId="0" applyFont="1" applyAlignment="1"/>
    <xf numFmtId="179" fontId="63" fillId="0" borderId="0" xfId="0" applyNumberFormat="1" applyFont="1" applyFill="1" applyAlignment="1">
      <alignment horizontal="right"/>
    </xf>
    <xf numFmtId="179" fontId="63" fillId="0" borderId="0" xfId="0" applyNumberFormat="1" applyFont="1" applyAlignment="1">
      <alignment horizontal="center"/>
    </xf>
    <xf numFmtId="175" fontId="63" fillId="0" borderId="0" xfId="0" applyNumberFormat="1" applyFont="1" applyAlignment="1">
      <alignment horizontal="left"/>
    </xf>
    <xf numFmtId="10" fontId="63" fillId="0" borderId="0" xfId="0" applyNumberFormat="1" applyFont="1" applyFill="1" applyAlignment="1">
      <alignment horizontal="right"/>
    </xf>
    <xf numFmtId="171" fontId="63" fillId="0" borderId="0" xfId="0" applyNumberFormat="1" applyFont="1" applyFill="1" applyAlignment="1">
      <alignment horizontal="right"/>
    </xf>
    <xf numFmtId="10" fontId="63" fillId="0" borderId="0" xfId="0" applyNumberFormat="1" applyFont="1" applyAlignment="1">
      <alignment horizontal="left"/>
    </xf>
    <xf numFmtId="3" fontId="63" fillId="0" borderId="0" xfId="0" applyNumberFormat="1" applyFont="1" applyFill="1" applyAlignment="1">
      <alignment horizontal="left"/>
    </xf>
    <xf numFmtId="175" fontId="63" fillId="0" borderId="0" xfId="0" applyNumberFormat="1" applyFont="1" applyAlignment="1" applyProtection="1">
      <alignment horizontal="left"/>
      <protection locked="0"/>
    </xf>
    <xf numFmtId="3" fontId="63" fillId="0" borderId="0" xfId="0" applyNumberFormat="1" applyFont="1" applyFill="1" applyAlignment="1">
      <alignment horizontal="right"/>
    </xf>
    <xf numFmtId="185" fontId="63" fillId="0" borderId="0" xfId="0" applyNumberFormat="1" applyFont="1" applyAlignment="1"/>
    <xf numFmtId="3" fontId="63" fillId="0" borderId="32" xfId="0" applyNumberFormat="1" applyFont="1" applyBorder="1" applyAlignment="1"/>
    <xf numFmtId="0" fontId="63" fillId="0" borderId="0" xfId="0" applyFont="1" applyFill="1" applyBorder="1" applyAlignment="1"/>
    <xf numFmtId="0" fontId="63" fillId="0" borderId="12" xfId="0" applyNumberFormat="1" applyFont="1" applyFill="1" applyBorder="1" applyProtection="1">
      <alignment vertical="top"/>
      <protection locked="0"/>
    </xf>
    <xf numFmtId="0" fontId="63" fillId="0" borderId="12" xfId="0" applyNumberFormat="1" applyFont="1" applyFill="1" applyBorder="1">
      <alignment vertical="top"/>
    </xf>
    <xf numFmtId="3" fontId="63" fillId="0" borderId="31" xfId="0" applyNumberFormat="1" applyFont="1" applyFill="1" applyBorder="1" applyAlignment="1"/>
    <xf numFmtId="49" fontId="63" fillId="0" borderId="0" xfId="0" applyNumberFormat="1" applyFont="1" applyFill="1">
      <alignment vertical="top"/>
    </xf>
    <xf numFmtId="49" fontId="63" fillId="0" borderId="0" xfId="0" applyNumberFormat="1" applyFont="1" applyFill="1" applyBorder="1" applyAlignment="1"/>
    <xf numFmtId="49" fontId="63" fillId="0" borderId="0" xfId="0" applyNumberFormat="1" applyFont="1" applyFill="1" applyAlignment="1"/>
    <xf numFmtId="0" fontId="63" fillId="0" borderId="0" xfId="0" applyNumberFormat="1" applyFont="1" applyFill="1" applyBorder="1">
      <alignment vertical="top"/>
    </xf>
    <xf numFmtId="0" fontId="63" fillId="0" borderId="29" xfId="0" applyFont="1" applyBorder="1" applyAlignment="1"/>
    <xf numFmtId="0" fontId="63" fillId="0" borderId="0" xfId="0" applyNumberFormat="1" applyFont="1" applyBorder="1" applyAlignment="1"/>
    <xf numFmtId="0" fontId="63" fillId="0" borderId="25" xfId="0" applyFont="1" applyBorder="1" applyAlignment="1"/>
    <xf numFmtId="6" fontId="63" fillId="27" borderId="29" xfId="31" applyNumberFormat="1" applyFont="1" applyFill="1" applyBorder="1" applyAlignment="1"/>
    <xf numFmtId="3" fontId="68" fillId="0" borderId="0" xfId="0" applyNumberFormat="1" applyFont="1" applyBorder="1" applyAlignment="1"/>
    <xf numFmtId="6" fontId="63" fillId="27" borderId="30" xfId="0" applyNumberFormat="1" applyFont="1" applyFill="1" applyBorder="1" applyAlignment="1"/>
    <xf numFmtId="0" fontId="68" fillId="0" borderId="0" xfId="0" applyFont="1" applyAlignment="1"/>
    <xf numFmtId="6" fontId="63" fillId="0" borderId="29" xfId="0" applyNumberFormat="1" applyFont="1" applyBorder="1" applyAlignment="1"/>
    <xf numFmtId="0" fontId="72" fillId="0" borderId="0" xfId="0" applyFont="1" applyBorder="1">
      <alignment vertical="top"/>
    </xf>
    <xf numFmtId="0" fontId="68" fillId="0" borderId="0" xfId="0" applyFont="1" applyBorder="1">
      <alignment vertical="top"/>
    </xf>
    <xf numFmtId="183" fontId="63" fillId="0" borderId="0" xfId="0" applyNumberFormat="1" applyFont="1" applyFill="1">
      <alignment vertical="top"/>
    </xf>
    <xf numFmtId="6" fontId="63" fillId="27" borderId="29" xfId="0" applyNumberFormat="1" applyFont="1" applyFill="1" applyBorder="1" applyAlignment="1"/>
    <xf numFmtId="179" fontId="63" fillId="0" borderId="0" xfId="0" applyNumberFormat="1" applyFont="1" applyFill="1">
      <alignment vertical="top"/>
    </xf>
    <xf numFmtId="0" fontId="68" fillId="0" borderId="0" xfId="0" applyFont="1" applyBorder="1" applyAlignment="1">
      <alignment horizontal="left" wrapText="1"/>
    </xf>
    <xf numFmtId="0" fontId="68" fillId="0" borderId="0" xfId="0" applyFont="1" applyBorder="1" applyAlignment="1"/>
    <xf numFmtId="3" fontId="63" fillId="0" borderId="12" xfId="0" applyNumberFormat="1" applyFont="1" applyBorder="1" applyAlignment="1">
      <alignment horizontal="center"/>
    </xf>
    <xf numFmtId="6" fontId="63" fillId="0" borderId="30" xfId="0" applyNumberFormat="1" applyFont="1" applyBorder="1" applyAlignment="1"/>
    <xf numFmtId="0" fontId="68" fillId="0" borderId="17" xfId="0" applyFont="1" applyBorder="1" applyAlignment="1"/>
    <xf numFmtId="3" fontId="63" fillId="0" borderId="17" xfId="0" applyNumberFormat="1" applyFont="1" applyBorder="1" applyAlignment="1"/>
    <xf numFmtId="0" fontId="63" fillId="0" borderId="17" xfId="0" applyNumberFormat="1" applyFont="1" applyBorder="1" applyAlignment="1"/>
    <xf numFmtId="4" fontId="63" fillId="0" borderId="0" xfId="0" applyNumberFormat="1" applyFont="1" applyAlignment="1"/>
    <xf numFmtId="3" fontId="63" fillId="0" borderId="0" xfId="0" applyNumberFormat="1" applyFont="1" applyBorder="1" applyAlignment="1">
      <alignment horizontal="center"/>
    </xf>
    <xf numFmtId="3" fontId="63" fillId="0" borderId="0" xfId="0" quotePrefix="1" applyNumberFormat="1" applyFont="1" applyFill="1" applyAlignment="1"/>
    <xf numFmtId="179" fontId="63" fillId="0" borderId="0" xfId="0" applyNumberFormat="1" applyFont="1" applyAlignment="1" applyProtection="1">
      <alignment horizontal="center"/>
      <protection locked="0"/>
    </xf>
    <xf numFmtId="179" fontId="63" fillId="0" borderId="0" xfId="0" quotePrefix="1" applyNumberFormat="1" applyFont="1" applyAlignment="1"/>
    <xf numFmtId="0" fontId="63" fillId="0" borderId="12" xfId="0" applyNumberFormat="1" applyFont="1" applyBorder="1" applyAlignment="1"/>
    <xf numFmtId="3" fontId="63" fillId="0" borderId="0" xfId="0" quotePrefix="1" applyNumberFormat="1" applyFont="1" applyAlignment="1">
      <alignment horizontal="right"/>
    </xf>
    <xf numFmtId="3" fontId="63" fillId="0" borderId="0" xfId="0" applyNumberFormat="1" applyFont="1" applyFill="1" applyBorder="1" applyAlignment="1">
      <alignment horizontal="center"/>
    </xf>
    <xf numFmtId="38" fontId="68" fillId="0" borderId="0" xfId="29" applyNumberFormat="1" applyFont="1" applyFill="1" applyAlignment="1"/>
    <xf numFmtId="38" fontId="63" fillId="0" borderId="0" xfId="29" applyNumberFormat="1" applyFont="1" applyAlignment="1"/>
    <xf numFmtId="42" fontId="63" fillId="0" borderId="0" xfId="0" applyNumberFormat="1" applyFont="1" applyFill="1" applyAlignment="1"/>
    <xf numFmtId="3" fontId="63" fillId="0" borderId="0" xfId="0" applyNumberFormat="1" applyFont="1" applyFill="1" applyAlignment="1" applyProtection="1">
      <protection locked="0"/>
    </xf>
    <xf numFmtId="37" fontId="68" fillId="0" borderId="0" xfId="0" applyNumberFormat="1" applyFont="1" applyFill="1" applyBorder="1" applyAlignment="1"/>
    <xf numFmtId="0" fontId="63" fillId="0" borderId="0" xfId="0" applyNumberFormat="1" applyFont="1" applyBorder="1" applyProtection="1">
      <alignment vertical="top"/>
      <protection locked="0"/>
    </xf>
    <xf numFmtId="9" fontId="63" fillId="0" borderId="0" xfId="0" applyNumberFormat="1" applyFont="1" applyAlignment="1"/>
    <xf numFmtId="171" fontId="63" fillId="0" borderId="0" xfId="0" applyNumberFormat="1" applyFont="1" applyAlignment="1"/>
    <xf numFmtId="0" fontId="63" fillId="0" borderId="0" xfId="0" quotePrefix="1" applyFont="1" applyFill="1" applyAlignment="1"/>
    <xf numFmtId="171" fontId="63" fillId="27" borderId="0" xfId="0" applyNumberFormat="1" applyFont="1" applyFill="1" applyAlignment="1"/>
    <xf numFmtId="171" fontId="63" fillId="0" borderId="12" xfId="0" applyNumberFormat="1" applyFont="1" applyBorder="1" applyAlignment="1"/>
    <xf numFmtId="171" fontId="63" fillId="0" borderId="0" xfId="0" applyNumberFormat="1" applyFont="1" applyBorder="1" applyAlignment="1"/>
    <xf numFmtId="0" fontId="63" fillId="0" borderId="0" xfId="0" applyNumberFormat="1" applyFont="1" applyFill="1" applyBorder="1" applyAlignment="1" applyProtection="1">
      <alignment horizontal="center"/>
      <protection locked="0"/>
    </xf>
    <xf numFmtId="0" fontId="71" fillId="0" borderId="0" xfId="0" applyNumberFormat="1" applyFont="1" applyProtection="1">
      <alignment vertical="top"/>
      <protection locked="0"/>
    </xf>
    <xf numFmtId="0" fontId="63" fillId="0" borderId="0" xfId="0" applyFont="1" applyFill="1" applyAlignment="1" applyProtection="1"/>
    <xf numFmtId="38" fontId="63" fillId="27" borderId="0" xfId="0" applyNumberFormat="1" applyFont="1" applyFill="1" applyBorder="1" applyProtection="1">
      <alignment vertical="top"/>
      <protection locked="0"/>
    </xf>
    <xf numFmtId="38" fontId="63" fillId="0" borderId="0" xfId="0" applyNumberFormat="1" applyFont="1" applyFill="1" applyBorder="1" applyProtection="1">
      <alignment vertical="top"/>
      <protection locked="0"/>
    </xf>
    <xf numFmtId="0" fontId="63" fillId="0" borderId="0" xfId="0" applyNumberFormat="1" applyFont="1" applyBorder="1">
      <alignment vertical="top"/>
    </xf>
    <xf numFmtId="38" fontId="63" fillId="27" borderId="12" xfId="0" applyNumberFormat="1" applyFont="1" applyFill="1" applyBorder="1" applyProtection="1">
      <alignment vertical="top"/>
      <protection locked="0"/>
    </xf>
    <xf numFmtId="38" fontId="63" fillId="0" borderId="0" xfId="0" applyNumberFormat="1" applyFont="1" applyFill="1" applyBorder="1" applyProtection="1">
      <alignment vertical="top"/>
    </xf>
    <xf numFmtId="176" fontId="63" fillId="0" borderId="0" xfId="0" applyNumberFormat="1" applyFont="1" applyFill="1" applyBorder="1" applyProtection="1">
      <alignment vertical="top"/>
    </xf>
    <xf numFmtId="173" fontId="63" fillId="0" borderId="0" xfId="0" applyNumberFormat="1" applyFont="1" applyProtection="1">
      <alignment vertical="top"/>
      <protection locked="0"/>
    </xf>
    <xf numFmtId="38" fontId="73" fillId="27" borderId="0" xfId="0" applyNumberFormat="1" applyFont="1" applyFill="1" applyBorder="1" applyProtection="1">
      <alignment vertical="top"/>
      <protection locked="0"/>
    </xf>
    <xf numFmtId="38" fontId="73" fillId="0" borderId="0" xfId="0" applyNumberFormat="1" applyFont="1" applyFill="1" applyBorder="1" applyProtection="1">
      <alignment vertical="top"/>
      <protection locked="0"/>
    </xf>
    <xf numFmtId="1" fontId="63" fillId="0" borderId="0" xfId="0" applyNumberFormat="1" applyFont="1" applyFill="1" applyProtection="1">
      <alignment vertical="top"/>
    </xf>
    <xf numFmtId="0" fontId="64" fillId="0" borderId="0" xfId="0" applyFont="1" applyFill="1" applyAlignment="1"/>
    <xf numFmtId="176" fontId="63" fillId="27" borderId="0" xfId="0" applyNumberFormat="1" applyFont="1" applyFill="1" applyBorder="1" applyAlignment="1" applyProtection="1">
      <protection locked="0"/>
    </xf>
    <xf numFmtId="176" fontId="63" fillId="0" borderId="0" xfId="0" applyNumberFormat="1" applyFont="1" applyFill="1" applyBorder="1" applyAlignment="1" applyProtection="1">
      <protection locked="0"/>
    </xf>
    <xf numFmtId="1" fontId="63" fillId="0" borderId="0" xfId="0" applyNumberFormat="1" applyFont="1" applyFill="1" applyAlignment="1" applyProtection="1"/>
    <xf numFmtId="0" fontId="63" fillId="0" borderId="0" xfId="0" applyNumberFormat="1" applyFont="1" applyBorder="1" applyAlignment="1" applyProtection="1">
      <protection locked="0"/>
    </xf>
    <xf numFmtId="0" fontId="63" fillId="0" borderId="0" xfId="0" applyNumberFormat="1" applyFont="1" applyFill="1" applyBorder="1" applyAlignment="1" applyProtection="1">
      <protection locked="0"/>
    </xf>
    <xf numFmtId="0" fontId="63" fillId="0" borderId="0" xfId="0" applyNumberFormat="1" applyFont="1" applyFill="1" applyBorder="1" applyProtection="1">
      <alignment vertical="top"/>
      <protection locked="0"/>
    </xf>
    <xf numFmtId="0" fontId="63" fillId="0" borderId="17" xfId="0" applyNumberFormat="1" applyFont="1" applyFill="1" applyBorder="1" applyAlignment="1" applyProtection="1">
      <protection locked="0"/>
    </xf>
    <xf numFmtId="0" fontId="63" fillId="0" borderId="17" xfId="0" applyNumberFormat="1" applyFont="1" applyFill="1" applyBorder="1" applyProtection="1">
      <alignment vertical="top"/>
      <protection locked="0"/>
    </xf>
    <xf numFmtId="176" fontId="63" fillId="27" borderId="12" xfId="0" applyNumberFormat="1" applyFont="1" applyFill="1" applyBorder="1" applyAlignment="1" applyProtection="1">
      <protection locked="0"/>
    </xf>
    <xf numFmtId="3" fontId="63" fillId="0" borderId="0" xfId="0" applyNumberFormat="1" applyFont="1" applyFill="1" applyAlignment="1" applyProtection="1">
      <alignment horizontal="right"/>
      <protection locked="0"/>
    </xf>
    <xf numFmtId="178" fontId="63" fillId="0" borderId="0" xfId="0" applyNumberFormat="1" applyFont="1" applyAlignment="1" applyProtection="1">
      <protection locked="0"/>
    </xf>
    <xf numFmtId="176" fontId="63" fillId="0" borderId="0" xfId="0" applyNumberFormat="1" applyFont="1" applyFill="1" applyBorder="1" applyAlignment="1" applyProtection="1"/>
    <xf numFmtId="3" fontId="63" fillId="0" borderId="0" xfId="0" applyNumberFormat="1" applyFont="1" applyFill="1" applyAlignment="1" applyProtection="1"/>
    <xf numFmtId="0" fontId="63" fillId="0" borderId="0" xfId="0" applyNumberFormat="1" applyFont="1" applyAlignment="1" applyProtection="1">
      <alignment horizontal="left" wrapText="1"/>
      <protection locked="0"/>
    </xf>
    <xf numFmtId="0" fontId="63" fillId="0" borderId="0" xfId="0" applyFont="1" applyAlignment="1">
      <alignment horizontal="left" wrapText="1"/>
    </xf>
    <xf numFmtId="176" fontId="63" fillId="0" borderId="0" xfId="0" applyNumberFormat="1" applyFont="1" applyProtection="1">
      <alignment vertical="top"/>
      <protection locked="0"/>
    </xf>
    <xf numFmtId="0" fontId="63" fillId="0" borderId="0" xfId="0" applyNumberFormat="1" applyFont="1" applyAlignment="1" applyProtection="1">
      <alignment horizontal="left" indent="8"/>
      <protection locked="0"/>
    </xf>
    <xf numFmtId="0" fontId="10" fillId="0" borderId="0" xfId="0" applyFont="1" applyFill="1" applyBorder="1" applyAlignment="1"/>
    <xf numFmtId="0" fontId="10" fillId="0" borderId="0" xfId="0" applyFont="1" applyFill="1" applyBorder="1" applyAlignment="1">
      <alignment horizontal="right"/>
    </xf>
    <xf numFmtId="0" fontId="10" fillId="0" borderId="0" xfId="0" applyNumberFormat="1" applyFont="1" applyFill="1" applyBorder="1" applyAlignment="1" applyProtection="1">
      <protection locked="0"/>
    </xf>
    <xf numFmtId="0" fontId="10" fillId="0" borderId="0" xfId="0" applyNumberFormat="1" applyFont="1" applyFill="1" applyBorder="1" applyAlignment="1" applyProtection="1">
      <alignment horizontal="left"/>
      <protection locked="0"/>
    </xf>
    <xf numFmtId="0" fontId="10" fillId="0" borderId="0" xfId="0" applyNumberFormat="1" applyFont="1" applyFill="1" applyBorder="1" applyProtection="1">
      <alignment vertical="top"/>
      <protection locked="0"/>
    </xf>
    <xf numFmtId="0" fontId="10" fillId="0" borderId="0" xfId="0" applyNumberFormat="1" applyFont="1" applyFill="1" applyBorder="1">
      <alignment vertical="top"/>
    </xf>
    <xf numFmtId="0" fontId="74" fillId="0" borderId="0" xfId="0" applyNumberFormat="1" applyFont="1" applyFill="1" applyBorder="1">
      <alignment vertical="top"/>
    </xf>
    <xf numFmtId="3" fontId="10" fillId="0" borderId="0" xfId="0" applyNumberFormat="1" applyFont="1" applyFill="1" applyBorder="1" applyAlignment="1"/>
    <xf numFmtId="0" fontId="74" fillId="0" borderId="0" xfId="0" applyNumberFormat="1" applyFont="1" applyFill="1" applyBorder="1" applyAlignment="1">
      <alignment horizontal="center"/>
    </xf>
    <xf numFmtId="0" fontId="10" fillId="0" borderId="0" xfId="0" applyNumberFormat="1" applyFont="1" applyFill="1" applyBorder="1" applyAlignment="1" applyProtection="1">
      <alignment horizontal="center"/>
      <protection locked="0"/>
    </xf>
    <xf numFmtId="0" fontId="10" fillId="27" borderId="0" xfId="0" applyNumberFormat="1" applyFont="1" applyFill="1" applyBorder="1">
      <alignment vertical="top"/>
    </xf>
    <xf numFmtId="49" fontId="10" fillId="27" borderId="0" xfId="0" applyNumberFormat="1" applyFont="1" applyFill="1" applyBorder="1" applyAlignment="1">
      <alignment horizontal="center"/>
    </xf>
    <xf numFmtId="49" fontId="10" fillId="0" borderId="0" xfId="0" applyNumberFormat="1" applyFont="1" applyFill="1" applyBorder="1">
      <alignment vertical="top"/>
    </xf>
    <xf numFmtId="3" fontId="10" fillId="0" borderId="0" xfId="0" applyNumberFormat="1" applyFont="1" applyFill="1" applyBorder="1">
      <alignment vertical="top"/>
    </xf>
    <xf numFmtId="0" fontId="10" fillId="0" borderId="0" xfId="0" applyNumberFormat="1" applyFont="1" applyFill="1" applyBorder="1" applyAlignment="1">
      <alignment horizontal="center"/>
    </xf>
    <xf numFmtId="49" fontId="10" fillId="0" borderId="0" xfId="0" applyNumberFormat="1" applyFont="1" applyFill="1" applyBorder="1" applyAlignment="1">
      <alignment horizontal="center"/>
    </xf>
    <xf numFmtId="0" fontId="10" fillId="0" borderId="0" xfId="0" applyNumberFormat="1" applyFont="1" applyFill="1" applyBorder="1" applyAlignment="1"/>
    <xf numFmtId="3" fontId="26" fillId="0" borderId="0" xfId="0" applyNumberFormat="1" applyFont="1" applyFill="1" applyBorder="1" applyAlignment="1">
      <alignment horizontal="center"/>
    </xf>
    <xf numFmtId="0" fontId="26" fillId="0" borderId="0" xfId="0" applyFont="1" applyFill="1" applyBorder="1" applyAlignment="1">
      <alignment horizontal="center"/>
    </xf>
    <xf numFmtId="0" fontId="26" fillId="0" borderId="0" xfId="0" applyNumberFormat="1" applyFont="1" applyFill="1" applyBorder="1" applyAlignment="1" applyProtection="1">
      <alignment horizontal="center"/>
      <protection locked="0"/>
    </xf>
    <xf numFmtId="0" fontId="26" fillId="0" borderId="0" xfId="0" applyNumberFormat="1" applyFont="1" applyFill="1" applyBorder="1" applyAlignment="1">
      <alignment horizontal="center"/>
    </xf>
    <xf numFmtId="0" fontId="26" fillId="0" borderId="0" xfId="0" applyNumberFormat="1" applyFont="1" applyFill="1" applyBorder="1" applyAlignment="1"/>
    <xf numFmtId="0" fontId="75" fillId="0" borderId="0" xfId="0" applyFont="1" applyFill="1" applyBorder="1" applyAlignment="1"/>
    <xf numFmtId="0" fontId="76" fillId="0" borderId="0" xfId="0" applyNumberFormat="1" applyFont="1" applyFill="1" applyBorder="1" applyAlignment="1" applyProtection="1">
      <alignment horizontal="center"/>
      <protection locked="0"/>
    </xf>
    <xf numFmtId="3" fontId="10" fillId="0" borderId="0" xfId="0" applyNumberFormat="1" applyFont="1" applyFill="1" applyBorder="1" applyAlignment="1">
      <alignment horizontal="center"/>
    </xf>
    <xf numFmtId="41" fontId="10" fillId="27" borderId="0" xfId="0" applyNumberFormat="1" applyFont="1" applyFill="1" applyBorder="1" applyAlignment="1"/>
    <xf numFmtId="10" fontId="10" fillId="0" borderId="0" xfId="0" applyNumberFormat="1" applyFont="1" applyFill="1" applyBorder="1" applyAlignment="1"/>
    <xf numFmtId="10" fontId="10" fillId="0" borderId="0" xfId="66" applyNumberFormat="1" applyFont="1" applyFill="1" applyBorder="1" applyAlignment="1"/>
    <xf numFmtId="10" fontId="26" fillId="0" borderId="0" xfId="0" applyNumberFormat="1" applyFont="1" applyFill="1" applyBorder="1" applyAlignment="1"/>
    <xf numFmtId="3" fontId="26" fillId="0" borderId="0" xfId="0" applyNumberFormat="1" applyFont="1" applyFill="1" applyBorder="1" applyAlignment="1"/>
    <xf numFmtId="183" fontId="26" fillId="0" borderId="0" xfId="0" applyNumberFormat="1" applyFont="1" applyFill="1" applyBorder="1" applyAlignment="1"/>
    <xf numFmtId="0" fontId="10" fillId="0" borderId="0" xfId="0" applyFont="1" applyFill="1" applyBorder="1" applyAlignment="1">
      <alignment horizontal="center"/>
    </xf>
    <xf numFmtId="49" fontId="26" fillId="0" borderId="0" xfId="0" applyNumberFormat="1" applyFont="1" applyFill="1" applyBorder="1" applyAlignment="1">
      <alignment horizontal="center"/>
    </xf>
    <xf numFmtId="0" fontId="26" fillId="0" borderId="0" xfId="0" applyFont="1" applyFill="1" applyBorder="1" applyAlignment="1"/>
    <xf numFmtId="10" fontId="26" fillId="0" borderId="0" xfId="66" applyNumberFormat="1" applyFont="1" applyFill="1" applyBorder="1" applyAlignment="1"/>
    <xf numFmtId="0" fontId="10" fillId="0" borderId="0" xfId="0" applyNumberFormat="1" applyFont="1" applyFill="1" applyBorder="1" applyAlignment="1">
      <alignment horizontal="fill"/>
    </xf>
    <xf numFmtId="0" fontId="77" fillId="0" borderId="0" xfId="0" applyFont="1" applyFill="1" applyBorder="1" applyAlignment="1"/>
    <xf numFmtId="3" fontId="77" fillId="0" borderId="0" xfId="0" applyNumberFormat="1" applyFont="1" applyFill="1" applyBorder="1" applyAlignment="1"/>
    <xf numFmtId="175" fontId="10" fillId="0" borderId="0" xfId="0" applyNumberFormat="1" applyFont="1" applyFill="1" applyBorder="1" applyAlignment="1">
      <alignment horizontal="center"/>
    </xf>
    <xf numFmtId="176" fontId="10" fillId="0" borderId="0" xfId="0" applyNumberFormat="1" applyFont="1" applyFill="1" applyBorder="1" applyAlignment="1"/>
    <xf numFmtId="0" fontId="77" fillId="0" borderId="0" xfId="0" applyNumberFormat="1" applyFont="1" applyFill="1" applyBorder="1">
      <alignment vertical="top"/>
    </xf>
    <xf numFmtId="49" fontId="10" fillId="0" borderId="0" xfId="0" applyNumberFormat="1" applyFont="1" applyFill="1" applyBorder="1" applyAlignment="1">
      <alignment horizontal="left"/>
    </xf>
    <xf numFmtId="0" fontId="10" fillId="0" borderId="0" xfId="0" applyNumberFormat="1" applyFont="1" applyFill="1" applyBorder="1" applyAlignment="1">
      <alignment horizontal="right"/>
    </xf>
    <xf numFmtId="186" fontId="26" fillId="0" borderId="0" xfId="0" applyNumberFormat="1" applyFont="1" applyFill="1" applyBorder="1" applyAlignment="1">
      <alignment horizontal="center"/>
    </xf>
    <xf numFmtId="0" fontId="26" fillId="0" borderId="27" xfId="0" applyFont="1" applyFill="1" applyBorder="1" applyAlignment="1">
      <alignment horizontal="center" wrapText="1"/>
    </xf>
    <xf numFmtId="0" fontId="26" fillId="0" borderId="23" xfId="0" applyFont="1" applyFill="1" applyBorder="1" applyAlignment="1"/>
    <xf numFmtId="0" fontId="26" fillId="0" borderId="23" xfId="0" applyFont="1" applyFill="1" applyBorder="1" applyAlignment="1">
      <alignment horizontal="center" wrapText="1"/>
    </xf>
    <xf numFmtId="0" fontId="26" fillId="0" borderId="23" xfId="0" applyNumberFormat="1" applyFont="1" applyFill="1" applyBorder="1" applyAlignment="1">
      <alignment horizontal="center" wrapText="1"/>
    </xf>
    <xf numFmtId="0" fontId="26" fillId="0" borderId="8" xfId="0" applyFont="1" applyFill="1" applyBorder="1" applyAlignment="1">
      <alignment horizontal="center" wrapText="1"/>
    </xf>
    <xf numFmtId="3" fontId="26" fillId="0" borderId="8" xfId="0" applyNumberFormat="1" applyFont="1" applyFill="1" applyBorder="1" applyAlignment="1">
      <alignment horizontal="center" wrapText="1"/>
    </xf>
    <xf numFmtId="3" fontId="26" fillId="0" borderId="23" xfId="0" applyNumberFormat="1" applyFont="1" applyFill="1" applyBorder="1" applyAlignment="1">
      <alignment horizontal="center" wrapText="1"/>
    </xf>
    <xf numFmtId="0" fontId="10" fillId="0" borderId="27" xfId="0" applyNumberFormat="1" applyFont="1" applyFill="1" applyBorder="1">
      <alignment vertical="top"/>
    </xf>
    <xf numFmtId="0" fontId="10" fillId="0" borderId="23" xfId="0" applyNumberFormat="1" applyFont="1" applyFill="1" applyBorder="1">
      <alignment vertical="top"/>
    </xf>
    <xf numFmtId="0" fontId="10" fillId="0" borderId="23" xfId="0" applyNumberFormat="1" applyFont="1" applyFill="1" applyBorder="1" applyAlignment="1">
      <alignment horizontal="center"/>
    </xf>
    <xf numFmtId="0" fontId="10" fillId="0" borderId="8" xfId="0" applyNumberFormat="1" applyFont="1" applyFill="1" applyBorder="1" applyAlignment="1">
      <alignment horizontal="center"/>
    </xf>
    <xf numFmtId="3" fontId="10" fillId="0" borderId="23" xfId="0" applyNumberFormat="1" applyFont="1" applyFill="1" applyBorder="1" applyAlignment="1">
      <alignment horizontal="center"/>
    </xf>
    <xf numFmtId="3" fontId="10" fillId="0" borderId="8" xfId="0" applyNumberFormat="1" applyFont="1" applyFill="1" applyBorder="1" applyAlignment="1">
      <alignment horizontal="center" wrapText="1"/>
    </xf>
    <xf numFmtId="0" fontId="10" fillId="0" borderId="29" xfId="0" applyNumberFormat="1" applyFont="1" applyFill="1" applyBorder="1">
      <alignment vertical="top"/>
    </xf>
    <xf numFmtId="0" fontId="10" fillId="0" borderId="33" xfId="0" applyNumberFormat="1" applyFont="1" applyFill="1" applyBorder="1">
      <alignment vertical="top"/>
    </xf>
    <xf numFmtId="3" fontId="10" fillId="0" borderId="33" xfId="0" applyNumberFormat="1" applyFont="1" applyFill="1" applyBorder="1" applyAlignment="1"/>
    <xf numFmtId="0" fontId="10" fillId="0" borderId="29" xfId="0" applyFont="1" applyFill="1" applyBorder="1" applyAlignment="1"/>
    <xf numFmtId="174" fontId="10" fillId="0" borderId="0" xfId="31" applyNumberFormat="1" applyFont="1" applyFill="1" applyBorder="1" applyAlignment="1"/>
    <xf numFmtId="174" fontId="10" fillId="0" borderId="33" xfId="31" applyNumberFormat="1" applyFont="1" applyFill="1" applyBorder="1" applyAlignment="1"/>
    <xf numFmtId="170" fontId="10" fillId="0" borderId="0" xfId="29" applyNumberFormat="1" applyFont="1" applyFill="1" applyBorder="1" applyAlignment="1"/>
    <xf numFmtId="0" fontId="32" fillId="0" borderId="0" xfId="0" applyFont="1" applyFill="1" applyBorder="1" applyAlignment="1"/>
    <xf numFmtId="0" fontId="10" fillId="0" borderId="0" xfId="0" quotePrefix="1" applyFont="1" applyFill="1" applyBorder="1" applyAlignment="1"/>
    <xf numFmtId="0" fontId="32" fillId="0" borderId="33" xfId="0" applyFont="1" applyFill="1" applyBorder="1" applyAlignment="1"/>
    <xf numFmtId="0" fontId="10" fillId="0" borderId="30" xfId="0" applyFont="1" applyFill="1" applyBorder="1" applyAlignment="1"/>
    <xf numFmtId="0" fontId="10" fillId="0" borderId="17" xfId="0" applyFont="1" applyFill="1" applyBorder="1" applyAlignment="1"/>
    <xf numFmtId="0" fontId="32" fillId="0" borderId="17" xfId="0" applyFont="1" applyFill="1" applyBorder="1" applyAlignment="1"/>
    <xf numFmtId="0" fontId="32" fillId="0" borderId="22" xfId="0" applyFont="1" applyFill="1" applyBorder="1" applyAlignment="1"/>
    <xf numFmtId="1" fontId="10" fillId="0" borderId="0" xfId="29" applyNumberFormat="1" applyFont="1" applyFill="1" applyBorder="1" applyAlignment="1">
      <alignment horizontal="center"/>
    </xf>
    <xf numFmtId="0" fontId="10" fillId="0" borderId="12" xfId="0" applyFont="1" applyFill="1" applyBorder="1" applyAlignment="1"/>
    <xf numFmtId="0" fontId="10" fillId="0" borderId="0" xfId="0" applyFont="1" applyFill="1" applyBorder="1" applyAlignment="1">
      <alignment horizontal="center" vertical="top"/>
    </xf>
    <xf numFmtId="0" fontId="32" fillId="0" borderId="0" xfId="0" applyFont="1" applyFill="1" applyBorder="1" applyAlignment="1">
      <alignment horizontal="center"/>
    </xf>
    <xf numFmtId="0" fontId="78" fillId="0" borderId="0" xfId="63" applyFont="1">
      <alignment vertical="top"/>
    </xf>
    <xf numFmtId="0" fontId="40" fillId="0" borderId="0" xfId="0" applyFont="1">
      <alignment vertical="top"/>
    </xf>
    <xf numFmtId="0" fontId="31" fillId="0" borderId="0" xfId="63" applyFont="1">
      <alignment vertical="top"/>
    </xf>
    <xf numFmtId="0" fontId="60" fillId="0" borderId="0" xfId="0" applyFont="1">
      <alignment vertical="top"/>
    </xf>
    <xf numFmtId="0" fontId="31" fillId="0" borderId="0" xfId="62" applyFont="1" applyFill="1" applyBorder="1">
      <alignment vertical="top"/>
    </xf>
    <xf numFmtId="0" fontId="32" fillId="0" borderId="0" xfId="63" applyFont="1">
      <alignment vertical="top"/>
    </xf>
    <xf numFmtId="49" fontId="32" fillId="0" borderId="17" xfId="0" applyNumberFormat="1" applyFont="1" applyFill="1" applyBorder="1" applyAlignment="1">
      <alignment horizontal="center"/>
    </xf>
    <xf numFmtId="0" fontId="60" fillId="0" borderId="0" xfId="0" applyFont="1" applyFill="1">
      <alignment vertical="top"/>
    </xf>
    <xf numFmtId="0" fontId="79" fillId="0" borderId="0" xfId="63">
      <alignment vertical="top"/>
    </xf>
    <xf numFmtId="0" fontId="80" fillId="31" borderId="0" xfId="61" applyFont="1" applyFill="1" applyAlignment="1"/>
    <xf numFmtId="176" fontId="81" fillId="31" borderId="0" xfId="56" quotePrefix="1" applyNumberFormat="1" applyFont="1" applyFill="1" applyAlignment="1">
      <alignment horizontal="center" wrapText="1"/>
    </xf>
    <xf numFmtId="176" fontId="83" fillId="0" borderId="0" xfId="56" applyNumberFormat="1" applyFont="1" applyFill="1" applyAlignment="1">
      <alignment horizontal="center" wrapText="1"/>
    </xf>
    <xf numFmtId="176" fontId="81" fillId="31" borderId="0" xfId="56" applyNumberFormat="1" applyFont="1" applyFill="1" applyAlignment="1">
      <alignment horizontal="center" wrapText="1"/>
    </xf>
    <xf numFmtId="0" fontId="31" fillId="29" borderId="34" xfId="63" applyFont="1" applyFill="1" applyBorder="1">
      <alignment vertical="top"/>
    </xf>
    <xf numFmtId="0" fontId="32" fillId="0" borderId="34" xfId="61" quotePrefix="1" applyFont="1" applyFill="1" applyBorder="1" applyAlignment="1">
      <alignment horizontal="left"/>
    </xf>
    <xf numFmtId="176" fontId="32" fillId="28" borderId="34" xfId="31" applyNumberFormat="1" applyFont="1" applyFill="1" applyBorder="1" applyAlignment="1">
      <alignment horizontal="right" vertical="top"/>
    </xf>
    <xf numFmtId="176" fontId="32" fillId="0" borderId="34" xfId="31" applyNumberFormat="1" applyFont="1" applyBorder="1" applyAlignment="1">
      <alignment horizontal="right" vertical="top"/>
    </xf>
    <xf numFmtId="0" fontId="31" fillId="29" borderId="33" xfId="63" applyFont="1" applyFill="1" applyBorder="1">
      <alignment vertical="top"/>
    </xf>
    <xf numFmtId="0" fontId="4" fillId="0" borderId="33" xfId="61" quotePrefix="1" applyFont="1" applyFill="1" applyBorder="1" applyAlignment="1">
      <alignment horizontal="left"/>
    </xf>
    <xf numFmtId="176" fontId="32" fillId="28" borderId="33" xfId="63" applyNumberFormat="1" applyFont="1" applyFill="1" applyBorder="1" applyAlignment="1">
      <alignment horizontal="right" vertical="top"/>
    </xf>
    <xf numFmtId="176" fontId="32" fillId="0" borderId="33" xfId="63" applyNumberFormat="1" applyFont="1" applyBorder="1" applyAlignment="1">
      <alignment horizontal="right" vertical="top"/>
    </xf>
    <xf numFmtId="0" fontId="4" fillId="0" borderId="33" xfId="61" applyFont="1" applyFill="1" applyBorder="1"/>
    <xf numFmtId="0" fontId="31" fillId="29" borderId="22" xfId="63" applyFont="1" applyFill="1" applyBorder="1">
      <alignment vertical="top"/>
    </xf>
    <xf numFmtId="0" fontId="4" fillId="0" borderId="22" xfId="61" applyFont="1" applyFill="1" applyBorder="1"/>
    <xf numFmtId="176" fontId="32" fillId="28" borderId="22" xfId="63" applyNumberFormat="1" applyFont="1" applyFill="1" applyBorder="1" applyAlignment="1">
      <alignment horizontal="right" vertical="top"/>
    </xf>
    <xf numFmtId="176" fontId="32" fillId="0" borderId="22" xfId="63" applyNumberFormat="1" applyFont="1" applyBorder="1" applyAlignment="1">
      <alignment horizontal="right" vertical="top"/>
    </xf>
    <xf numFmtId="0" fontId="31" fillId="29" borderId="0" xfId="63" applyFont="1" applyFill="1">
      <alignment vertical="top"/>
    </xf>
    <xf numFmtId="0" fontId="31" fillId="0" borderId="0" xfId="61" applyFont="1" applyAlignment="1">
      <alignment horizontal="right"/>
    </xf>
    <xf numFmtId="176" fontId="32" fillId="28" borderId="8" xfId="63" applyNumberFormat="1" applyFont="1" applyFill="1" applyBorder="1" applyAlignment="1">
      <alignment horizontal="right" vertical="top"/>
    </xf>
    <xf numFmtId="176" fontId="32" fillId="0" borderId="0" xfId="63" applyNumberFormat="1" applyFont="1" applyFill="1" applyBorder="1" applyAlignment="1">
      <alignment horizontal="right" vertical="top"/>
    </xf>
    <xf numFmtId="0" fontId="4" fillId="0" borderId="33" xfId="61" applyFont="1" applyBorder="1"/>
    <xf numFmtId="0" fontId="31" fillId="0" borderId="0" xfId="63" applyFont="1" applyFill="1">
      <alignment vertical="top"/>
    </xf>
    <xf numFmtId="0" fontId="31" fillId="0" borderId="0" xfId="61" applyFont="1" applyFill="1" applyAlignment="1">
      <alignment horizontal="right"/>
    </xf>
    <xf numFmtId="0" fontId="4" fillId="29" borderId="0" xfId="61" applyFont="1" applyFill="1" applyAlignment="1">
      <alignment horizontal="right"/>
    </xf>
    <xf numFmtId="176" fontId="4" fillId="29" borderId="0" xfId="61" applyNumberFormat="1" applyFont="1" applyFill="1" applyBorder="1" applyAlignment="1">
      <alignment horizontal="right"/>
    </xf>
    <xf numFmtId="0" fontId="4" fillId="29" borderId="0" xfId="61" applyFont="1" applyFill="1"/>
    <xf numFmtId="176" fontId="4" fillId="29" borderId="0" xfId="61" applyNumberFormat="1" applyFont="1" applyFill="1" applyAlignment="1">
      <alignment horizontal="right"/>
    </xf>
    <xf numFmtId="0" fontId="32" fillId="0" borderId="34" xfId="61" quotePrefix="1" applyFont="1" applyBorder="1" applyAlignment="1">
      <alignment horizontal="left"/>
    </xf>
    <xf numFmtId="0" fontId="4" fillId="0" borderId="33" xfId="61" quotePrefix="1" applyFont="1" applyBorder="1" applyAlignment="1">
      <alignment horizontal="left"/>
    </xf>
    <xf numFmtId="0" fontId="4" fillId="0" borderId="22" xfId="61" applyFont="1" applyBorder="1"/>
    <xf numFmtId="176" fontId="32" fillId="29" borderId="0" xfId="63" applyNumberFormat="1" applyFont="1" applyFill="1" applyBorder="1" applyAlignment="1">
      <alignment horizontal="right" vertical="top"/>
    </xf>
    <xf numFmtId="0" fontId="60" fillId="29" borderId="0" xfId="0" applyFont="1" applyFill="1">
      <alignment vertical="top"/>
    </xf>
    <xf numFmtId="176" fontId="60" fillId="29" borderId="0" xfId="0" applyNumberFormat="1" applyFont="1" applyFill="1" applyAlignment="1">
      <alignment horizontal="right"/>
    </xf>
    <xf numFmtId="0" fontId="31" fillId="0" borderId="34" xfId="0" applyFont="1" applyBorder="1">
      <alignment vertical="top"/>
    </xf>
    <xf numFmtId="0" fontId="32" fillId="0" borderId="34" xfId="63" applyFont="1" applyBorder="1">
      <alignment vertical="top"/>
    </xf>
    <xf numFmtId="176" fontId="32" fillId="28" borderId="34" xfId="63" applyNumberFormat="1" applyFont="1" applyFill="1" applyBorder="1" applyAlignment="1">
      <alignment horizontal="right" vertical="top"/>
    </xf>
    <xf numFmtId="176" fontId="32" fillId="0" borderId="34" xfId="63" applyNumberFormat="1" applyFont="1" applyBorder="1" applyAlignment="1">
      <alignment horizontal="right" vertical="top"/>
    </xf>
    <xf numFmtId="0" fontId="32" fillId="0" borderId="22" xfId="63" applyFont="1" applyBorder="1">
      <alignment vertical="top"/>
    </xf>
    <xf numFmtId="0" fontId="60" fillId="0" borderId="0" xfId="0" applyFont="1" applyBorder="1">
      <alignment vertical="top"/>
    </xf>
    <xf numFmtId="0" fontId="83" fillId="0" borderId="0" xfId="0" applyFont="1">
      <alignment vertical="top"/>
    </xf>
    <xf numFmtId="0" fontId="31" fillId="0" borderId="0" xfId="0" applyFont="1">
      <alignment vertical="top"/>
    </xf>
    <xf numFmtId="0" fontId="31" fillId="0" borderId="8" xfId="0" applyFont="1" applyBorder="1" applyAlignment="1">
      <alignment horizontal="center" wrapText="1"/>
    </xf>
    <xf numFmtId="0" fontId="31" fillId="0" borderId="8" xfId="0" applyFont="1" applyBorder="1" applyAlignment="1">
      <alignment wrapText="1"/>
    </xf>
    <xf numFmtId="0" fontId="32" fillId="0" borderId="35" xfId="0" applyFont="1" applyBorder="1" applyAlignment="1">
      <alignment vertical="top"/>
    </xf>
    <xf numFmtId="0" fontId="32" fillId="0" borderId="10" xfId="0" quotePrefix="1" applyNumberFormat="1" applyFont="1" applyFill="1" applyBorder="1" applyAlignment="1">
      <alignment vertical="top" wrapText="1"/>
    </xf>
    <xf numFmtId="0" fontId="32" fillId="0" borderId="10" xfId="0" applyFont="1" applyBorder="1" applyAlignment="1">
      <alignment vertical="top"/>
    </xf>
    <xf numFmtId="0" fontId="32" fillId="29" borderId="10" xfId="0" applyNumberFormat="1" applyFont="1" applyFill="1" applyBorder="1" applyAlignment="1">
      <alignment vertical="top" wrapText="1"/>
    </xf>
    <xf numFmtId="0" fontId="32" fillId="29" borderId="10" xfId="0" quotePrefix="1" applyNumberFormat="1" applyFont="1" applyFill="1" applyBorder="1" applyAlignment="1">
      <alignment vertical="top" wrapText="1"/>
    </xf>
    <xf numFmtId="0" fontId="60" fillId="0" borderId="0" xfId="0" applyFont="1" applyFill="1" applyBorder="1" applyAlignment="1"/>
    <xf numFmtId="0" fontId="60" fillId="0" borderId="0" xfId="0" applyFont="1" applyFill="1" applyBorder="1" applyAlignment="1">
      <alignment horizontal="right"/>
    </xf>
    <xf numFmtId="0" fontId="0" fillId="0" borderId="0" xfId="0" applyNumberFormat="1" applyFont="1" applyFill="1" applyBorder="1">
      <alignment vertical="top"/>
    </xf>
    <xf numFmtId="0" fontId="84" fillId="0" borderId="0" xfId="0" applyNumberFormat="1" applyFont="1" applyFill="1" applyBorder="1">
      <alignment vertical="top"/>
    </xf>
    <xf numFmtId="0" fontId="0" fillId="0" borderId="0" xfId="0" applyFont="1" applyFill="1" applyBorder="1" applyAlignment="1"/>
    <xf numFmtId="0" fontId="84" fillId="0" borderId="0" xfId="0" applyNumberFormat="1" applyFont="1" applyFill="1" applyBorder="1" applyAlignment="1">
      <alignment horizontal="center"/>
    </xf>
    <xf numFmtId="0" fontId="60" fillId="0" borderId="0" xfId="0" applyNumberFormat="1" applyFont="1" applyFill="1" applyBorder="1" applyAlignment="1" applyProtection="1">
      <alignment horizontal="center"/>
      <protection locked="0"/>
    </xf>
    <xf numFmtId="3" fontId="0" fillId="0" borderId="0" xfId="0" applyNumberFormat="1"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0" fontId="85" fillId="0" borderId="0" xfId="0" applyNumberFormat="1" applyFont="1" applyFill="1" applyBorder="1" applyAlignment="1">
      <alignment horizontal="center"/>
    </xf>
    <xf numFmtId="0" fontId="86" fillId="0" borderId="0" xfId="0" applyNumberFormat="1" applyFont="1" applyFill="1" applyBorder="1" applyAlignment="1" applyProtection="1">
      <alignment horizontal="center"/>
      <protection locked="0"/>
    </xf>
    <xf numFmtId="3" fontId="60" fillId="0" borderId="0" xfId="0" applyNumberFormat="1" applyFont="1" applyFill="1" applyBorder="1" applyAlignment="1">
      <alignment horizontal="center"/>
    </xf>
    <xf numFmtId="170" fontId="10" fillId="27" borderId="0" xfId="29" applyNumberFormat="1" applyFont="1" applyFill="1" applyBorder="1" applyAlignment="1"/>
    <xf numFmtId="170" fontId="10" fillId="27" borderId="17" xfId="29" applyNumberFormat="1" applyFont="1" applyFill="1" applyBorder="1" applyAlignment="1"/>
    <xf numFmtId="3" fontId="87" fillId="0" borderId="0" xfId="0" applyNumberFormat="1" applyFont="1" applyFill="1" applyBorder="1" applyAlignment="1"/>
    <xf numFmtId="41" fontId="10" fillId="0" borderId="0" xfId="0" applyNumberFormat="1" applyFont="1" applyFill="1" applyBorder="1" applyAlignment="1"/>
    <xf numFmtId="10" fontId="85" fillId="0" borderId="0" xfId="66" applyNumberFormat="1" applyFont="1" applyFill="1" applyBorder="1" applyAlignment="1"/>
    <xf numFmtId="10" fontId="0" fillId="0" borderId="0" xfId="66" applyNumberFormat="1" applyFont="1" applyFill="1" applyBorder="1" applyAlignment="1"/>
    <xf numFmtId="3" fontId="85" fillId="0" borderId="0" xfId="0" applyNumberFormat="1" applyFont="1" applyFill="1" applyBorder="1" applyAlignment="1"/>
    <xf numFmtId="49" fontId="0" fillId="0" borderId="0" xfId="0" applyNumberFormat="1" applyFont="1" applyFill="1" applyBorder="1" applyAlignment="1">
      <alignment horizontal="center"/>
    </xf>
    <xf numFmtId="49" fontId="6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49" fontId="85" fillId="0" borderId="0" xfId="0" applyNumberFormat="1" applyFont="1" applyFill="1" applyBorder="1" applyAlignment="1">
      <alignment horizontal="center"/>
    </xf>
    <xf numFmtId="0" fontId="85" fillId="0" borderId="0" xfId="0" applyFont="1" applyFill="1" applyBorder="1" applyAlignment="1"/>
    <xf numFmtId="0" fontId="0" fillId="0" borderId="0" xfId="0" applyNumberFormat="1" applyFont="1" applyFill="1" applyBorder="1" applyAlignment="1">
      <alignment horizontal="fill"/>
    </xf>
    <xf numFmtId="0" fontId="88" fillId="0" borderId="0" xfId="0" applyFont="1" applyFill="1" applyBorder="1" applyAlignment="1"/>
    <xf numFmtId="176" fontId="60" fillId="0" borderId="0" xfId="0" applyNumberFormat="1" applyFont="1" applyFill="1" applyBorder="1" applyAlignment="1"/>
    <xf numFmtId="0" fontId="60" fillId="0" borderId="0" xfId="0" quotePrefix="1" applyNumberFormat="1" applyFont="1" applyFill="1" applyBorder="1" applyAlignment="1" applyProtection="1">
      <alignment horizontal="center"/>
      <protection locked="0"/>
    </xf>
    <xf numFmtId="186" fontId="26" fillId="0" borderId="0" xfId="0" quotePrefix="1" applyNumberFormat="1" applyFont="1" applyFill="1" applyBorder="1" applyAlignment="1">
      <alignment horizontal="center"/>
    </xf>
    <xf numFmtId="0" fontId="85" fillId="0" borderId="27" xfId="0" applyFont="1" applyFill="1" applyBorder="1" applyAlignment="1">
      <alignment horizontal="center" wrapText="1"/>
    </xf>
    <xf numFmtId="0" fontId="85" fillId="0" borderId="23" xfId="0" applyFont="1" applyFill="1" applyBorder="1" applyAlignment="1"/>
    <xf numFmtId="0" fontId="85" fillId="0" borderId="23" xfId="0" applyFont="1" applyFill="1" applyBorder="1" applyAlignment="1">
      <alignment horizontal="center" wrapText="1"/>
    </xf>
    <xf numFmtId="0" fontId="85" fillId="0" borderId="28" xfId="0" applyFont="1" applyFill="1" applyBorder="1" applyAlignment="1">
      <alignment horizontal="center" wrapText="1"/>
    </xf>
    <xf numFmtId="0" fontId="85" fillId="0" borderId="8" xfId="0" applyFont="1" applyFill="1" applyBorder="1" applyAlignment="1">
      <alignment horizontal="center" wrapText="1"/>
    </xf>
    <xf numFmtId="0" fontId="10" fillId="0" borderId="23" xfId="0" quotePrefix="1" applyNumberFormat="1" applyFont="1" applyFill="1" applyBorder="1" applyAlignment="1">
      <alignment horizontal="center"/>
    </xf>
    <xf numFmtId="0" fontId="10" fillId="0" borderId="8" xfId="0" quotePrefix="1" applyNumberFormat="1" applyFont="1" applyFill="1" applyBorder="1" applyAlignment="1">
      <alignment horizontal="center"/>
    </xf>
    <xf numFmtId="174" fontId="10" fillId="27" borderId="0" xfId="31" applyNumberFormat="1" applyFont="1" applyFill="1" applyBorder="1" applyAlignment="1"/>
    <xf numFmtId="0" fontId="60" fillId="0" borderId="29" xfId="0" applyFont="1" applyFill="1" applyBorder="1" applyAlignment="1"/>
    <xf numFmtId="0" fontId="60" fillId="0" borderId="0" xfId="0" applyNumberFormat="1" applyFont="1" applyFill="1" applyBorder="1" applyAlignment="1">
      <alignment horizontal="center"/>
    </xf>
    <xf numFmtId="0" fontId="60" fillId="0" borderId="33" xfId="0" applyFont="1" applyFill="1" applyBorder="1" applyAlignment="1"/>
    <xf numFmtId="0" fontId="83" fillId="0" borderId="0" xfId="0" applyFont="1" applyFill="1" applyBorder="1" applyAlignment="1"/>
    <xf numFmtId="0" fontId="83" fillId="0" borderId="0" xfId="0" applyNumberFormat="1" applyFont="1" applyFill="1" applyBorder="1" applyAlignment="1">
      <alignment horizontal="center"/>
    </xf>
    <xf numFmtId="0" fontId="83" fillId="0" borderId="33" xfId="0" applyFont="1" applyFill="1" applyBorder="1" applyAlignment="1"/>
    <xf numFmtId="0" fontId="60" fillId="0" borderId="30" xfId="0" applyFont="1" applyFill="1" applyBorder="1" applyAlignment="1"/>
    <xf numFmtId="0" fontId="60" fillId="0" borderId="17" xfId="0" applyFont="1" applyFill="1" applyBorder="1" applyAlignment="1"/>
    <xf numFmtId="0" fontId="83" fillId="0" borderId="17" xfId="0" applyFont="1" applyFill="1" applyBorder="1" applyAlignment="1"/>
    <xf numFmtId="0" fontId="83" fillId="0" borderId="22" xfId="0" applyFont="1" applyFill="1" applyBorder="1" applyAlignment="1"/>
    <xf numFmtId="0" fontId="82" fillId="0" borderId="0" xfId="0" applyFont="1" applyFill="1" applyBorder="1" applyAlignment="1">
      <alignment horizontal="center" vertical="top"/>
    </xf>
    <xf numFmtId="0" fontId="82" fillId="0" borderId="0" xfId="0" applyFont="1" applyFill="1" applyBorder="1" applyAlignment="1"/>
    <xf numFmtId="0" fontId="82" fillId="0" borderId="0" xfId="0" applyFont="1" applyFill="1" applyBorder="1" applyAlignment="1">
      <alignment horizontal="center"/>
    </xf>
    <xf numFmtId="0" fontId="0" fillId="0" borderId="0" xfId="0" applyFont="1" applyFill="1" applyBorder="1" applyAlignment="1">
      <alignment horizontal="center"/>
    </xf>
    <xf numFmtId="0" fontId="31" fillId="0" borderId="17" xfId="62" applyFont="1" applyFill="1" applyBorder="1">
      <alignment vertical="top"/>
    </xf>
    <xf numFmtId="0" fontId="89" fillId="29" borderId="0" xfId="0" applyFont="1" applyFill="1" applyBorder="1">
      <alignment vertical="top"/>
    </xf>
    <xf numFmtId="176" fontId="81" fillId="29" borderId="0" xfId="56" applyNumberFormat="1" applyFont="1" applyFill="1" applyBorder="1" applyAlignment="1">
      <alignment horizontal="center" wrapText="1"/>
    </xf>
    <xf numFmtId="176" fontId="90" fillId="31" borderId="0" xfId="56" applyNumberFormat="1" applyFont="1" applyFill="1" applyAlignment="1">
      <alignment horizontal="center" wrapText="1"/>
    </xf>
    <xf numFmtId="178" fontId="91" fillId="29" borderId="0" xfId="31" applyNumberFormat="1" applyFont="1" applyFill="1" applyBorder="1" applyAlignment="1">
      <alignment horizontal="right" vertical="top"/>
    </xf>
    <xf numFmtId="178" fontId="92" fillId="0" borderId="18" xfId="31" applyNumberFormat="1" applyFont="1" applyBorder="1" applyAlignment="1">
      <alignment horizontal="right" vertical="top"/>
    </xf>
    <xf numFmtId="178" fontId="92" fillId="28" borderId="36" xfId="31" applyNumberFormat="1" applyFont="1" applyFill="1" applyBorder="1" applyAlignment="1">
      <alignment horizontal="right" vertical="top"/>
    </xf>
    <xf numFmtId="176" fontId="32" fillId="28" borderId="33" xfId="31" applyNumberFormat="1" applyFont="1" applyFill="1" applyBorder="1" applyAlignment="1">
      <alignment horizontal="right" vertical="top"/>
    </xf>
    <xf numFmtId="2" fontId="91" fillId="29" borderId="0" xfId="63" applyNumberFormat="1" applyFont="1" applyFill="1" applyBorder="1" applyAlignment="1">
      <alignment horizontal="right" vertical="top"/>
    </xf>
    <xf numFmtId="2" fontId="92" fillId="0" borderId="0" xfId="63" applyNumberFormat="1" applyFont="1" applyBorder="1" applyAlignment="1">
      <alignment horizontal="right" vertical="top"/>
    </xf>
    <xf numFmtId="2" fontId="92" fillId="28" borderId="29" xfId="63" applyNumberFormat="1" applyFont="1" applyFill="1" applyBorder="1" applyAlignment="1">
      <alignment horizontal="right" vertical="top"/>
    </xf>
    <xf numFmtId="176" fontId="32" fillId="28" borderId="22" xfId="31" applyNumberFormat="1" applyFont="1" applyFill="1" applyBorder="1" applyAlignment="1">
      <alignment horizontal="right" vertical="top"/>
    </xf>
    <xf numFmtId="178" fontId="91" fillId="29" borderId="0" xfId="63" applyNumberFormat="1" applyFont="1" applyFill="1" applyBorder="1" applyAlignment="1">
      <alignment horizontal="right" vertical="top"/>
    </xf>
    <xf numFmtId="178" fontId="32" fillId="0" borderId="23" xfId="63" applyNumberFormat="1" applyFont="1" applyBorder="1" applyAlignment="1">
      <alignment horizontal="right" vertical="top"/>
    </xf>
    <xf numFmtId="178" fontId="32" fillId="28" borderId="27" xfId="63" applyNumberFormat="1" applyFont="1" applyFill="1" applyBorder="1" applyAlignment="1">
      <alignment horizontal="right" vertical="top"/>
    </xf>
    <xf numFmtId="0" fontId="32" fillId="0" borderId="0" xfId="63" applyFont="1" applyFill="1" applyBorder="1" applyAlignment="1">
      <alignment horizontal="right" vertical="top"/>
    </xf>
    <xf numFmtId="0" fontId="91" fillId="29" borderId="0" xfId="63" applyFont="1" applyFill="1" applyBorder="1" applyAlignment="1">
      <alignment horizontal="right" vertical="top"/>
    </xf>
    <xf numFmtId="0" fontId="32" fillId="0" borderId="0" xfId="63" applyFont="1" applyBorder="1" applyAlignment="1">
      <alignment horizontal="right" vertical="top"/>
    </xf>
    <xf numFmtId="0" fontId="32" fillId="28" borderId="0" xfId="63" applyFont="1" applyFill="1" applyBorder="1" applyAlignment="1">
      <alignment horizontal="right" vertical="top"/>
    </xf>
    <xf numFmtId="37" fontId="4" fillId="0" borderId="0" xfId="61" applyNumberFormat="1" applyFont="1" applyFill="1" applyBorder="1" applyAlignment="1">
      <alignment horizontal="right"/>
    </xf>
    <xf numFmtId="37" fontId="93" fillId="29" borderId="0" xfId="61" applyNumberFormat="1" applyFont="1" applyFill="1" applyBorder="1" applyAlignment="1">
      <alignment horizontal="right"/>
    </xf>
    <xf numFmtId="37" fontId="4" fillId="29" borderId="0" xfId="61" applyNumberFormat="1" applyFont="1" applyFill="1" applyBorder="1" applyAlignment="1">
      <alignment horizontal="right"/>
    </xf>
    <xf numFmtId="0" fontId="4" fillId="0" borderId="0" xfId="61" applyFont="1" applyFill="1" applyAlignment="1">
      <alignment horizontal="right"/>
    </xf>
    <xf numFmtId="0" fontId="93" fillId="29" borderId="0" xfId="61" applyFont="1" applyFill="1" applyBorder="1" applyAlignment="1">
      <alignment horizontal="right"/>
    </xf>
    <xf numFmtId="178" fontId="32" fillId="0" borderId="18" xfId="31" applyNumberFormat="1" applyFont="1" applyBorder="1" applyAlignment="1">
      <alignment horizontal="right" vertical="top"/>
    </xf>
    <xf numFmtId="178" fontId="32" fillId="28" borderId="36" xfId="31" applyNumberFormat="1" applyFont="1" applyFill="1" applyBorder="1" applyAlignment="1">
      <alignment horizontal="right" vertical="top"/>
    </xf>
    <xf numFmtId="2" fontId="32" fillId="0" borderId="0" xfId="63" applyNumberFormat="1" applyFont="1" applyBorder="1" applyAlignment="1">
      <alignment horizontal="right" vertical="top"/>
    </xf>
    <xf numFmtId="2" fontId="32" fillId="28" borderId="29" xfId="63" applyNumberFormat="1" applyFont="1" applyFill="1" applyBorder="1" applyAlignment="1">
      <alignment horizontal="right" vertical="top"/>
    </xf>
    <xf numFmtId="0" fontId="32" fillId="29" borderId="0" xfId="63" applyFont="1" applyFill="1" applyBorder="1" applyAlignment="1">
      <alignment horizontal="right" vertical="top"/>
    </xf>
    <xf numFmtId="0" fontId="60" fillId="0" borderId="0" xfId="0" applyFont="1" applyFill="1" applyAlignment="1">
      <alignment horizontal="right"/>
    </xf>
    <xf numFmtId="0" fontId="89" fillId="29" borderId="0" xfId="0" applyFont="1" applyFill="1" applyBorder="1" applyAlignment="1">
      <alignment horizontal="right"/>
    </xf>
    <xf numFmtId="0" fontId="60" fillId="29" borderId="0" xfId="0" applyFont="1" applyFill="1" applyAlignment="1">
      <alignment horizontal="right"/>
    </xf>
    <xf numFmtId="178" fontId="92" fillId="0" borderId="18" xfId="63" applyNumberFormat="1" applyFont="1" applyBorder="1" applyAlignment="1">
      <alignment horizontal="right" vertical="top"/>
    </xf>
    <xf numFmtId="178" fontId="92" fillId="28" borderId="18" xfId="63" applyNumberFormat="1" applyFont="1" applyFill="1" applyBorder="1" applyAlignment="1">
      <alignment horizontal="right" vertical="top"/>
    </xf>
    <xf numFmtId="178" fontId="92" fillId="0" borderId="24" xfId="63" applyNumberFormat="1" applyFont="1" applyBorder="1" applyAlignment="1">
      <alignment horizontal="right" vertical="top"/>
    </xf>
    <xf numFmtId="1" fontId="32" fillId="28" borderId="33" xfId="63" applyNumberFormat="1" applyFont="1" applyFill="1" applyBorder="1" applyAlignment="1">
      <alignment horizontal="right" vertical="top"/>
    </xf>
    <xf numFmtId="2" fontId="92" fillId="0" borderId="17" xfId="63" applyNumberFormat="1" applyFont="1" applyBorder="1" applyAlignment="1">
      <alignment horizontal="right" vertical="top"/>
    </xf>
    <xf numFmtId="2" fontId="92" fillId="28" borderId="17" xfId="63" applyNumberFormat="1" applyFont="1" applyFill="1" applyBorder="1" applyAlignment="1">
      <alignment horizontal="right" vertical="top"/>
    </xf>
    <xf numFmtId="2" fontId="92" fillId="0" borderId="25" xfId="63" applyNumberFormat="1" applyFont="1" applyBorder="1" applyAlignment="1">
      <alignment horizontal="right" vertical="top"/>
    </xf>
    <xf numFmtId="0" fontId="31" fillId="0" borderId="8" xfId="0" applyFont="1" applyBorder="1">
      <alignment vertical="top"/>
    </xf>
    <xf numFmtId="186" fontId="32" fillId="0" borderId="35" xfId="0" quotePrefix="1" applyNumberFormat="1" applyFont="1" applyBorder="1" applyAlignment="1">
      <alignment horizontal="right" vertical="top"/>
    </xf>
    <xf numFmtId="187" fontId="32" fillId="0" borderId="35" xfId="0" quotePrefix="1" applyNumberFormat="1" applyFont="1" applyBorder="1" applyAlignment="1">
      <alignment vertical="top"/>
    </xf>
    <xf numFmtId="186" fontId="32" fillId="0" borderId="35" xfId="0" quotePrefix="1" applyNumberFormat="1" applyFont="1" applyFill="1" applyBorder="1" applyAlignment="1">
      <alignment horizontal="right" vertical="top"/>
    </xf>
    <xf numFmtId="186" fontId="32" fillId="0" borderId="10" xfId="0" applyNumberFormat="1" applyFont="1" applyBorder="1" applyAlignment="1">
      <alignment vertical="top"/>
    </xf>
    <xf numFmtId="187" fontId="32" fillId="0" borderId="10" xfId="0" applyNumberFormat="1" applyFont="1" applyBorder="1" applyAlignment="1">
      <alignment vertical="top"/>
    </xf>
    <xf numFmtId="186" fontId="32" fillId="0" borderId="10" xfId="0" applyNumberFormat="1" applyFont="1" applyFill="1" applyBorder="1" applyAlignment="1">
      <alignment vertical="top"/>
    </xf>
    <xf numFmtId="186" fontId="32" fillId="0" borderId="10" xfId="0" applyNumberFormat="1" applyFont="1" applyFill="1" applyBorder="1" applyAlignment="1">
      <alignment horizontal="right" vertical="top"/>
    </xf>
    <xf numFmtId="0" fontId="32" fillId="0" borderId="10" xfId="0" applyFont="1" applyBorder="1" applyAlignment="1">
      <alignment vertical="top" wrapText="1"/>
    </xf>
    <xf numFmtId="0" fontId="94" fillId="0" borderId="0" xfId="0" applyFont="1" applyFill="1" applyBorder="1" applyAlignment="1">
      <alignment horizontal="right"/>
    </xf>
    <xf numFmtId="0" fontId="20" fillId="30" borderId="0" xfId="53" applyFont="1" applyFill="1" applyAlignment="1">
      <alignment horizontal="left"/>
    </xf>
    <xf numFmtId="5" fontId="10" fillId="0" borderId="0" xfId="0" applyNumberFormat="1" applyFont="1" applyFill="1" applyBorder="1" applyAlignment="1"/>
    <xf numFmtId="0" fontId="95" fillId="0" borderId="0" xfId="0" applyFont="1" applyAlignment="1">
      <alignment horizontal="left" vertical="top"/>
    </xf>
    <xf numFmtId="0" fontId="30" fillId="0" borderId="0" xfId="0" applyFont="1" applyAlignment="1">
      <alignment horizontal="left" vertical="top" wrapText="1"/>
    </xf>
    <xf numFmtId="0" fontId="30" fillId="0" borderId="0" xfId="0" applyFont="1">
      <alignment vertical="top"/>
    </xf>
    <xf numFmtId="0" fontId="30" fillId="23" borderId="8" xfId="0" applyFont="1" applyFill="1" applyBorder="1" applyAlignment="1">
      <alignment horizontal="center" vertical="top" wrapText="1"/>
    </xf>
    <xf numFmtId="0" fontId="30" fillId="0" borderId="8" xfId="0" quotePrefix="1" applyFont="1" applyBorder="1" applyAlignment="1">
      <alignment horizontal="left" vertical="top" wrapText="1" indent="2"/>
    </xf>
    <xf numFmtId="0" fontId="30" fillId="0" borderId="8" xfId="0" applyFont="1" applyBorder="1" applyAlignment="1">
      <alignment horizontal="left" vertical="top" wrapText="1"/>
    </xf>
    <xf numFmtId="0" fontId="30" fillId="0" borderId="8" xfId="0" applyFont="1" applyFill="1" applyBorder="1" applyAlignment="1">
      <alignment horizontal="left" vertical="center" wrapText="1"/>
    </xf>
    <xf numFmtId="0" fontId="30" fillId="0" borderId="8" xfId="0" applyFont="1" applyBorder="1" applyAlignment="1">
      <alignment horizontal="left" vertical="center" wrapText="1"/>
    </xf>
    <xf numFmtId="18" fontId="30" fillId="0" borderId="34" xfId="0" applyNumberFormat="1" applyFont="1" applyBorder="1" applyAlignment="1">
      <alignment horizontal="left" vertical="top" wrapText="1" indent="2"/>
    </xf>
    <xf numFmtId="0" fontId="30" fillId="0" borderId="34" xfId="0" applyFont="1" applyBorder="1" applyAlignment="1">
      <alignment horizontal="left" vertical="top" wrapText="1"/>
    </xf>
    <xf numFmtId="0" fontId="30" fillId="0" borderId="0" xfId="0" applyFont="1" applyBorder="1">
      <alignment vertical="top"/>
    </xf>
    <xf numFmtId="18" fontId="30" fillId="0" borderId="33" xfId="0" applyNumberFormat="1" applyFont="1" applyBorder="1" applyAlignment="1">
      <alignment horizontal="left" vertical="top" wrapText="1" indent="4"/>
    </xf>
    <xf numFmtId="18" fontId="30" fillId="0" borderId="34" xfId="0" applyNumberFormat="1" applyFont="1" applyBorder="1" applyAlignment="1">
      <alignment horizontal="left" vertical="top" wrapText="1" indent="4"/>
    </xf>
    <xf numFmtId="18" fontId="30" fillId="0" borderId="8" xfId="0" applyNumberFormat="1" applyFont="1" applyBorder="1" applyAlignment="1">
      <alignment horizontal="left" vertical="top" wrapText="1" indent="2"/>
    </xf>
    <xf numFmtId="0" fontId="30" fillId="32" borderId="34" xfId="0" applyFont="1" applyFill="1" applyBorder="1" applyAlignment="1">
      <alignment horizontal="left" vertical="top" wrapText="1"/>
    </xf>
    <xf numFmtId="0" fontId="30" fillId="0" borderId="29" xfId="0" applyFont="1" applyBorder="1" applyAlignment="1">
      <alignment horizontal="left" vertical="top" wrapText="1"/>
    </xf>
    <xf numFmtId="0" fontId="30" fillId="0" borderId="22" xfId="0" applyFont="1" applyFill="1" applyBorder="1" applyAlignment="1">
      <alignment horizontal="left" vertical="center" wrapText="1"/>
    </xf>
    <xf numFmtId="0" fontId="96" fillId="0" borderId="36" xfId="0" applyFont="1" applyBorder="1" applyAlignment="1">
      <alignment horizontal="left" vertical="top" wrapText="1"/>
    </xf>
    <xf numFmtId="0" fontId="1" fillId="0" borderId="0" xfId="0" applyNumberFormat="1" applyFont="1" applyFill="1" applyBorder="1" applyAlignment="1" applyProtection="1">
      <alignment horizontal="right"/>
      <protection locked="0"/>
    </xf>
    <xf numFmtId="0" fontId="4" fillId="27" borderId="17" xfId="0" quotePrefix="1" applyFont="1" applyFill="1" applyBorder="1" applyAlignment="1">
      <alignment horizontal="center"/>
    </xf>
    <xf numFmtId="49" fontId="4" fillId="0" borderId="0" xfId="59" applyNumberFormat="1" applyFont="1" applyFill="1" applyAlignment="1" applyProtection="1">
      <alignment horizontal="left"/>
    </xf>
    <xf numFmtId="0" fontId="4" fillId="0" borderId="0" xfId="0" applyFont="1" applyFill="1" applyAlignment="1">
      <alignment horizontal="center"/>
    </xf>
    <xf numFmtId="17" fontId="2" fillId="0" borderId="0" xfId="0" applyNumberFormat="1" applyFont="1" applyAlignment="1">
      <alignment horizontal="center" wrapText="1"/>
    </xf>
    <xf numFmtId="188" fontId="32" fillId="0" borderId="0" xfId="0" applyNumberFormat="1" applyFont="1" applyFill="1" applyAlignment="1"/>
    <xf numFmtId="37" fontId="32" fillId="0" borderId="0" xfId="0" applyNumberFormat="1" applyFont="1" applyFill="1">
      <alignment vertical="top"/>
    </xf>
    <xf numFmtId="37" fontId="32" fillId="0" borderId="0" xfId="0" applyNumberFormat="1" applyFont="1" applyFill="1" applyBorder="1">
      <alignment vertical="top"/>
    </xf>
    <xf numFmtId="37" fontId="32" fillId="0" borderId="23" xfId="0" applyNumberFormat="1" applyFont="1" applyFill="1" applyBorder="1" applyAlignment="1"/>
    <xf numFmtId="37" fontId="32" fillId="0" borderId="23" xfId="29" applyNumberFormat="1" applyFont="1" applyFill="1" applyBorder="1"/>
    <xf numFmtId="0" fontId="97" fillId="0" borderId="0" xfId="53" applyFont="1"/>
    <xf numFmtId="0" fontId="4" fillId="0" borderId="0" xfId="0" applyFont="1" applyAlignment="1"/>
    <xf numFmtId="170" fontId="32" fillId="0" borderId="0" xfId="29" applyNumberFormat="1" applyFont="1" applyAlignment="1"/>
    <xf numFmtId="0" fontId="4" fillId="0" borderId="0" xfId="0" applyFont="1" applyAlignment="1">
      <alignment horizontal="center"/>
    </xf>
    <xf numFmtId="0" fontId="4" fillId="0" borderId="0" xfId="0" applyFont="1" applyAlignment="1">
      <alignment horizontal="right"/>
    </xf>
    <xf numFmtId="37" fontId="7" fillId="32" borderId="0" xfId="53" applyNumberFormat="1" applyFont="1" applyFill="1" applyBorder="1"/>
    <xf numFmtId="0" fontId="4" fillId="30" borderId="0" xfId="53" applyFont="1" applyFill="1" applyAlignment="1">
      <alignment horizontal="left"/>
    </xf>
    <xf numFmtId="170" fontId="32" fillId="0" borderId="8" xfId="0" applyNumberFormat="1" applyFont="1" applyBorder="1">
      <alignment vertical="top"/>
    </xf>
    <xf numFmtId="38" fontId="21" fillId="32" borderId="0" xfId="59" applyFont="1" applyFill="1" applyBorder="1"/>
    <xf numFmtId="37" fontId="21" fillId="29" borderId="0" xfId="59" applyNumberFormat="1" applyFont="1" applyFill="1" applyBorder="1"/>
    <xf numFmtId="0" fontId="20" fillId="0" borderId="0" xfId="0" quotePrefix="1" applyFont="1" applyAlignment="1"/>
    <xf numFmtId="0" fontId="1" fillId="0" borderId="0" xfId="0" quotePrefix="1" applyFont="1" applyFill="1" applyBorder="1" applyAlignment="1"/>
    <xf numFmtId="38" fontId="98" fillId="0" borderId="0" xfId="59" applyFont="1"/>
    <xf numFmtId="5" fontId="21" fillId="32" borderId="0" xfId="59" applyNumberFormat="1" applyFont="1" applyFill="1" applyProtection="1"/>
    <xf numFmtId="37" fontId="21" fillId="32" borderId="0" xfId="59" applyNumberFormat="1" applyFont="1" applyFill="1" applyBorder="1"/>
    <xf numFmtId="37" fontId="21" fillId="32" borderId="0" xfId="53" applyNumberFormat="1" applyFont="1" applyFill="1" applyAlignment="1">
      <alignment horizontal="right"/>
    </xf>
    <xf numFmtId="37" fontId="17" fillId="32" borderId="0" xfId="53" applyNumberFormat="1" applyFont="1" applyFill="1" applyAlignment="1" applyProtection="1">
      <alignment horizontal="right"/>
    </xf>
    <xf numFmtId="37" fontId="17" fillId="32" borderId="0" xfId="53" applyNumberFormat="1" applyFont="1" applyFill="1" applyAlignment="1">
      <alignment horizontal="right"/>
    </xf>
    <xf numFmtId="0" fontId="17" fillId="32" borderId="0" xfId="53" applyFont="1" applyFill="1" applyAlignment="1">
      <alignment horizontal="right"/>
    </xf>
    <xf numFmtId="37" fontId="21" fillId="32" borderId="17" xfId="53" applyNumberFormat="1" applyFont="1" applyFill="1" applyBorder="1" applyAlignment="1">
      <alignment horizontal="right"/>
    </xf>
    <xf numFmtId="0" fontId="20" fillId="32" borderId="0" xfId="0" applyFont="1" applyFill="1" applyAlignment="1"/>
    <xf numFmtId="5" fontId="20" fillId="32" borderId="19" xfId="0" applyNumberFormat="1" applyFont="1" applyFill="1" applyBorder="1" applyAlignment="1"/>
    <xf numFmtId="5" fontId="17" fillId="32" borderId="19" xfId="53" applyNumberFormat="1" applyFont="1" applyFill="1" applyBorder="1"/>
    <xf numFmtId="189" fontId="32" fillId="0" borderId="10" xfId="0" applyNumberFormat="1" applyFont="1" applyBorder="1" applyAlignment="1">
      <alignment horizontal="center" vertical="top"/>
    </xf>
    <xf numFmtId="0" fontId="32" fillId="0" borderId="35" xfId="0" quotePrefix="1" applyNumberFormat="1" applyFont="1" applyFill="1" applyBorder="1" applyAlignment="1">
      <alignment horizontal="center" vertical="top"/>
    </xf>
    <xf numFmtId="0" fontId="32" fillId="0" borderId="10" xfId="0" quotePrefix="1" applyNumberFormat="1" applyFont="1" applyFill="1" applyBorder="1" applyAlignment="1">
      <alignment horizontal="center" vertical="top"/>
    </xf>
    <xf numFmtId="0" fontId="32" fillId="29" borderId="10" xfId="0" quotePrefix="1" applyNumberFormat="1" applyFont="1" applyFill="1" applyBorder="1" applyAlignment="1">
      <alignment horizontal="center" vertical="top"/>
    </xf>
    <xf numFmtId="0" fontId="32" fillId="0" borderId="10" xfId="0" quotePrefix="1" applyFont="1" applyBorder="1" applyAlignment="1">
      <alignment horizontal="center" vertical="top"/>
    </xf>
    <xf numFmtId="5" fontId="20" fillId="0" borderId="0" xfId="59" applyNumberFormat="1" applyFont="1" applyBorder="1" applyProtection="1"/>
    <xf numFmtId="5" fontId="21" fillId="0" borderId="0" xfId="59" applyNumberFormat="1" applyFont="1" applyFill="1" applyBorder="1" applyProtection="1"/>
    <xf numFmtId="5" fontId="21" fillId="29" borderId="0" xfId="59" applyNumberFormat="1" applyFont="1" applyFill="1" applyBorder="1" applyProtection="1"/>
    <xf numFmtId="37" fontId="21" fillId="0" borderId="0" xfId="59" applyNumberFormat="1" applyFont="1" applyFill="1" applyBorder="1" applyProtection="1"/>
    <xf numFmtId="37" fontId="21" fillId="0" borderId="0" xfId="59" applyNumberFormat="1" applyFont="1" applyBorder="1" applyProtection="1"/>
    <xf numFmtId="38" fontId="99" fillId="0" borderId="0" xfId="59" applyFont="1" applyBorder="1"/>
    <xf numFmtId="38" fontId="99" fillId="0" borderId="0" xfId="59" applyFont="1"/>
    <xf numFmtId="0" fontId="35" fillId="0" borderId="0" xfId="0" applyNumberFormat="1" applyFont="1" applyAlignment="1" applyProtection="1">
      <alignment horizontal="center"/>
      <protection locked="0"/>
    </xf>
    <xf numFmtId="0" fontId="35" fillId="0" borderId="0" xfId="0" applyNumberFormat="1" applyFont="1" applyFill="1" applyAlignment="1" applyProtection="1">
      <protection locked="0"/>
    </xf>
    <xf numFmtId="0" fontId="35" fillId="0" borderId="0" xfId="0" applyNumberFormat="1" applyFont="1" applyFill="1" applyProtection="1">
      <alignment vertical="top"/>
      <protection locked="0"/>
    </xf>
    <xf numFmtId="3" fontId="35" fillId="0" borderId="0" xfId="0" applyNumberFormat="1" applyFont="1" applyFill="1" applyAlignment="1"/>
    <xf numFmtId="0" fontId="35" fillId="0" borderId="0" xfId="0" applyFont="1" applyFill="1" applyAlignment="1"/>
    <xf numFmtId="10" fontId="35" fillId="27" borderId="0" xfId="0" applyNumberFormat="1" applyFont="1" applyFill="1" applyProtection="1">
      <alignment vertical="top"/>
      <protection locked="0"/>
    </xf>
    <xf numFmtId="0" fontId="100" fillId="0" borderId="0" xfId="0" applyNumberFormat="1" applyFont="1" applyFill="1" applyProtection="1">
      <alignment vertical="top"/>
      <protection locked="0"/>
    </xf>
    <xf numFmtId="0" fontId="35" fillId="0" borderId="0" xfId="0" applyFont="1" applyAlignment="1"/>
    <xf numFmtId="0" fontId="35" fillId="0" borderId="0" xfId="0" applyNumberFormat="1" applyFont="1" applyFill="1">
      <alignment vertical="top"/>
    </xf>
    <xf numFmtId="0" fontId="35" fillId="0" borderId="0" xfId="0" applyFont="1" applyAlignment="1">
      <alignment horizontal="center"/>
    </xf>
    <xf numFmtId="10" fontId="35" fillId="0" borderId="0" xfId="0" applyNumberFormat="1" applyFont="1" applyFill="1">
      <alignment vertical="top"/>
    </xf>
    <xf numFmtId="0" fontId="35" fillId="0" borderId="0" xfId="0" applyNumberFormat="1" applyFont="1">
      <alignment vertical="top"/>
    </xf>
    <xf numFmtId="0" fontId="35" fillId="0" borderId="0" xfId="0" applyFont="1" applyFill="1" applyAlignment="1">
      <alignment horizontal="center"/>
    </xf>
    <xf numFmtId="0" fontId="35" fillId="0" borderId="0" xfId="0" applyNumberFormat="1" applyFont="1" applyFill="1" applyAlignment="1">
      <alignment horizontal="left" indent="2"/>
    </xf>
    <xf numFmtId="0" fontId="35" fillId="0" borderId="0" xfId="0" applyFont="1" applyFill="1" applyAlignment="1">
      <alignment horizontal="left" indent="2"/>
    </xf>
    <xf numFmtId="176" fontId="83" fillId="0" borderId="0" xfId="0" applyNumberFormat="1" applyFont="1">
      <alignment vertical="top"/>
    </xf>
    <xf numFmtId="37" fontId="32" fillId="33" borderId="0" xfId="0" applyNumberFormat="1" applyFont="1" applyFill="1" applyAlignment="1"/>
    <xf numFmtId="37" fontId="32" fillId="34" borderId="0" xfId="0" applyNumberFormat="1" applyFont="1" applyFill="1" applyAlignment="1"/>
    <xf numFmtId="37" fontId="32" fillId="35" borderId="0" xfId="0" applyNumberFormat="1" applyFont="1" applyFill="1" applyAlignment="1"/>
    <xf numFmtId="37" fontId="32" fillId="36" borderId="0" xfId="0" applyNumberFormat="1" applyFont="1" applyFill="1" applyAlignment="1"/>
    <xf numFmtId="37" fontId="32" fillId="37" borderId="0" xfId="0" applyNumberFormat="1" applyFont="1" applyFill="1" applyAlignment="1"/>
    <xf numFmtId="37" fontId="32" fillId="38" borderId="0" xfId="0" applyNumberFormat="1" applyFont="1" applyFill="1" applyAlignment="1"/>
    <xf numFmtId="37" fontId="32" fillId="39" borderId="0" xfId="0" applyNumberFormat="1" applyFont="1" applyFill="1" applyBorder="1" applyAlignment="1"/>
    <xf numFmtId="3" fontId="101" fillId="0" borderId="0" xfId="0" applyNumberFormat="1" applyFont="1" applyAlignment="1"/>
    <xf numFmtId="173" fontId="101" fillId="0" borderId="0" xfId="0" applyNumberFormat="1" applyFont="1" applyFill="1">
      <alignment vertical="top"/>
    </xf>
    <xf numFmtId="173" fontId="101" fillId="0" borderId="0" xfId="0" applyNumberFormat="1" applyFont="1" applyFill="1" applyAlignment="1"/>
    <xf numFmtId="176" fontId="32" fillId="0" borderId="0" xfId="0" applyNumberFormat="1" applyFont="1" applyFill="1" applyBorder="1" applyAlignment="1"/>
    <xf numFmtId="176" fontId="1" fillId="0" borderId="0" xfId="0" applyNumberFormat="1" applyFont="1" applyFill="1" applyBorder="1" applyAlignment="1"/>
    <xf numFmtId="170" fontId="36" fillId="0" borderId="0" xfId="0" applyNumberFormat="1" applyFont="1" applyAlignment="1"/>
    <xf numFmtId="170" fontId="36" fillId="0" borderId="23" xfId="0" applyNumberFormat="1" applyFont="1" applyBorder="1" applyAlignment="1"/>
    <xf numFmtId="174" fontId="32" fillId="0" borderId="0" xfId="0" applyNumberFormat="1" applyFont="1" applyFill="1" applyBorder="1" applyAlignment="1"/>
    <xf numFmtId="0" fontId="1" fillId="0" borderId="0" xfId="0" applyFont="1" applyFill="1" applyBorder="1" applyAlignment="1"/>
    <xf numFmtId="170" fontId="4" fillId="0" borderId="0" xfId="0" applyNumberFormat="1" applyFont="1" applyAlignment="1"/>
    <xf numFmtId="170" fontId="4" fillId="0" borderId="8" xfId="0" applyNumberFormat="1" applyFont="1" applyBorder="1" applyAlignment="1"/>
    <xf numFmtId="0" fontId="4" fillId="0" borderId="0" xfId="0" applyFont="1" applyAlignment="1">
      <alignment horizontal="left"/>
    </xf>
    <xf numFmtId="169" fontId="4" fillId="0" borderId="0" xfId="66" applyNumberFormat="1" applyFont="1" applyAlignment="1"/>
    <xf numFmtId="170" fontId="4" fillId="0" borderId="0" xfId="29" applyNumberFormat="1" applyFont="1" applyAlignment="1"/>
    <xf numFmtId="0" fontId="4" fillId="0" borderId="0" xfId="0" applyFont="1" applyBorder="1" applyAlignment="1"/>
    <xf numFmtId="0" fontId="63" fillId="0" borderId="0" xfId="0" applyFont="1" applyFill="1" applyAlignment="1">
      <alignment horizontal="center"/>
    </xf>
    <xf numFmtId="170" fontId="60" fillId="0" borderId="0" xfId="0" applyNumberFormat="1" applyFont="1" applyFill="1" applyBorder="1" applyAlignment="1"/>
    <xf numFmtId="0" fontId="1" fillId="0" borderId="0" xfId="0" applyNumberFormat="1" applyFont="1" applyFill="1" applyBorder="1" applyAlignment="1"/>
    <xf numFmtId="0" fontId="102" fillId="0" borderId="0" xfId="0" applyFont="1" applyFill="1" applyBorder="1" applyAlignment="1"/>
    <xf numFmtId="176" fontId="63" fillId="0" borderId="34" xfId="0" applyNumberFormat="1" applyFont="1" applyBorder="1" applyAlignment="1"/>
    <xf numFmtId="181" fontId="63" fillId="0" borderId="34" xfId="66" applyNumberFormat="1" applyFont="1" applyBorder="1" applyAlignment="1"/>
    <xf numFmtId="176" fontId="63" fillId="0" borderId="22" xfId="0" applyNumberFormat="1" applyFont="1" applyBorder="1" applyAlignment="1"/>
    <xf numFmtId="176" fontId="63" fillId="0" borderId="22" xfId="0" applyNumberFormat="1" applyFont="1" applyFill="1" applyBorder="1" applyAlignment="1"/>
    <xf numFmtId="181" fontId="63" fillId="0" borderId="22" xfId="66" applyNumberFormat="1" applyFont="1" applyBorder="1" applyAlignment="1"/>
    <xf numFmtId="176" fontId="73" fillId="0" borderId="8" xfId="0" applyNumberFormat="1" applyFont="1" applyBorder="1" applyAlignment="1"/>
    <xf numFmtId="0" fontId="63" fillId="0" borderId="29" xfId="66" applyNumberFormat="1" applyFont="1" applyBorder="1" applyAlignment="1"/>
    <xf numFmtId="0" fontId="63" fillId="0" borderId="25" xfId="0" applyNumberFormat="1" applyFont="1" applyBorder="1">
      <alignment vertical="top"/>
    </xf>
    <xf numFmtId="181" fontId="63" fillId="0" borderId="29" xfId="66" applyNumberFormat="1" applyFont="1" applyBorder="1" applyAlignment="1"/>
    <xf numFmtId="180" fontId="65" fillId="27" borderId="30" xfId="66" applyNumberFormat="1" applyFont="1" applyFill="1" applyBorder="1" applyAlignment="1"/>
    <xf numFmtId="0" fontId="65" fillId="0" borderId="26" xfId="0" applyNumberFormat="1" applyFont="1" applyBorder="1">
      <alignment vertical="top"/>
    </xf>
    <xf numFmtId="0" fontId="63" fillId="0" borderId="30" xfId="0" applyFont="1" applyBorder="1" applyAlignment="1"/>
    <xf numFmtId="0" fontId="63" fillId="0" borderId="27" xfId="0" applyFont="1" applyBorder="1" applyAlignment="1">
      <alignment horizontal="center"/>
    </xf>
    <xf numFmtId="0" fontId="63" fillId="0" borderId="23" xfId="0" applyFont="1" applyBorder="1" applyAlignment="1">
      <alignment horizontal="center"/>
    </xf>
    <xf numFmtId="0" fontId="63" fillId="0" borderId="28" xfId="0" applyNumberFormat="1" applyFont="1" applyBorder="1" applyAlignment="1">
      <alignment horizontal="center"/>
    </xf>
    <xf numFmtId="176" fontId="63" fillId="0" borderId="0" xfId="0" applyNumberFormat="1" applyFont="1" applyBorder="1" applyAlignment="1"/>
    <xf numFmtId="170" fontId="65" fillId="27" borderId="0" xfId="29" applyNumberFormat="1" applyFont="1" applyFill="1" applyBorder="1" applyAlignment="1"/>
    <xf numFmtId="0" fontId="63" fillId="0" borderId="36" xfId="0" applyFont="1" applyBorder="1" applyAlignment="1"/>
    <xf numFmtId="176" fontId="63" fillId="0" borderId="18" xfId="0" applyNumberFormat="1" applyFont="1" applyBorder="1" applyAlignment="1"/>
    <xf numFmtId="170" fontId="65" fillId="27" borderId="24" xfId="29" applyNumberFormat="1" applyFont="1" applyFill="1" applyBorder="1" applyAlignment="1"/>
    <xf numFmtId="3" fontId="63" fillId="0" borderId="0" xfId="0" applyNumberFormat="1" applyFont="1" applyBorder="1">
      <alignment vertical="top"/>
    </xf>
    <xf numFmtId="3" fontId="63" fillId="0" borderId="25" xfId="0" applyNumberFormat="1" applyFont="1" applyBorder="1">
      <alignment vertical="top"/>
    </xf>
    <xf numFmtId="0" fontId="63" fillId="0" borderId="30" xfId="0" applyFont="1" applyBorder="1" applyAlignment="1">
      <alignment horizontal="right"/>
    </xf>
    <xf numFmtId="176" fontId="63" fillId="0" borderId="17" xfId="0" applyNumberFormat="1" applyFont="1" applyBorder="1" applyAlignment="1"/>
    <xf numFmtId="3" fontId="63" fillId="0" borderId="17" xfId="0" applyNumberFormat="1" applyFont="1" applyBorder="1">
      <alignment vertical="top"/>
    </xf>
    <xf numFmtId="3" fontId="63" fillId="0" borderId="26" xfId="0" applyNumberFormat="1" applyFont="1" applyBorder="1">
      <alignment vertical="top"/>
    </xf>
    <xf numFmtId="170" fontId="20" fillId="0" borderId="0" xfId="29" applyNumberFormat="1" applyFont="1" applyAlignment="1"/>
    <xf numFmtId="10" fontId="20" fillId="40" borderId="0" xfId="0" applyNumberFormat="1" applyFont="1" applyFill="1" applyAlignment="1"/>
    <xf numFmtId="176" fontId="32" fillId="41" borderId="8" xfId="63" applyNumberFormat="1" applyFont="1" applyFill="1" applyBorder="1" applyAlignment="1">
      <alignment horizontal="right" vertical="top"/>
    </xf>
    <xf numFmtId="5" fontId="7" fillId="42" borderId="0" xfId="53" applyNumberFormat="1" applyFont="1" applyFill="1" applyProtection="1"/>
    <xf numFmtId="37" fontId="7" fillId="42" borderId="0" xfId="53" applyNumberFormat="1" applyFont="1" applyFill="1" applyProtection="1"/>
    <xf numFmtId="5" fontId="21" fillId="42" borderId="0" xfId="59" applyNumberFormat="1" applyFont="1" applyFill="1" applyProtection="1"/>
    <xf numFmtId="170" fontId="17" fillId="42" borderId="0" xfId="29" applyNumberFormat="1" applyFont="1" applyFill="1"/>
    <xf numFmtId="37" fontId="17" fillId="42" borderId="0" xfId="0" applyNumberFormat="1" applyFont="1" applyFill="1" applyAlignment="1">
      <alignment horizontal="right"/>
    </xf>
    <xf numFmtId="37" fontId="20" fillId="42" borderId="17" xfId="53" applyNumberFormat="1" applyFont="1" applyFill="1" applyBorder="1" applyAlignment="1">
      <alignment horizontal="right"/>
    </xf>
    <xf numFmtId="170" fontId="17" fillId="42" borderId="17" xfId="29" applyNumberFormat="1" applyFont="1" applyFill="1" applyBorder="1"/>
    <xf numFmtId="42" fontId="32" fillId="42" borderId="19" xfId="0" applyNumberFormat="1" applyFont="1" applyFill="1" applyBorder="1" applyAlignment="1">
      <alignment horizontal="right"/>
    </xf>
    <xf numFmtId="3" fontId="32" fillId="42" borderId="0" xfId="0" applyNumberFormat="1" applyFont="1" applyFill="1">
      <alignment vertical="top"/>
    </xf>
    <xf numFmtId="3" fontId="32" fillId="42" borderId="0" xfId="0" applyNumberFormat="1" applyFont="1" applyFill="1" applyBorder="1">
      <alignment vertical="top"/>
    </xf>
    <xf numFmtId="10" fontId="20" fillId="42" borderId="0" xfId="66" applyNumberFormat="1" applyFont="1" applyFill="1"/>
    <xf numFmtId="5" fontId="7" fillId="42" borderId="17" xfId="53" applyNumberFormat="1" applyFont="1" applyFill="1" applyBorder="1" applyProtection="1"/>
    <xf numFmtId="38" fontId="21" fillId="42" borderId="0" xfId="59" applyFont="1" applyFill="1" applyBorder="1"/>
    <xf numFmtId="17" fontId="4" fillId="0" borderId="0" xfId="0" applyNumberFormat="1" applyFont="1" applyAlignment="1">
      <alignment horizontal="center"/>
    </xf>
    <xf numFmtId="17" fontId="2" fillId="0" borderId="0" xfId="0" applyNumberFormat="1" applyFont="1" applyBorder="1" applyAlignment="1">
      <alignment horizontal="center" wrapText="1"/>
    </xf>
    <xf numFmtId="0" fontId="103" fillId="0" borderId="0" xfId="0" applyFont="1" applyBorder="1" applyAlignment="1"/>
    <xf numFmtId="37" fontId="103" fillId="0" borderId="0" xfId="0" applyNumberFormat="1" applyFont="1" applyBorder="1" applyAlignment="1"/>
    <xf numFmtId="0" fontId="103" fillId="0" borderId="0" xfId="0" applyFont="1" applyAlignment="1"/>
    <xf numFmtId="37" fontId="103" fillId="0" borderId="23" xfId="0" applyNumberFormat="1" applyFont="1" applyBorder="1" applyAlignment="1"/>
    <xf numFmtId="38" fontId="104" fillId="0" borderId="0" xfId="59" applyFont="1"/>
    <xf numFmtId="38" fontId="17" fillId="42" borderId="0" xfId="59" applyFont="1" applyFill="1"/>
    <xf numFmtId="37" fontId="21" fillId="42" borderId="0" xfId="59" applyNumberFormat="1" applyFont="1" applyFill="1" applyBorder="1"/>
    <xf numFmtId="3" fontId="1" fillId="0" borderId="0" xfId="0" applyNumberFormat="1" applyFont="1" applyFill="1" applyBorder="1" applyAlignment="1">
      <alignment horizontal="center"/>
    </xf>
    <xf numFmtId="0" fontId="1" fillId="0" borderId="0" xfId="0" applyFont="1" applyFill="1" applyBorder="1" applyAlignment="1">
      <alignment horizontal="center"/>
    </xf>
    <xf numFmtId="37" fontId="21" fillId="42" borderId="0" xfId="59" applyNumberFormat="1" applyFont="1" applyFill="1" applyProtection="1"/>
    <xf numFmtId="0" fontId="104" fillId="0" borderId="0" xfId="53" applyFont="1"/>
    <xf numFmtId="37" fontId="2" fillId="0" borderId="0" xfId="59" applyNumberFormat="1" applyFont="1" applyFill="1" applyAlignment="1" applyProtection="1"/>
    <xf numFmtId="38" fontId="4" fillId="0" borderId="0" xfId="57" applyFont="1"/>
    <xf numFmtId="38" fontId="4" fillId="0" borderId="0" xfId="57" applyFont="1" applyAlignment="1">
      <alignment horizontal="left"/>
    </xf>
    <xf numFmtId="37" fontId="2" fillId="0" borderId="0" xfId="59" applyNumberFormat="1" applyFont="1" applyFill="1" applyAlignment="1" applyProtection="1">
      <alignment horizontal="right"/>
    </xf>
    <xf numFmtId="38" fontId="4" fillId="0" borderId="0" xfId="57" applyFont="1" applyAlignment="1">
      <alignment horizontal="right"/>
    </xf>
    <xf numFmtId="190" fontId="7" fillId="0" borderId="0" xfId="57" applyNumberFormat="1" applyFont="1" applyAlignment="1">
      <alignment horizontal="left"/>
    </xf>
    <xf numFmtId="38" fontId="7" fillId="0" borderId="0" xfId="57" quotePrefix="1" applyFont="1"/>
    <xf numFmtId="190" fontId="7" fillId="0" borderId="0" xfId="57" quotePrefix="1" applyNumberFormat="1" applyFont="1"/>
    <xf numFmtId="38" fontId="4" fillId="0" borderId="0" xfId="57" quotePrefix="1" applyFont="1" applyAlignment="1">
      <alignment horizontal="right"/>
    </xf>
    <xf numFmtId="171" fontId="7" fillId="0" borderId="0" xfId="57" quotePrefix="1" applyNumberFormat="1" applyFont="1" applyAlignment="1">
      <alignment horizontal="left"/>
    </xf>
    <xf numFmtId="38" fontId="2" fillId="0" borderId="0" xfId="57" applyFont="1" applyAlignment="1">
      <alignment horizontal="right"/>
    </xf>
    <xf numFmtId="38" fontId="2" fillId="0" borderId="0" xfId="57" applyFont="1"/>
    <xf numFmtId="164" fontId="4" fillId="0" borderId="0" xfId="0" applyNumberFormat="1" applyFont="1" applyFill="1" applyAlignment="1" applyProtection="1">
      <alignment horizontal="centerContinuous"/>
    </xf>
    <xf numFmtId="0" fontId="2" fillId="0" borderId="0" xfId="0" applyFont="1" applyFill="1" applyBorder="1">
      <alignment vertical="top"/>
    </xf>
    <xf numFmtId="164" fontId="4" fillId="0" borderId="0" xfId="0" applyNumberFormat="1" applyFont="1" applyFill="1" applyAlignment="1" applyProtection="1">
      <alignment horizontal="center"/>
    </xf>
    <xf numFmtId="164" fontId="4" fillId="43" borderId="37" xfId="0" applyNumberFormat="1" applyFont="1" applyFill="1" applyBorder="1" applyAlignment="1" applyProtection="1">
      <alignment horizontal="centerContinuous"/>
    </xf>
    <xf numFmtId="164" fontId="105" fillId="43" borderId="31" xfId="0" quotePrefix="1" applyNumberFormat="1" applyFont="1" applyFill="1" applyBorder="1" applyAlignment="1" applyProtection="1">
      <alignment horizontal="left"/>
    </xf>
    <xf numFmtId="164" fontId="106" fillId="43" borderId="31" xfId="0" quotePrefix="1" applyNumberFormat="1" applyFont="1" applyFill="1" applyBorder="1" applyAlignment="1" applyProtection="1">
      <alignment horizontal="center"/>
    </xf>
    <xf numFmtId="164" fontId="2" fillId="43" borderId="31" xfId="0" applyNumberFormat="1" applyFont="1" applyFill="1" applyBorder="1" applyAlignment="1" applyProtection="1">
      <alignment horizontal="centerContinuous"/>
    </xf>
    <xf numFmtId="164" fontId="4" fillId="43" borderId="38" xfId="0" applyNumberFormat="1" applyFont="1" applyFill="1" applyBorder="1" applyAlignment="1" applyProtection="1">
      <alignment horizontal="center"/>
    </xf>
    <xf numFmtId="0" fontId="4" fillId="43" borderId="39" xfId="0" applyFont="1" applyFill="1" applyBorder="1" applyAlignment="1">
      <alignment horizontal="centerContinuous"/>
    </xf>
    <xf numFmtId="0" fontId="2" fillId="43" borderId="19" xfId="0" applyFont="1" applyFill="1" applyBorder="1" applyAlignment="1"/>
    <xf numFmtId="0" fontId="2" fillId="43" borderId="19" xfId="0" applyFont="1" applyFill="1" applyBorder="1">
      <alignment vertical="top"/>
    </xf>
    <xf numFmtId="169" fontId="2" fillId="43" borderId="19" xfId="66" applyNumberFormat="1" applyFont="1" applyFill="1" applyBorder="1" applyAlignment="1">
      <alignment horizontal="right"/>
    </xf>
    <xf numFmtId="0" fontId="4" fillId="43" borderId="40" xfId="0" applyFont="1" applyFill="1" applyBorder="1" applyAlignment="1">
      <alignment horizontal="centerContinuous"/>
    </xf>
    <xf numFmtId="0" fontId="4" fillId="43" borderId="41" xfId="0" applyFont="1" applyFill="1" applyBorder="1" applyAlignment="1">
      <alignment horizontal="centerContinuous"/>
    </xf>
    <xf numFmtId="0" fontId="2" fillId="43" borderId="12" xfId="0" applyFont="1" applyFill="1" applyBorder="1" applyAlignment="1">
      <alignment horizontal="center"/>
    </xf>
    <xf numFmtId="0" fontId="4" fillId="43" borderId="42" xfId="0" applyFont="1" applyFill="1" applyBorder="1" applyAlignment="1">
      <alignment horizontal="centerContinuous"/>
    </xf>
    <xf numFmtId="38" fontId="107" fillId="0" borderId="0" xfId="57" applyFont="1"/>
    <xf numFmtId="0" fontId="62" fillId="0" borderId="0" xfId="0" quotePrefix="1" applyFont="1" applyAlignment="1"/>
    <xf numFmtId="170" fontId="4" fillId="0" borderId="0" xfId="29" applyNumberFormat="1" applyFont="1" applyAlignment="1">
      <alignment horizontal="center"/>
    </xf>
    <xf numFmtId="170" fontId="4" fillId="32" borderId="0" xfId="29" applyNumberFormat="1" applyFont="1" applyFill="1" applyAlignment="1"/>
    <xf numFmtId="170" fontId="4" fillId="0" borderId="43" xfId="29" applyNumberFormat="1" applyFont="1" applyBorder="1" applyAlignment="1"/>
    <xf numFmtId="0" fontId="62" fillId="0" borderId="0" xfId="0" applyFont="1" applyAlignment="1"/>
    <xf numFmtId="5" fontId="7" fillId="42" borderId="0" xfId="53" applyNumberFormat="1" applyFont="1" applyFill="1" applyAlignment="1">
      <alignment horizontal="right"/>
    </xf>
    <xf numFmtId="37" fontId="99" fillId="0" borderId="17" xfId="59" applyNumberFormat="1" applyFont="1" applyBorder="1" applyAlignment="1">
      <alignment horizontal="center"/>
    </xf>
    <xf numFmtId="37" fontId="108" fillId="0" borderId="0" xfId="59" applyNumberFormat="1" applyFont="1" applyAlignment="1">
      <alignment horizontal="center"/>
    </xf>
    <xf numFmtId="37" fontId="99" fillId="0" borderId="0" xfId="59" applyNumberFormat="1" applyFont="1" applyAlignment="1" applyProtection="1">
      <alignment horizontal="center"/>
    </xf>
    <xf numFmtId="37" fontId="108" fillId="0" borderId="0" xfId="59" applyNumberFormat="1" applyFont="1" applyBorder="1" applyAlignment="1" applyProtection="1">
      <alignment horizontal="center"/>
    </xf>
    <xf numFmtId="37" fontId="99" fillId="0" borderId="0" xfId="59" applyNumberFormat="1" applyFont="1" applyAlignment="1">
      <alignment horizontal="center"/>
    </xf>
    <xf numFmtId="37" fontId="32" fillId="42" borderId="0" xfId="59" applyNumberFormat="1" applyFont="1" applyFill="1" applyBorder="1"/>
    <xf numFmtId="0" fontId="1" fillId="0" borderId="29" xfId="0" applyFont="1" applyFill="1" applyBorder="1" applyAlignment="1"/>
    <xf numFmtId="174" fontId="10" fillId="42" borderId="0" xfId="31" applyNumberFormat="1" applyFont="1" applyFill="1" applyBorder="1" applyAlignment="1"/>
    <xf numFmtId="170" fontId="10" fillId="42" borderId="0" xfId="29" applyNumberFormat="1" applyFont="1" applyFill="1" applyBorder="1" applyAlignment="1"/>
    <xf numFmtId="170" fontId="36" fillId="0" borderId="0" xfId="29" applyNumberFormat="1" applyFont="1" applyAlignment="1"/>
    <xf numFmtId="6" fontId="63" fillId="27" borderId="30" xfId="31" applyNumberFormat="1" applyFont="1" applyFill="1" applyBorder="1" applyAlignment="1"/>
    <xf numFmtId="170" fontId="63" fillId="27" borderId="36" xfId="29" applyNumberFormat="1" applyFont="1" applyFill="1" applyBorder="1" applyAlignment="1"/>
    <xf numFmtId="43" fontId="32" fillId="0" borderId="0" xfId="29" applyFont="1" applyFill="1" applyBorder="1" applyAlignment="1"/>
    <xf numFmtId="0" fontId="0" fillId="0" borderId="0" xfId="0" applyAlignment="1">
      <alignment vertical="top" wrapText="1"/>
    </xf>
    <xf numFmtId="174" fontId="10" fillId="0" borderId="0" xfId="0" applyNumberFormat="1" applyFont="1" applyFill="1" applyBorder="1" applyAlignment="1"/>
    <xf numFmtId="0" fontId="63" fillId="0" borderId="36" xfId="0" applyFont="1" applyBorder="1" applyAlignment="1" applyProtection="1">
      <protection locked="0"/>
    </xf>
    <xf numFmtId="0" fontId="63" fillId="0" borderId="18" xfId="0" applyFont="1" applyBorder="1" applyAlignment="1" applyProtection="1">
      <protection locked="0"/>
    </xf>
    <xf numFmtId="0" fontId="63" fillId="0" borderId="24" xfId="0" applyFont="1" applyBorder="1" applyAlignment="1" applyProtection="1">
      <protection locked="0"/>
    </xf>
    <xf numFmtId="0" fontId="63" fillId="0" borderId="29" xfId="0" applyFont="1" applyBorder="1" applyAlignment="1" applyProtection="1">
      <protection locked="0"/>
    </xf>
    <xf numFmtId="0" fontId="63" fillId="0" borderId="0" xfId="0" applyFont="1" applyBorder="1" applyAlignment="1" applyProtection="1">
      <protection locked="0"/>
    </xf>
    <xf numFmtId="0" fontId="63" fillId="0" borderId="25" xfId="0" applyFont="1" applyBorder="1" applyAlignment="1" applyProtection="1">
      <protection locked="0"/>
    </xf>
    <xf numFmtId="10" fontId="109" fillId="44" borderId="25" xfId="66" applyNumberFormat="1" applyFont="1" applyFill="1" applyBorder="1" applyAlignment="1" applyProtection="1">
      <protection locked="0"/>
    </xf>
    <xf numFmtId="0" fontId="63" fillId="0" borderId="30" xfId="0" applyFont="1" applyBorder="1" applyAlignment="1" applyProtection="1">
      <protection locked="0"/>
    </xf>
    <xf numFmtId="0" fontId="63" fillId="0" borderId="17" xfId="0" applyFont="1" applyBorder="1" applyAlignment="1" applyProtection="1">
      <protection locked="0"/>
    </xf>
    <xf numFmtId="0" fontId="63" fillId="0" borderId="26" xfId="0" applyFont="1" applyBorder="1" applyAlignment="1" applyProtection="1">
      <protection locked="0"/>
    </xf>
    <xf numFmtId="0" fontId="110" fillId="0" borderId="0" xfId="0" applyNumberFormat="1" applyFont="1" applyFill="1" applyAlignment="1" applyProtection="1">
      <protection locked="0"/>
    </xf>
    <xf numFmtId="0" fontId="110" fillId="0" borderId="0" xfId="0" applyFont="1" applyAlignment="1" applyProtection="1">
      <protection locked="0"/>
    </xf>
    <xf numFmtId="191" fontId="63" fillId="40" borderId="0" xfId="0" applyNumberFormat="1" applyFont="1" applyFill="1" applyAlignment="1" applyProtection="1">
      <protection locked="0"/>
    </xf>
    <xf numFmtId="176" fontId="63" fillId="0" borderId="0" xfId="0" applyNumberFormat="1" applyFont="1" applyFill="1" applyAlignment="1" applyProtection="1"/>
    <xf numFmtId="178" fontId="63" fillId="40" borderId="0" xfId="0" applyNumberFormat="1" applyFont="1" applyFill="1" applyAlignment="1" applyProtection="1">
      <protection locked="0"/>
    </xf>
    <xf numFmtId="178" fontId="63" fillId="40" borderId="17" xfId="0" applyNumberFormat="1" applyFont="1" applyFill="1" applyBorder="1" applyAlignment="1" applyProtection="1">
      <protection locked="0"/>
    </xf>
    <xf numFmtId="0" fontId="2" fillId="0" borderId="0" xfId="63" applyFont="1" applyFill="1" applyAlignment="1">
      <alignment horizontal="center" vertical="top"/>
    </xf>
    <xf numFmtId="0" fontId="33" fillId="0" borderId="0" xfId="0" applyFont="1" applyFill="1" applyAlignment="1">
      <alignment horizontal="center" vertical="top"/>
    </xf>
    <xf numFmtId="169" fontId="4" fillId="0" borderId="44" xfId="120" applyNumberFormat="1" applyFont="1" applyBorder="1"/>
    <xf numFmtId="169" fontId="20" fillId="0" borderId="0" xfId="66" applyNumberFormat="1" applyFont="1"/>
    <xf numFmtId="43" fontId="32" fillId="0" borderId="0" xfId="29" applyFont="1" applyAlignment="1"/>
    <xf numFmtId="5" fontId="21" fillId="45" borderId="0" xfId="59" applyNumberFormat="1" applyFont="1" applyFill="1" applyProtection="1"/>
    <xf numFmtId="38" fontId="21" fillId="45" borderId="0" xfId="59" applyFont="1" applyFill="1" applyBorder="1"/>
    <xf numFmtId="37" fontId="21" fillId="41" borderId="0" xfId="53" applyNumberFormat="1" applyFont="1" applyFill="1" applyAlignment="1">
      <alignment horizontal="right"/>
    </xf>
    <xf numFmtId="5" fontId="21" fillId="41" borderId="0" xfId="53" applyNumberFormat="1" applyFont="1" applyFill="1" applyAlignment="1">
      <alignment horizontal="right"/>
    </xf>
    <xf numFmtId="37" fontId="21" fillId="41" borderId="17" xfId="53" applyNumberFormat="1" applyFont="1" applyFill="1" applyBorder="1" applyAlignment="1">
      <alignment horizontal="right"/>
    </xf>
    <xf numFmtId="5" fontId="20" fillId="41" borderId="19" xfId="53" applyNumberFormat="1" applyFont="1" applyFill="1" applyBorder="1" applyAlignment="1">
      <alignment horizontal="right"/>
    </xf>
    <xf numFmtId="37" fontId="21" fillId="41" borderId="0" xfId="53" applyNumberFormat="1" applyFont="1" applyFill="1" applyProtection="1"/>
    <xf numFmtId="5" fontId="21" fillId="41" borderId="19" xfId="53" applyNumberFormat="1" applyFont="1" applyFill="1" applyBorder="1" applyAlignment="1">
      <alignment horizontal="right"/>
    </xf>
    <xf numFmtId="0" fontId="113" fillId="0" borderId="0" xfId="0" applyFont="1" applyFill="1" applyAlignment="1">
      <alignment horizontal="center" vertical="top" wrapText="1"/>
    </xf>
    <xf numFmtId="176" fontId="32" fillId="32" borderId="34" xfId="31" applyNumberFormat="1" applyFont="1" applyFill="1" applyBorder="1" applyAlignment="1">
      <alignment horizontal="right" vertical="top"/>
    </xf>
    <xf numFmtId="176" fontId="32" fillId="32" borderId="33" xfId="31" applyNumberFormat="1" applyFont="1" applyFill="1" applyBorder="1" applyAlignment="1">
      <alignment horizontal="right" vertical="top"/>
    </xf>
    <xf numFmtId="176" fontId="32" fillId="32" borderId="22" xfId="31" applyNumberFormat="1" applyFont="1" applyFill="1" applyBorder="1" applyAlignment="1">
      <alignment horizontal="right" vertical="top"/>
    </xf>
    <xf numFmtId="176" fontId="32" fillId="32" borderId="34" xfId="63" applyNumberFormat="1" applyFont="1" applyFill="1" applyBorder="1" applyAlignment="1">
      <alignment horizontal="right" vertical="top"/>
    </xf>
    <xf numFmtId="1" fontId="32" fillId="32" borderId="33" xfId="63" applyNumberFormat="1" applyFont="1" applyFill="1" applyBorder="1" applyAlignment="1">
      <alignment horizontal="right" vertical="top"/>
    </xf>
    <xf numFmtId="0" fontId="114" fillId="0" borderId="0" xfId="0" applyFont="1" applyBorder="1" applyAlignment="1">
      <alignment horizontal="center" vertical="center" wrapText="1"/>
    </xf>
    <xf numFmtId="0" fontId="114" fillId="0" borderId="0" xfId="0" applyFont="1" applyAlignment="1"/>
    <xf numFmtId="0" fontId="115" fillId="0" borderId="0" xfId="0" applyFont="1" applyAlignment="1"/>
    <xf numFmtId="0" fontId="115" fillId="0" borderId="0" xfId="0" applyFont="1" applyAlignment="1">
      <alignment horizontal="center"/>
    </xf>
    <xf numFmtId="0" fontId="116" fillId="40" borderId="0" xfId="0" applyFont="1" applyFill="1" applyAlignment="1"/>
    <xf numFmtId="0" fontId="115" fillId="0" borderId="0" xfId="0" applyFont="1" applyAlignment="1">
      <alignment horizontal="right"/>
    </xf>
    <xf numFmtId="170" fontId="111" fillId="0" borderId="18" xfId="0" applyNumberFormat="1" applyFont="1" applyBorder="1" applyAlignment="1"/>
    <xf numFmtId="10" fontId="115" fillId="0" borderId="0" xfId="123" applyNumberFormat="1" applyFont="1"/>
    <xf numFmtId="0" fontId="114" fillId="0" borderId="34" xfId="0" applyFont="1" applyBorder="1" applyAlignment="1">
      <alignment horizontal="center" vertical="center"/>
    </xf>
    <xf numFmtId="0" fontId="114" fillId="0" borderId="0" xfId="0" applyFont="1" applyBorder="1" applyAlignment="1">
      <alignment horizontal="center" vertical="center"/>
    </xf>
    <xf numFmtId="0" fontId="115" fillId="0" borderId="0" xfId="0" applyFont="1" applyBorder="1" applyAlignment="1">
      <alignment horizontal="center" vertical="center" wrapText="1"/>
    </xf>
    <xf numFmtId="0" fontId="115" fillId="0" borderId="0" xfId="0" applyFont="1" applyBorder="1" applyAlignment="1">
      <alignment horizontal="left" vertical="center"/>
    </xf>
    <xf numFmtId="15" fontId="115" fillId="0" borderId="0" xfId="0" applyNumberFormat="1" applyFont="1" applyBorder="1" applyAlignment="1">
      <alignment vertical="center" wrapText="1"/>
    </xf>
    <xf numFmtId="0" fontId="115" fillId="0" borderId="18" xfId="0" applyFont="1" applyBorder="1" applyAlignment="1">
      <alignment vertical="center" wrapText="1"/>
    </xf>
    <xf numFmtId="0" fontId="115" fillId="0" borderId="18" xfId="0" applyFont="1" applyBorder="1" applyAlignment="1">
      <alignment horizontal="right" vertical="center" wrapText="1"/>
    </xf>
    <xf numFmtId="0" fontId="111" fillId="0" borderId="0" xfId="0" applyFont="1" applyBorder="1" applyAlignment="1">
      <alignment horizontal="right" vertical="center" wrapText="1"/>
    </xf>
    <xf numFmtId="0" fontId="111" fillId="0" borderId="18" xfId="0" applyFont="1" applyBorder="1" applyAlignment="1">
      <alignment horizontal="right" vertical="center" wrapText="1"/>
    </xf>
    <xf numFmtId="0" fontId="115" fillId="0" borderId="0" xfId="0" applyFont="1" applyBorder="1" applyAlignment="1">
      <alignment vertical="center" wrapText="1"/>
    </xf>
    <xf numFmtId="0" fontId="111" fillId="0" borderId="0" xfId="0" applyFont="1" applyBorder="1" applyAlignment="1">
      <alignment horizontal="justify" vertical="center" wrapText="1"/>
    </xf>
    <xf numFmtId="0" fontId="111" fillId="0" borderId="0" xfId="0" applyFont="1" applyBorder="1" applyAlignment="1"/>
    <xf numFmtId="0" fontId="111" fillId="0" borderId="0" xfId="0" applyFont="1" applyAlignment="1"/>
    <xf numFmtId="170" fontId="111" fillId="0" borderId="0" xfId="0" applyNumberFormat="1" applyFont="1" applyAlignment="1"/>
    <xf numFmtId="0" fontId="111" fillId="0" borderId="0" xfId="0" applyFont="1" applyBorder="1" applyAlignment="1">
      <alignment horizontal="center" vertical="center" wrapText="1"/>
    </xf>
    <xf numFmtId="170" fontId="120" fillId="0" borderId="0" xfId="0" applyNumberFormat="1" applyFont="1" applyAlignment="1"/>
    <xf numFmtId="0" fontId="115" fillId="0" borderId="0" xfId="0" applyFont="1" applyFill="1" applyBorder="1" applyAlignment="1">
      <alignment horizontal="center"/>
    </xf>
    <xf numFmtId="0" fontId="114" fillId="0" borderId="0" xfId="0" applyFont="1" applyFill="1" applyBorder="1" applyAlignment="1"/>
    <xf numFmtId="0" fontId="115" fillId="0" borderId="0" xfId="0" applyFont="1" applyFill="1" applyBorder="1" applyAlignment="1"/>
    <xf numFmtId="0" fontId="117" fillId="0" borderId="0" xfId="0" applyFont="1" applyFill="1" applyAlignment="1"/>
    <xf numFmtId="0" fontId="118" fillId="0" borderId="0" xfId="0" applyFont="1" applyFill="1" applyAlignment="1"/>
    <xf numFmtId="43" fontId="111" fillId="0" borderId="18" xfId="0" applyNumberFormat="1" applyFont="1" applyBorder="1" applyAlignment="1">
      <alignment horizontal="right" vertical="center" wrapText="1"/>
    </xf>
    <xf numFmtId="43" fontId="115" fillId="0" borderId="0" xfId="0" applyNumberFormat="1" applyFont="1" applyAlignment="1"/>
    <xf numFmtId="0" fontId="115" fillId="0" borderId="0" xfId="0" applyFont="1" applyBorder="1" applyAlignment="1">
      <alignment horizontal="right" vertical="center" wrapText="1"/>
    </xf>
    <xf numFmtId="0" fontId="114" fillId="0" borderId="0" xfId="0" applyFont="1" applyBorder="1" applyAlignment="1">
      <alignment vertical="center"/>
    </xf>
    <xf numFmtId="170" fontId="115" fillId="0" borderId="0" xfId="122" applyNumberFormat="1" applyFont="1" applyBorder="1" applyAlignment="1">
      <alignment horizontal="right" vertical="center" wrapText="1"/>
    </xf>
    <xf numFmtId="170" fontId="115" fillId="0" borderId="0" xfId="122" applyNumberFormat="1" applyFont="1" applyBorder="1" applyAlignment="1">
      <alignment vertical="center" wrapText="1"/>
    </xf>
    <xf numFmtId="170" fontId="115" fillId="0" borderId="0" xfId="122" applyNumberFormat="1" applyFont="1" applyFill="1" applyBorder="1" applyAlignment="1">
      <alignment horizontal="right" vertical="center" wrapText="1"/>
    </xf>
    <xf numFmtId="170" fontId="115" fillId="40" borderId="0" xfId="122" applyNumberFormat="1" applyFont="1" applyFill="1" applyBorder="1" applyAlignment="1">
      <alignment vertical="center" wrapText="1"/>
    </xf>
    <xf numFmtId="170" fontId="111" fillId="0" borderId="0" xfId="122" applyNumberFormat="1" applyFont="1" applyBorder="1" applyAlignment="1">
      <alignment vertical="center" wrapText="1"/>
    </xf>
    <xf numFmtId="170" fontId="111" fillId="40" borderId="0" xfId="122" applyNumberFormat="1" applyFont="1" applyFill="1" applyBorder="1" applyAlignment="1">
      <alignment vertical="center" wrapText="1"/>
    </xf>
    <xf numFmtId="170" fontId="120" fillId="0" borderId="0" xfId="122" applyNumberFormat="1" applyFont="1" applyFill="1" applyBorder="1" applyAlignment="1">
      <alignment vertical="center" wrapText="1"/>
    </xf>
    <xf numFmtId="170" fontId="111" fillId="0" borderId="0" xfId="122" applyNumberFormat="1" applyFont="1" applyFill="1" applyBorder="1" applyAlignment="1">
      <alignment vertical="center" wrapText="1"/>
    </xf>
    <xf numFmtId="170" fontId="111" fillId="46" borderId="0" xfId="122" applyNumberFormat="1" applyFont="1" applyFill="1" applyBorder="1" applyAlignment="1">
      <alignment vertical="center" wrapText="1"/>
    </xf>
    <xf numFmtId="170" fontId="111" fillId="0" borderId="18" xfId="122" applyNumberFormat="1" applyFont="1" applyBorder="1" applyAlignment="1">
      <alignment vertical="center" wrapText="1"/>
    </xf>
    <xf numFmtId="170" fontId="111" fillId="0" borderId="18" xfId="122" applyNumberFormat="1" applyFont="1" applyFill="1" applyBorder="1" applyAlignment="1">
      <alignment vertical="center" wrapText="1"/>
    </xf>
    <xf numFmtId="170" fontId="111" fillId="0" borderId="0" xfId="122" applyNumberFormat="1" applyFont="1" applyFill="1" applyBorder="1" applyAlignment="1">
      <alignment horizontal="right" vertical="center" wrapText="1"/>
    </xf>
    <xf numFmtId="0" fontId="4" fillId="0" borderId="0" xfId="0" applyFont="1">
      <alignment vertical="top"/>
    </xf>
    <xf numFmtId="170" fontId="4" fillId="0" borderId="0" xfId="0" applyNumberFormat="1" applyFont="1">
      <alignment vertical="top"/>
    </xf>
    <xf numFmtId="171" fontId="111" fillId="0" borderId="0" xfId="0" applyNumberFormat="1" applyFont="1" applyAlignment="1"/>
    <xf numFmtId="43" fontId="111" fillId="0" borderId="0" xfId="29" applyFont="1" applyAlignment="1"/>
    <xf numFmtId="43" fontId="115" fillId="0" borderId="0" xfId="29" applyFont="1" applyAlignment="1"/>
    <xf numFmtId="176" fontId="102" fillId="0" borderId="0" xfId="0" applyNumberFormat="1" applyFont="1" applyFill="1" applyBorder="1" applyAlignment="1"/>
    <xf numFmtId="5" fontId="102" fillId="0" borderId="0" xfId="0" applyNumberFormat="1" applyFont="1" applyFill="1" applyBorder="1" applyAlignment="1"/>
    <xf numFmtId="192" fontId="10" fillId="0" borderId="0" xfId="29" applyNumberFormat="1" applyFont="1" applyFill="1" applyBorder="1" applyAlignment="1"/>
    <xf numFmtId="7" fontId="32" fillId="0" borderId="0" xfId="0" applyNumberFormat="1" applyFont="1" applyFill="1" applyBorder="1" applyAlignment="1"/>
    <xf numFmtId="174" fontId="4" fillId="0" borderId="0" xfId="0" applyNumberFormat="1" applyFont="1" applyFill="1" applyBorder="1" applyAlignment="1"/>
    <xf numFmtId="174" fontId="32" fillId="0" borderId="17" xfId="0" applyNumberFormat="1" applyFont="1" applyFill="1" applyBorder="1" applyAlignment="1"/>
    <xf numFmtId="169" fontId="2" fillId="0" borderId="0" xfId="66" applyNumberFormat="1" applyFont="1" applyAlignment="1">
      <alignment horizontal="left"/>
    </xf>
    <xf numFmtId="42" fontId="4" fillId="42" borderId="19" xfId="0" applyNumberFormat="1" applyFont="1" applyFill="1" applyBorder="1" applyAlignment="1">
      <alignment horizontal="right"/>
    </xf>
    <xf numFmtId="185" fontId="32" fillId="0" borderId="0" xfId="0" applyNumberFormat="1" applyFont="1" applyFill="1" applyAlignment="1"/>
    <xf numFmtId="194" fontId="32" fillId="0" borderId="0" xfId="0" applyNumberFormat="1" applyFont="1" applyFill="1" applyAlignment="1"/>
    <xf numFmtId="193" fontId="32" fillId="0" borderId="0" xfId="29" applyNumberFormat="1" applyFont="1" applyFill="1" applyBorder="1"/>
    <xf numFmtId="0" fontId="121" fillId="0" borderId="0" xfId="0" applyFont="1" applyFill="1" applyAlignment="1"/>
    <xf numFmtId="0" fontId="121" fillId="0" borderId="0" xfId="0" applyFont="1" applyAlignment="1"/>
    <xf numFmtId="0" fontId="122" fillId="0" borderId="0" xfId="0" applyFont="1" applyAlignment="1">
      <alignment horizontal="center"/>
    </xf>
    <xf numFmtId="0" fontId="122" fillId="0" borderId="0" xfId="0" applyFont="1" applyAlignment="1"/>
    <xf numFmtId="0" fontId="121" fillId="0" borderId="0" xfId="0" applyFont="1" applyAlignment="1">
      <alignment horizontal="center"/>
    </xf>
    <xf numFmtId="0" fontId="121" fillId="0" borderId="22" xfId="0" applyFont="1" applyBorder="1" applyAlignment="1">
      <alignment horizontal="center" vertical="center" wrapText="1"/>
    </xf>
    <xf numFmtId="0" fontId="121" fillId="0" borderId="0" xfId="0" applyFont="1" applyBorder="1" applyAlignment="1">
      <alignment horizontal="center" vertical="center" wrapText="1"/>
    </xf>
    <xf numFmtId="170" fontId="123" fillId="47" borderId="0" xfId="29" applyNumberFormat="1" applyFont="1" applyFill="1" applyBorder="1"/>
    <xf numFmtId="0" fontId="124" fillId="0" borderId="0" xfId="0" applyFont="1" applyAlignment="1"/>
    <xf numFmtId="0" fontId="124" fillId="0" borderId="0" xfId="0" applyFont="1" applyAlignment="1">
      <alignment horizontal="center"/>
    </xf>
    <xf numFmtId="170" fontId="124" fillId="0" borderId="0" xfId="29" applyNumberFormat="1" applyFont="1" applyAlignment="1"/>
    <xf numFmtId="14" fontId="124" fillId="0" borderId="0" xfId="0" applyNumberFormat="1" applyFont="1" applyAlignment="1"/>
    <xf numFmtId="170" fontId="124" fillId="0" borderId="0" xfId="0" applyNumberFormat="1" applyFont="1" applyAlignment="1"/>
    <xf numFmtId="0" fontId="63" fillId="0" borderId="36" xfId="0" applyNumberFormat="1" applyFont="1" applyBorder="1" applyAlignment="1">
      <alignment horizontal="center"/>
    </xf>
    <xf numFmtId="0" fontId="63" fillId="0" borderId="18" xfId="0" applyNumberFormat="1" applyFont="1" applyBorder="1" applyAlignment="1">
      <alignment horizontal="center"/>
    </xf>
    <xf numFmtId="0" fontId="63" fillId="0" borderId="24" xfId="0" applyNumberFormat="1" applyFont="1" applyBorder="1" applyAlignment="1">
      <alignment horizontal="center"/>
    </xf>
    <xf numFmtId="3" fontId="63" fillId="0" borderId="0" xfId="0" applyNumberFormat="1" applyFont="1" applyFill="1" applyAlignment="1">
      <alignment horizontal="center"/>
    </xf>
    <xf numFmtId="49" fontId="63" fillId="0" borderId="0" xfId="0" applyNumberFormat="1" applyFont="1" applyFill="1" applyAlignment="1">
      <alignment horizontal="center"/>
    </xf>
    <xf numFmtId="0" fontId="64" fillId="0" borderId="0" xfId="0" applyFont="1" applyAlignment="1">
      <alignment horizontal="center"/>
    </xf>
    <xf numFmtId="0" fontId="63" fillId="0" borderId="0" xfId="0" applyFont="1" applyFill="1" applyAlignment="1">
      <alignment horizontal="center"/>
    </xf>
    <xf numFmtId="0" fontId="66" fillId="0" borderId="0" xfId="0" applyNumberFormat="1" applyFont="1" applyAlignment="1" applyProtection="1">
      <alignment horizontal="center"/>
      <protection locked="0"/>
    </xf>
    <xf numFmtId="0" fontId="10" fillId="0" borderId="0" xfId="0" applyFont="1" applyFill="1" applyBorder="1" applyAlignment="1">
      <alignment horizontal="left"/>
    </xf>
    <xf numFmtId="0" fontId="10" fillId="0" borderId="0" xfId="0" applyFont="1" applyFill="1" applyBorder="1" applyAlignment="1">
      <alignment horizontal="left" vertical="top" wrapText="1"/>
    </xf>
    <xf numFmtId="0" fontId="10" fillId="0" borderId="0" xfId="0" applyFont="1" applyFill="1" applyBorder="1" applyAlignment="1">
      <alignment horizontal="left" wrapText="1"/>
    </xf>
    <xf numFmtId="0" fontId="0" fillId="0" borderId="0" xfId="0" applyFill="1" applyBorder="1" applyAlignment="1">
      <alignment horizontal="left"/>
    </xf>
    <xf numFmtId="0" fontId="82" fillId="0" borderId="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82" fillId="0" borderId="0" xfId="0" applyFont="1" applyFill="1" applyBorder="1" applyAlignment="1">
      <alignment horizontal="left" vertical="top" wrapText="1"/>
    </xf>
    <xf numFmtId="0" fontId="82" fillId="0" borderId="0" xfId="0" applyFont="1" applyFill="1" applyBorder="1" applyAlignment="1">
      <alignment horizontal="left" wrapText="1"/>
    </xf>
    <xf numFmtId="0" fontId="4"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60" fillId="0" borderId="0" xfId="0" applyFont="1" applyFill="1" applyBorder="1" applyAlignment="1">
      <alignment horizontal="left" vertical="top" wrapText="1"/>
    </xf>
    <xf numFmtId="0" fontId="5" fillId="0" borderId="0" xfId="0" applyFont="1" applyAlignment="1">
      <alignment horizontal="left" wrapText="1"/>
    </xf>
    <xf numFmtId="38" fontId="18" fillId="0" borderId="17" xfId="59" applyFont="1" applyBorder="1" applyAlignment="1">
      <alignment horizontal="center"/>
    </xf>
    <xf numFmtId="38" fontId="18" fillId="0" borderId="0" xfId="59" applyFont="1" applyBorder="1" applyAlignment="1">
      <alignment horizontal="center"/>
    </xf>
    <xf numFmtId="0" fontId="16" fillId="0" borderId="17" xfId="0" applyFont="1" applyBorder="1" applyAlignment="1">
      <alignment horizontal="center"/>
    </xf>
    <xf numFmtId="0" fontId="114" fillId="0" borderId="36" xfId="0" applyFont="1" applyBorder="1" applyAlignment="1">
      <alignment horizontal="center" vertical="center"/>
    </xf>
    <xf numFmtId="0" fontId="114" fillId="0" borderId="18" xfId="0" applyFont="1" applyBorder="1" applyAlignment="1">
      <alignment horizontal="center" vertical="center"/>
    </xf>
    <xf numFmtId="0" fontId="114" fillId="0" borderId="24" xfId="0" applyFont="1" applyBorder="1" applyAlignment="1">
      <alignment horizontal="center" vertical="center"/>
    </xf>
    <xf numFmtId="0" fontId="114" fillId="0" borderId="27" xfId="0" applyFont="1" applyBorder="1" applyAlignment="1">
      <alignment horizontal="center" vertical="center"/>
    </xf>
    <xf numFmtId="0" fontId="114" fillId="0" borderId="23" xfId="0" applyFont="1" applyBorder="1" applyAlignment="1">
      <alignment horizontal="center" vertical="center"/>
    </xf>
    <xf numFmtId="0" fontId="114" fillId="0" borderId="28" xfId="0" applyFont="1" applyBorder="1" applyAlignment="1">
      <alignment horizontal="center" vertical="center"/>
    </xf>
    <xf numFmtId="0" fontId="122" fillId="40" borderId="0" xfId="0" applyFont="1" applyFill="1" applyAlignment="1">
      <alignment horizontal="center"/>
    </xf>
    <xf numFmtId="0" fontId="122" fillId="0" borderId="0" xfId="0" applyFont="1" applyAlignment="1">
      <alignment horizontal="center"/>
    </xf>
    <xf numFmtId="0" fontId="122" fillId="0" borderId="17" xfId="0" applyFont="1" applyBorder="1" applyAlignment="1">
      <alignment horizontal="center"/>
    </xf>
  </cellXfs>
  <cellStyles count="173">
    <cellStyle name="20% - Accent1" xfId="1" builtinId="30" customBuiltin="1"/>
    <cellStyle name="20% - Accent1 2" xfId="125"/>
    <cellStyle name="20% - Accent2" xfId="2" builtinId="34" customBuiltin="1"/>
    <cellStyle name="20% - Accent2 2" xfId="126"/>
    <cellStyle name="20% - Accent3" xfId="3" builtinId="38" customBuiltin="1"/>
    <cellStyle name="20% - Accent3 2" xfId="127"/>
    <cellStyle name="20% - Accent4" xfId="4" builtinId="42" customBuiltin="1"/>
    <cellStyle name="20% - Accent4 2" xfId="128"/>
    <cellStyle name="20% - Accent5" xfId="5" builtinId="46" customBuiltin="1"/>
    <cellStyle name="20% - Accent5 2" xfId="129"/>
    <cellStyle name="20% - Accent6" xfId="6" builtinId="50" customBuiltin="1"/>
    <cellStyle name="20% - Accent6 2" xfId="130"/>
    <cellStyle name="40% - Accent1" xfId="7" builtinId="31" customBuiltin="1"/>
    <cellStyle name="40% - Accent1 2" xfId="131"/>
    <cellStyle name="40% - Accent2" xfId="8" builtinId="35" customBuiltin="1"/>
    <cellStyle name="40% - Accent2 2" xfId="132"/>
    <cellStyle name="40% - Accent3" xfId="9" builtinId="39" customBuiltin="1"/>
    <cellStyle name="40% - Accent3 2" xfId="133"/>
    <cellStyle name="40% - Accent4" xfId="10" builtinId="43" customBuiltin="1"/>
    <cellStyle name="40% - Accent4 2" xfId="134"/>
    <cellStyle name="40% - Accent5" xfId="11" builtinId="47" customBuiltin="1"/>
    <cellStyle name="40% - Accent5 2" xfId="135"/>
    <cellStyle name="40% - Accent6" xfId="12" builtinId="51" customBuiltin="1"/>
    <cellStyle name="40% - Accent6 2" xfId="136"/>
    <cellStyle name="60% - Accent1" xfId="13" builtinId="32" customBuiltin="1"/>
    <cellStyle name="60% - Accent1 2" xfId="137"/>
    <cellStyle name="60% - Accent2" xfId="14" builtinId="36" customBuiltin="1"/>
    <cellStyle name="60% - Accent2 2" xfId="138"/>
    <cellStyle name="60% - Accent3" xfId="15" builtinId="40" customBuiltin="1"/>
    <cellStyle name="60% - Accent3 2" xfId="139"/>
    <cellStyle name="60% - Accent4" xfId="16" builtinId="44" customBuiltin="1"/>
    <cellStyle name="60% - Accent4 2" xfId="140"/>
    <cellStyle name="60% - Accent5" xfId="17" builtinId="48" customBuiltin="1"/>
    <cellStyle name="60% - Accent5 2" xfId="141"/>
    <cellStyle name="60% - Accent6" xfId="18" builtinId="52" customBuiltin="1"/>
    <cellStyle name="60% - Accent6 2" xfId="142"/>
    <cellStyle name="Accent1" xfId="19" builtinId="29" customBuiltin="1"/>
    <cellStyle name="Accent1 2" xfId="143"/>
    <cellStyle name="Accent2" xfId="20" builtinId="33" customBuiltin="1"/>
    <cellStyle name="Accent2 2" xfId="144"/>
    <cellStyle name="Accent3" xfId="21" builtinId="37" customBuiltin="1"/>
    <cellStyle name="Accent3 2" xfId="145"/>
    <cellStyle name="Accent4" xfId="22" builtinId="41" customBuiltin="1"/>
    <cellStyle name="Accent4 2" xfId="146"/>
    <cellStyle name="Accent5" xfId="23" builtinId="45" customBuiltin="1"/>
    <cellStyle name="Accent5 2" xfId="147"/>
    <cellStyle name="Accent6" xfId="24" builtinId="49" customBuiltin="1"/>
    <cellStyle name="Accent6 2" xfId="148"/>
    <cellStyle name="Actual Date" xfId="25"/>
    <cellStyle name="Bad" xfId="26" builtinId="27" customBuiltin="1"/>
    <cellStyle name="Bad 2" xfId="149"/>
    <cellStyle name="Calculation" xfId="27" builtinId="22" customBuiltin="1"/>
    <cellStyle name="Calculation 2" xfId="150"/>
    <cellStyle name="Check Cell" xfId="28" builtinId="23" customBuiltin="1"/>
    <cellStyle name="Check Cell 2" xfId="151"/>
    <cellStyle name="Comma" xfId="29" builtinId="3"/>
    <cellStyle name="Comma 2" xfId="30"/>
    <cellStyle name="Comma 2 2" xfId="82"/>
    <cellStyle name="Comma 2 3" xfId="152"/>
    <cellStyle name="Comma 3" xfId="83"/>
    <cellStyle name="Comma 4" xfId="122"/>
    <cellStyle name="Currency" xfId="31" builtinId="4"/>
    <cellStyle name="Currency 2" xfId="32"/>
    <cellStyle name="Currency 2 2" xfId="84"/>
    <cellStyle name="Currency 2 3" xfId="153"/>
    <cellStyle name="Currency 3" xfId="85"/>
    <cellStyle name="Date" xfId="33"/>
    <cellStyle name="Explanatory Text" xfId="34" builtinId="53" customBuiltin="1"/>
    <cellStyle name="Explanatory Text 2" xfId="154"/>
    <cellStyle name="Fixed" xfId="35"/>
    <cellStyle name="Good" xfId="36" builtinId="26" customBuiltin="1"/>
    <cellStyle name="Good 2" xfId="155"/>
    <cellStyle name="Grey" xfId="37"/>
    <cellStyle name="HEADER" xfId="38"/>
    <cellStyle name="Heading 1" xfId="39" builtinId="16" customBuiltin="1"/>
    <cellStyle name="Heading 1 2" xfId="156"/>
    <cellStyle name="Heading 2" xfId="40" builtinId="17" customBuiltin="1"/>
    <cellStyle name="Heading 2 2" xfId="157"/>
    <cellStyle name="Heading 3" xfId="41" builtinId="18" customBuiltin="1"/>
    <cellStyle name="Heading 3 2" xfId="158"/>
    <cellStyle name="Heading 4" xfId="42" builtinId="19" customBuiltin="1"/>
    <cellStyle name="Heading 4 2" xfId="159"/>
    <cellStyle name="Heading1" xfId="43"/>
    <cellStyle name="Heading2" xfId="44"/>
    <cellStyle name="HIGHLIGHT" xfId="45"/>
    <cellStyle name="Input" xfId="46" builtinId="20" customBuiltin="1"/>
    <cellStyle name="Input [yellow]" xfId="47"/>
    <cellStyle name="Input 2" xfId="160"/>
    <cellStyle name="Linked Cell" xfId="48" builtinId="24" customBuiltin="1"/>
    <cellStyle name="Linked Cell 2" xfId="161"/>
    <cellStyle name="Neutral" xfId="49" builtinId="28" customBuiltin="1"/>
    <cellStyle name="Neutral 2" xfId="162"/>
    <cellStyle name="no dec" xfId="50"/>
    <cellStyle name="Normal" xfId="0" builtinId="0"/>
    <cellStyle name="Normal - Style1" xfId="51"/>
    <cellStyle name="Normal 10" xfId="86"/>
    <cellStyle name="Normal 11" xfId="87"/>
    <cellStyle name="Normal 12" xfId="88"/>
    <cellStyle name="Normal 13" xfId="89"/>
    <cellStyle name="Normal 14" xfId="90"/>
    <cellStyle name="Normal 15" xfId="91"/>
    <cellStyle name="Normal 16" xfId="92"/>
    <cellStyle name="Normal 17" xfId="81"/>
    <cellStyle name="Normal 18" xfId="121"/>
    <cellStyle name="Normal 19" xfId="166"/>
    <cellStyle name="Normal 2" xfId="52"/>
    <cellStyle name="Normal 2 2" xfId="93"/>
    <cellStyle name="Normal 2 3" xfId="163"/>
    <cellStyle name="Normal 20" xfId="172"/>
    <cellStyle name="Normal 3" xfId="94"/>
    <cellStyle name="Normal 3 2" xfId="95"/>
    <cellStyle name="Normal 4" xfId="96"/>
    <cellStyle name="Normal 5" xfId="97"/>
    <cellStyle name="Normal 6" xfId="98"/>
    <cellStyle name="Normal 7" xfId="99"/>
    <cellStyle name="Normal 8" xfId="100"/>
    <cellStyle name="Normal 9" xfId="101"/>
    <cellStyle name="Normal_0112 No Link Exp" xfId="53"/>
    <cellStyle name="Normal_0212 A Statements" xfId="54"/>
    <cellStyle name="Normal_ATE-4  Attachment  O Populated (3)" xfId="55"/>
    <cellStyle name="Normal_Attachment GG (2)" xfId="56"/>
    <cellStyle name="Normal_Book2" xfId="57"/>
    <cellStyle name="Normal_Book2_12-31-2004 SPS BK Revised Revenue Credit" xfId="58"/>
    <cellStyle name="Normal_Book4_1" xfId="59"/>
    <cellStyle name="Normal_Budgeted A Statements" xfId="60"/>
    <cellStyle name="Normal_Schedule O Info for Mike" xfId="61"/>
    <cellStyle name="Normal_Sheet1" xfId="62"/>
    <cellStyle name="Normal_Sheet3" xfId="63"/>
    <cellStyle name="Note" xfId="64" builtinId="10" customBuiltin="1"/>
    <cellStyle name="Note 2" xfId="164"/>
    <cellStyle name="Output" xfId="65" builtinId="21" customBuiltin="1"/>
    <cellStyle name="Output 2" xfId="165"/>
    <cellStyle name="Percent" xfId="66" builtinId="5"/>
    <cellStyle name="Percent [2]" xfId="67"/>
    <cellStyle name="Percent 10" xfId="102"/>
    <cellStyle name="Percent 11" xfId="103"/>
    <cellStyle name="Percent 12" xfId="104"/>
    <cellStyle name="Percent 13" xfId="105"/>
    <cellStyle name="Percent 14" xfId="106"/>
    <cellStyle name="Percent 15" xfId="107"/>
    <cellStyle name="Percent 16" xfId="108"/>
    <cellStyle name="Percent 17" xfId="123"/>
    <cellStyle name="Percent 18" xfId="124"/>
    <cellStyle name="Percent 19" xfId="171"/>
    <cellStyle name="Percent 2" xfId="68"/>
    <cellStyle name="Percent 2 2" xfId="109"/>
    <cellStyle name="Percent 2 3" xfId="167"/>
    <cellStyle name="Percent 25 2" xfId="120"/>
    <cellStyle name="Percent 3" xfId="110"/>
    <cellStyle name="Percent 4" xfId="111"/>
    <cellStyle name="Percent 5" xfId="112"/>
    <cellStyle name="Percent 6" xfId="113"/>
    <cellStyle name="Percent 7" xfId="114"/>
    <cellStyle name="Percent 8" xfId="115"/>
    <cellStyle name="Percent 9" xfId="116"/>
    <cellStyle name="PSChar" xfId="69"/>
    <cellStyle name="PSDate" xfId="70"/>
    <cellStyle name="PSHeading" xfId="71"/>
    <cellStyle name="RangeBelow" xfId="72"/>
    <cellStyle name="SubRoutine" xfId="73"/>
    <cellStyle name="þ(Î'_x000c_ïþ÷_x000c_âþÖ_x0006__x0002_Þ”_x0013__x0007__x0001__x0001_" xfId="74"/>
    <cellStyle name="Title" xfId="75" builtinId="15" customBuiltin="1"/>
    <cellStyle name="Title 2" xfId="168"/>
    <cellStyle name="Total" xfId="76" builtinId="25" customBuiltin="1"/>
    <cellStyle name="Total 2" xfId="169"/>
    <cellStyle name="Unprot" xfId="77"/>
    <cellStyle name="Unprot$" xfId="78"/>
    <cellStyle name="Unprot$ 2" xfId="118"/>
    <cellStyle name="Unprot$ 3" xfId="119"/>
    <cellStyle name="Unprot$ 4" xfId="117"/>
    <cellStyle name="Unprotect" xfId="79"/>
    <cellStyle name="Warning Text" xfId="80" builtinId="11" customBuiltin="1"/>
    <cellStyle name="Warning Text 2" xfId="170"/>
  </cellStyles>
  <dxfs count="2">
    <dxf>
      <font>
        <condense val="0"/>
        <extend val="0"/>
        <color indexed="10"/>
      </font>
    </dxf>
    <dxf>
      <font>
        <condense val="0"/>
        <extend val="0"/>
        <color indexed="10"/>
      </font>
    </dxf>
  </dxfs>
  <tableStyles count="0" defaultTableStyle="TableStyleMedium2" defaultPivotStyle="PivotStyleLight16"/>
  <colors>
    <mruColors>
      <color rgb="FF00FFCC"/>
      <color rgb="FFFFFFCC"/>
      <color rgb="FFFFFF99"/>
      <color rgb="FF33CC33"/>
      <color rgb="FFFFC5FF"/>
      <color rgb="FFCC00FF"/>
      <color rgb="FFCDF5FF"/>
      <color rgb="FFE4E4E4"/>
      <color rgb="FFFFEEDD"/>
      <color rgb="FFF2E5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team\INCTAX\93RTN\FEDERAL\NSP(MN)\93GLD2A.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Reconcil"/>
      <sheetName val="SCH C"/>
      <sheetName val="01-04"/>
      <sheetName val="UB ACC"/>
      <sheetName val="UB 481(a)"/>
      <sheetName val="01-06"/>
      <sheetName val="01-11"/>
      <sheetName val="04-01"/>
      <sheetName val="05-01"/>
      <sheetName val="06-01"/>
      <sheetName val="09-01"/>
      <sheetName val="09-02"/>
      <sheetName val="09-05"/>
      <sheetName val="09-06"/>
      <sheetName val="09-07"/>
      <sheetName val="09-09"/>
      <sheetName val="10-02"/>
      <sheetName val="10-03"/>
      <sheetName val="10-04"/>
      <sheetName val="13-02"/>
      <sheetName val="MGR SEV"/>
      <sheetName val="NONMGR SEV"/>
      <sheetName val="13-03"/>
      <sheetName val="ST OPT RECAP"/>
      <sheetName val="13-04"/>
      <sheetName val="13-07"/>
      <sheetName val="VAC ACC"/>
      <sheetName val="13-08"/>
      <sheetName val="17-05"/>
      <sheetName val="FUEL CR"/>
      <sheetName val="18-02"/>
      <sheetName val="18-06"/>
      <sheetName val="18-07"/>
      <sheetName val="19-01"/>
      <sheetName val="CHAR CONT-BLMT"/>
      <sheetName val="19-02"/>
      <sheetName val="20-01"/>
      <sheetName val="20-03"/>
      <sheetName val="RAR - 87_88"/>
      <sheetName val="20-07"/>
      <sheetName val="25-03"/>
      <sheetName val="FAS106"/>
      <sheetName val="25-07"/>
      <sheetName val="26-02"/>
      <sheetName val="LCM"/>
      <sheetName val="26-04"/>
      <sheetName val="26-05"/>
      <sheetName val="LOBBY GROSS-UP"/>
      <sheetName val="26-06"/>
      <sheetName val="26-08"/>
      <sheetName val="26-11"/>
      <sheetName val="26-13"/>
      <sheetName val="LIC AMORT"/>
      <sheetName val="26-14 | 05-04"/>
      <sheetName val="PRIVATE FUEL "/>
      <sheetName val="26-17"/>
      <sheetName val="START-UP AMORT"/>
      <sheetName val="SEREN"/>
      <sheetName val="26-20"/>
      <sheetName val="26-22"/>
      <sheetName val="26-26"/>
      <sheetName val="CIP notes"/>
      <sheetName val="26-31 | 05-06 | 18-11"/>
      <sheetName val="ELEC CIP"/>
      <sheetName val="CIP REC"/>
      <sheetName val="CIP INC STMT"/>
      <sheetName val="CIP BAL SHT"/>
      <sheetName val="26-32 | 05-07 | 18-12"/>
      <sheetName val="GAS CIP"/>
      <sheetName val="26-33"/>
      <sheetName val="26-37"/>
      <sheetName val="26-38"/>
      <sheetName val="26-39"/>
      <sheetName val="TEMP"/>
      <sheetName val="Module1"/>
      <sheetName val="YE DEFN"/>
      <sheetName val="REPORT"/>
      <sheetName val="WORKPAPER1"/>
      <sheetName val="Macro2"/>
      <sheetName val="AR-F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J34"/>
  <sheetViews>
    <sheetView showGridLines="0" tabSelected="1" workbookViewId="0"/>
  </sheetViews>
  <sheetFormatPr defaultRowHeight="15.75"/>
  <cols>
    <col min="1" max="1" width="6.77734375" style="1174" customWidth="1"/>
    <col min="2" max="2" width="10.77734375" style="1174" bestFit="1" customWidth="1"/>
    <col min="3" max="3" width="2.77734375" style="1174" customWidth="1"/>
    <col min="4" max="4" width="65.77734375" style="1174" customWidth="1"/>
    <col min="5" max="5" width="14.6640625" style="1174" bestFit="1" customWidth="1"/>
    <col min="6" max="7" width="13.5546875" style="1174" bestFit="1" customWidth="1"/>
    <col min="8" max="8" width="8.88671875" style="1174"/>
    <col min="9" max="9" width="14.109375" style="1174" bestFit="1" customWidth="1"/>
    <col min="10" max="16384" width="8.88671875" style="1174"/>
  </cols>
  <sheetData>
    <row r="1" spans="1:10">
      <c r="E1" s="1175" t="s">
        <v>1195</v>
      </c>
      <c r="F1" s="1175" t="s">
        <v>1196</v>
      </c>
      <c r="G1" s="1175" t="s">
        <v>1197</v>
      </c>
    </row>
    <row r="2" spans="1:10">
      <c r="E2" s="1176"/>
      <c r="F2" s="1176"/>
      <c r="G2" s="1176"/>
      <c r="H2" s="1176"/>
      <c r="I2" s="1176"/>
      <c r="J2" s="1176"/>
    </row>
    <row r="3" spans="1:10">
      <c r="A3" s="1174" t="s">
        <v>1201</v>
      </c>
      <c r="B3" s="1177">
        <v>42978</v>
      </c>
      <c r="D3" s="1174" t="s">
        <v>1202</v>
      </c>
      <c r="E3" s="1176">
        <v>376145490.90615004</v>
      </c>
      <c r="F3" s="1176">
        <v>74073236.631326139</v>
      </c>
      <c r="G3" s="1176">
        <v>70929630.440207988</v>
      </c>
      <c r="H3" s="1176"/>
      <c r="I3" s="1176"/>
      <c r="J3" s="1176"/>
    </row>
    <row r="5" spans="1:10">
      <c r="A5" s="1174" t="s">
        <v>1212</v>
      </c>
      <c r="B5" s="1177">
        <v>43053</v>
      </c>
      <c r="D5" s="1174" t="s">
        <v>1203</v>
      </c>
      <c r="E5" s="1176">
        <v>370586939.39287788</v>
      </c>
      <c r="F5" s="1176">
        <v>73024204.492675513</v>
      </c>
      <c r="G5" s="1176">
        <v>70238658.415941745</v>
      </c>
    </row>
    <row r="6" spans="1:10">
      <c r="D6" s="1174" t="s">
        <v>1204</v>
      </c>
    </row>
    <row r="7" spans="1:10">
      <c r="D7" s="1174" t="s">
        <v>1205</v>
      </c>
    </row>
    <row r="8" spans="1:10">
      <c r="D8" s="1174" t="s">
        <v>1213</v>
      </c>
      <c r="E8" s="1178"/>
      <c r="F8" s="1178"/>
      <c r="G8" s="1178"/>
    </row>
    <row r="9" spans="1:10">
      <c r="D9" s="1174" t="s">
        <v>1214</v>
      </c>
    </row>
    <row r="10" spans="1:10">
      <c r="D10" s="1174" t="s">
        <v>1215</v>
      </c>
    </row>
    <row r="11" spans="1:10">
      <c r="D11" s="1174" t="s">
        <v>1216</v>
      </c>
    </row>
    <row r="12" spans="1:10">
      <c r="D12" s="1174" t="s">
        <v>1217</v>
      </c>
    </row>
    <row r="13" spans="1:10">
      <c r="D13" s="1174" t="s">
        <v>1218</v>
      </c>
    </row>
    <row r="14" spans="1:10">
      <c r="D14" s="1174" t="s">
        <v>1219</v>
      </c>
    </row>
    <row r="15" spans="1:10">
      <c r="D15" s="1174" t="s">
        <v>1220</v>
      </c>
    </row>
    <row r="16" spans="1:10">
      <c r="D16" s="1174" t="s">
        <v>1221</v>
      </c>
    </row>
    <row r="17" spans="1:7">
      <c r="D17" s="1174" t="s">
        <v>1222</v>
      </c>
    </row>
    <row r="18" spans="1:7">
      <c r="D18" s="1174" t="s">
        <v>1223</v>
      </c>
    </row>
    <row r="20" spans="1:7">
      <c r="D20" s="1174" t="s">
        <v>1224</v>
      </c>
    </row>
    <row r="21" spans="1:7">
      <c r="D21" s="1174" t="s">
        <v>1226</v>
      </c>
    </row>
    <row r="22" spans="1:7">
      <c r="D22" s="1174" t="s">
        <v>1225</v>
      </c>
    </row>
    <row r="24" spans="1:7">
      <c r="A24" s="1174" t="s">
        <v>1227</v>
      </c>
      <c r="B24" s="1177">
        <v>43082</v>
      </c>
      <c r="D24" s="1174" t="s">
        <v>1204</v>
      </c>
      <c r="E24" s="1176">
        <f>'Attachment O'!I26</f>
        <v>370586939.39287788</v>
      </c>
      <c r="F24" s="1176">
        <f>'Attachment GG'!N95</f>
        <v>73025162.952671289</v>
      </c>
      <c r="G24" s="1176">
        <f>'Attachment MM'!R91</f>
        <v>70238658.415941745</v>
      </c>
    </row>
    <row r="25" spans="1:7">
      <c r="D25" s="1174" t="s">
        <v>1228</v>
      </c>
    </row>
    <row r="26" spans="1:7">
      <c r="D26" s="1174" t="s">
        <v>1215</v>
      </c>
      <c r="E26" s="1178"/>
      <c r="F26" s="1178"/>
      <c r="G26" s="1178"/>
    </row>
    <row r="27" spans="1:7">
      <c r="D27" s="1174" t="s">
        <v>1216</v>
      </c>
      <c r="E27" s="1178"/>
      <c r="F27" s="1178"/>
      <c r="G27" s="1178"/>
    </row>
    <row r="28" spans="1:7">
      <c r="D28" s="1174" t="s">
        <v>1217</v>
      </c>
    </row>
    <row r="29" spans="1:7">
      <c r="D29" s="1174" t="s">
        <v>1277</v>
      </c>
    </row>
    <row r="30" spans="1:7">
      <c r="D30" s="1174" t="s">
        <v>1278</v>
      </c>
    </row>
    <row r="32" spans="1:7">
      <c r="D32" s="1174" t="s">
        <v>1279</v>
      </c>
    </row>
    <row r="33" spans="4:4">
      <c r="D33" s="1174" t="s">
        <v>1280</v>
      </c>
    </row>
    <row r="34" spans="4:4">
      <c r="D34" s="1174" t="s">
        <v>1281</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00FFCC"/>
    <pageSetUpPr fitToPage="1"/>
  </sheetPr>
  <dimension ref="B1:C18"/>
  <sheetViews>
    <sheetView showGridLines="0" zoomScaleNormal="100" workbookViewId="0">
      <selection activeCell="J38" sqref="J38"/>
    </sheetView>
  </sheetViews>
  <sheetFormatPr defaultRowHeight="15"/>
  <cols>
    <col min="1" max="1" width="13.5546875" customWidth="1"/>
    <col min="2" max="2" width="54.5546875" bestFit="1" customWidth="1"/>
  </cols>
  <sheetData>
    <row r="1" spans="2:3" ht="15.75">
      <c r="C1" s="167" t="s">
        <v>1108</v>
      </c>
    </row>
    <row r="14" spans="2:3" ht="23.25">
      <c r="B14" s="165" t="s">
        <v>92</v>
      </c>
    </row>
    <row r="15" spans="2:3" ht="23.25">
      <c r="B15" s="345" t="s">
        <v>93</v>
      </c>
    </row>
    <row r="16" spans="2:3" ht="18">
      <c r="B16" s="369" t="s">
        <v>1120</v>
      </c>
    </row>
    <row r="17" spans="2:2">
      <c r="B17" s="389"/>
    </row>
    <row r="18" spans="2:2">
      <c r="B18" s="166"/>
    </row>
  </sheetData>
  <phoneticPr fontId="13" type="noConversion"/>
  <pageMargins left="0.5" right="0.25" top="0.5" bottom="0.25" header="0.75" footer="0.5"/>
  <pageSetup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00FFCC"/>
    <pageSetUpPr autoPageBreaks="0" fitToPage="1"/>
  </sheetPr>
  <dimension ref="A1:Q91"/>
  <sheetViews>
    <sheetView showGridLines="0" topLeftCell="A22" zoomScaleNormal="100" workbookViewId="0">
      <selection activeCell="O60" sqref="O60"/>
    </sheetView>
  </sheetViews>
  <sheetFormatPr defaultColWidth="14.44140625" defaultRowHeight="12"/>
  <cols>
    <col min="1" max="1" width="4.77734375" style="51" customWidth="1"/>
    <col min="2" max="2" width="2.77734375" style="49" customWidth="1"/>
    <col min="3" max="3" width="24.21875" style="49" customWidth="1"/>
    <col min="4" max="4" width="14.44140625" style="49" customWidth="1"/>
    <col min="5" max="5" width="0.88671875" style="49" customWidth="1"/>
    <col min="6" max="6" width="15.6640625" style="49" bestFit="1" customWidth="1"/>
    <col min="7" max="7" width="0.88671875" style="49" customWidth="1"/>
    <col min="8" max="8" width="16" style="49" bestFit="1" customWidth="1"/>
    <col min="9" max="9" width="0.88671875" style="49" customWidth="1"/>
    <col min="10" max="10" width="14.77734375" style="49" bestFit="1" customWidth="1"/>
    <col min="11" max="11" width="0.88671875" style="49" customWidth="1"/>
    <col min="12" max="12" width="14.44140625" style="49" customWidth="1"/>
    <col min="13" max="13" width="0.77734375" style="49" customWidth="1"/>
    <col min="14" max="14" width="16.77734375" style="49" bestFit="1" customWidth="1"/>
    <col min="15" max="16384" width="14.44140625" style="49"/>
  </cols>
  <sheetData>
    <row r="1" spans="1:14">
      <c r="A1" s="6" t="s">
        <v>855</v>
      </c>
      <c r="B1" s="47"/>
      <c r="C1" s="47"/>
      <c r="D1" s="47"/>
      <c r="E1" s="47"/>
      <c r="F1" s="47"/>
      <c r="G1" s="47"/>
      <c r="H1" s="47"/>
      <c r="I1" s="47"/>
      <c r="J1" s="47"/>
      <c r="K1" s="47"/>
      <c r="L1" s="47"/>
      <c r="M1" s="47"/>
      <c r="N1" s="48" t="str">
        <f>Cover!C1</f>
        <v>2018 Workpapers</v>
      </c>
    </row>
    <row r="2" spans="1:14">
      <c r="A2" s="6" t="s">
        <v>28</v>
      </c>
      <c r="B2" s="47"/>
      <c r="C2" s="47"/>
      <c r="D2" s="47"/>
      <c r="E2" s="47"/>
      <c r="F2" s="47"/>
      <c r="G2" s="47"/>
      <c r="H2" s="47"/>
      <c r="I2" s="47"/>
      <c r="J2" s="47"/>
      <c r="K2" s="47"/>
      <c r="L2" s="47"/>
      <c r="M2" s="47"/>
      <c r="N2" s="50"/>
    </row>
    <row r="3" spans="1:14">
      <c r="A3" s="6" t="s">
        <v>1109</v>
      </c>
      <c r="B3" s="47"/>
      <c r="C3" s="47"/>
      <c r="D3" s="47"/>
      <c r="E3" s="47"/>
      <c r="F3" s="47"/>
      <c r="G3" s="47"/>
      <c r="H3" s="900"/>
      <c r="I3" s="47"/>
      <c r="J3" s="47"/>
      <c r="K3" s="47"/>
      <c r="L3" s="47"/>
      <c r="M3" s="47"/>
    </row>
    <row r="4" spans="1:14">
      <c r="A4" s="418"/>
      <c r="H4" s="1013"/>
    </row>
    <row r="5" spans="1:14">
      <c r="B5" s="52"/>
      <c r="D5" s="182"/>
    </row>
    <row r="6" spans="1:14">
      <c r="B6" s="52"/>
    </row>
    <row r="7" spans="1:14">
      <c r="A7" s="19"/>
      <c r="B7" s="19"/>
      <c r="C7" s="19"/>
      <c r="E7" s="53"/>
      <c r="I7" s="54"/>
      <c r="K7" s="54"/>
      <c r="L7" s="54"/>
      <c r="M7" s="54"/>
    </row>
    <row r="8" spans="1:14">
      <c r="D8" s="55"/>
      <c r="E8" s="53"/>
      <c r="I8" s="54"/>
      <c r="K8" s="54"/>
      <c r="L8" s="54"/>
      <c r="M8" s="54"/>
      <c r="N8" s="55" t="s">
        <v>30</v>
      </c>
    </row>
    <row r="9" spans="1:14">
      <c r="A9" s="51" t="s">
        <v>46</v>
      </c>
      <c r="D9" s="54"/>
      <c r="E9" s="53"/>
      <c r="H9" s="56"/>
      <c r="J9" s="57" t="s">
        <v>88</v>
      </c>
      <c r="L9" s="57" t="s">
        <v>23</v>
      </c>
      <c r="N9" s="55" t="s">
        <v>31</v>
      </c>
    </row>
    <row r="10" spans="1:14">
      <c r="A10" s="58" t="s">
        <v>22</v>
      </c>
      <c r="D10" s="54" t="s">
        <v>4</v>
      </c>
      <c r="F10" s="54" t="s">
        <v>24</v>
      </c>
      <c r="H10" s="54" t="s">
        <v>25</v>
      </c>
      <c r="J10" s="54" t="s">
        <v>57</v>
      </c>
      <c r="L10" s="59" t="s">
        <v>857</v>
      </c>
      <c r="M10" s="55"/>
      <c r="N10" s="59" t="s">
        <v>32</v>
      </c>
    </row>
    <row r="11" spans="1:14">
      <c r="A11" s="60" t="s">
        <v>27</v>
      </c>
      <c r="B11" s="61" t="s">
        <v>856</v>
      </c>
      <c r="C11" s="62"/>
      <c r="D11" s="63"/>
      <c r="F11" s="63"/>
      <c r="H11" s="63"/>
      <c r="J11" s="63"/>
      <c r="N11" s="63"/>
    </row>
    <row r="12" spans="1:14">
      <c r="A12" s="64">
        <f>+A11+1</f>
        <v>2</v>
      </c>
      <c r="C12" s="65" t="s">
        <v>997</v>
      </c>
      <c r="D12" s="66">
        <f t="shared" ref="D12:D24" si="0">+D34+D56</f>
        <v>9265621646.760004</v>
      </c>
      <c r="E12" s="67"/>
      <c r="F12" s="66">
        <f t="shared" ref="F12:F24" si="1">+F34+F56</f>
        <v>4638620056.9880104</v>
      </c>
      <c r="G12" s="66">
        <f>+G34+G56</f>
        <v>0</v>
      </c>
      <c r="H12" s="66">
        <f t="shared" ref="H12:H24" si="2">+H34+H56</f>
        <v>4895109650.1599998</v>
      </c>
      <c r="I12" s="66">
        <f>+I34+I56</f>
        <v>0</v>
      </c>
      <c r="J12" s="66">
        <f t="shared" ref="J12:J24" si="3">+J34+J56</f>
        <v>1071623449.9570454</v>
      </c>
      <c r="K12" s="66">
        <f t="shared" ref="K12:L15" si="4">+K34+K56</f>
        <v>0</v>
      </c>
      <c r="L12" s="69">
        <f t="shared" si="4"/>
        <v>935061249.3645215</v>
      </c>
      <c r="M12" s="68"/>
      <c r="N12" s="66">
        <f>SUM(D12:L12)</f>
        <v>20806036053.22958</v>
      </c>
    </row>
    <row r="13" spans="1:14">
      <c r="A13" s="64">
        <f t="shared" ref="A13:A70" si="5">+A12+1</f>
        <v>3</v>
      </c>
      <c r="C13" s="65" t="s">
        <v>1110</v>
      </c>
      <c r="D13" s="69">
        <f t="shared" si="0"/>
        <v>9277441346.7499962</v>
      </c>
      <c r="E13" s="67"/>
      <c r="F13" s="69">
        <f t="shared" si="1"/>
        <v>4644893528.9679947</v>
      </c>
      <c r="G13" s="69">
        <f>+G35+G57</f>
        <v>0</v>
      </c>
      <c r="H13" s="69">
        <f t="shared" si="2"/>
        <v>4910193721.8799953</v>
      </c>
      <c r="I13" s="69">
        <f>+I35+I57</f>
        <v>0</v>
      </c>
      <c r="J13" s="69">
        <f t="shared" si="3"/>
        <v>1095033640.6867766</v>
      </c>
      <c r="K13" s="69">
        <f t="shared" si="4"/>
        <v>0</v>
      </c>
      <c r="L13" s="69">
        <f t="shared" si="4"/>
        <v>950756543.46170545</v>
      </c>
      <c r="M13" s="70"/>
      <c r="N13" s="71">
        <f>SUM(D13:L13)</f>
        <v>20878318781.746464</v>
      </c>
    </row>
    <row r="14" spans="1:14">
      <c r="A14" s="64">
        <f t="shared" si="5"/>
        <v>4</v>
      </c>
      <c r="C14" s="65" t="s">
        <v>47</v>
      </c>
      <c r="D14" s="69">
        <f t="shared" si="0"/>
        <v>9278783160.2599983</v>
      </c>
      <c r="E14" s="67"/>
      <c r="F14" s="69">
        <f t="shared" si="1"/>
        <v>4662281898.508007</v>
      </c>
      <c r="G14" s="69">
        <f>+G36+G58</f>
        <v>0</v>
      </c>
      <c r="H14" s="69">
        <f t="shared" si="2"/>
        <v>4922985314.499999</v>
      </c>
      <c r="I14" s="69">
        <f>+I36+I58</f>
        <v>0</v>
      </c>
      <c r="J14" s="69">
        <f t="shared" si="3"/>
        <v>1100496534.0364761</v>
      </c>
      <c r="K14" s="69">
        <f t="shared" si="4"/>
        <v>0</v>
      </c>
      <c r="L14" s="69">
        <f t="shared" si="4"/>
        <v>952571160.17026699</v>
      </c>
      <c r="M14" s="70"/>
      <c r="N14" s="71">
        <f t="shared" ref="N14:N24" si="6">SUM(D14:L14)</f>
        <v>20917118067.474747</v>
      </c>
    </row>
    <row r="15" spans="1:14">
      <c r="A15" s="64">
        <f t="shared" si="5"/>
        <v>5</v>
      </c>
      <c r="C15" s="65" t="s">
        <v>48</v>
      </c>
      <c r="D15" s="69">
        <f t="shared" si="0"/>
        <v>9300306389.960001</v>
      </c>
      <c r="E15" s="67"/>
      <c r="F15" s="69">
        <f t="shared" si="1"/>
        <v>4672670735.7779856</v>
      </c>
      <c r="G15" s="69">
        <f>+G37+G59</f>
        <v>0</v>
      </c>
      <c r="H15" s="69">
        <f t="shared" si="2"/>
        <v>4935059668.8200006</v>
      </c>
      <c r="I15" s="69">
        <f>+I37+I59</f>
        <v>0</v>
      </c>
      <c r="J15" s="69">
        <f t="shared" si="3"/>
        <v>1104254051.1258509</v>
      </c>
      <c r="K15" s="69">
        <f t="shared" si="4"/>
        <v>0</v>
      </c>
      <c r="L15" s="69">
        <f t="shared" si="4"/>
        <v>961760198.16441679</v>
      </c>
      <c r="M15" s="70"/>
      <c r="N15" s="71">
        <f t="shared" si="6"/>
        <v>20974051043.848255</v>
      </c>
    </row>
    <row r="16" spans="1:14">
      <c r="A16" s="64">
        <f t="shared" si="5"/>
        <v>6</v>
      </c>
      <c r="C16" s="65" t="s">
        <v>49</v>
      </c>
      <c r="D16" s="69">
        <f t="shared" si="0"/>
        <v>9351815425.1900005</v>
      </c>
      <c r="E16" s="67"/>
      <c r="F16" s="69">
        <f t="shared" si="1"/>
        <v>4676962033.4479952</v>
      </c>
      <c r="G16" s="69">
        <f t="shared" ref="G16:L16" si="7">+G38+G60</f>
        <v>0</v>
      </c>
      <c r="H16" s="69">
        <f t="shared" si="2"/>
        <v>4947283318.7999964</v>
      </c>
      <c r="I16" s="69">
        <f t="shared" si="7"/>
        <v>0</v>
      </c>
      <c r="J16" s="69">
        <f t="shared" si="3"/>
        <v>1108124119.1453292</v>
      </c>
      <c r="K16" s="69">
        <f t="shared" si="7"/>
        <v>0</v>
      </c>
      <c r="L16" s="69">
        <f t="shared" si="7"/>
        <v>965762679.20511627</v>
      </c>
      <c r="M16" s="70"/>
      <c r="N16" s="71">
        <f t="shared" si="6"/>
        <v>21049947575.788437</v>
      </c>
    </row>
    <row r="17" spans="1:17">
      <c r="A17" s="64">
        <f t="shared" si="5"/>
        <v>7</v>
      </c>
      <c r="C17" s="65" t="s">
        <v>21</v>
      </c>
      <c r="D17" s="69">
        <f t="shared" si="0"/>
        <v>9466536928.4099979</v>
      </c>
      <c r="E17" s="67"/>
      <c r="F17" s="69">
        <f t="shared" si="1"/>
        <v>4679712750.4579983</v>
      </c>
      <c r="G17" s="69">
        <f t="shared" ref="G17:L17" si="8">+G39+G61</f>
        <v>0</v>
      </c>
      <c r="H17" s="69">
        <f t="shared" si="2"/>
        <v>4963063105.5</v>
      </c>
      <c r="I17" s="69">
        <f t="shared" si="8"/>
        <v>0</v>
      </c>
      <c r="J17" s="69">
        <f t="shared" si="3"/>
        <v>1110997552.5648119</v>
      </c>
      <c r="K17" s="69">
        <f t="shared" si="8"/>
        <v>0</v>
      </c>
      <c r="L17" s="69">
        <f t="shared" si="8"/>
        <v>968986427.01704895</v>
      </c>
      <c r="M17" s="70"/>
      <c r="N17" s="71">
        <f t="shared" si="6"/>
        <v>21189296763.949856</v>
      </c>
    </row>
    <row r="18" spans="1:17">
      <c r="A18" s="64">
        <f t="shared" si="5"/>
        <v>8</v>
      </c>
      <c r="C18" s="65" t="s">
        <v>50</v>
      </c>
      <c r="D18" s="69">
        <f t="shared" si="0"/>
        <v>9476310588.4399986</v>
      </c>
      <c r="E18" s="67"/>
      <c r="F18" s="69">
        <f t="shared" si="1"/>
        <v>4701665509.097991</v>
      </c>
      <c r="G18" s="69">
        <f t="shared" ref="G18:L18" si="9">+G40+G62</f>
        <v>0</v>
      </c>
      <c r="H18" s="69">
        <f t="shared" si="2"/>
        <v>4978164528.2900019</v>
      </c>
      <c r="I18" s="69">
        <f t="shared" si="9"/>
        <v>0</v>
      </c>
      <c r="J18" s="69">
        <f t="shared" si="3"/>
        <v>1114587310.3840127</v>
      </c>
      <c r="K18" s="69">
        <f t="shared" si="9"/>
        <v>0</v>
      </c>
      <c r="L18" s="69">
        <f t="shared" si="9"/>
        <v>978765844.67603219</v>
      </c>
      <c r="M18" s="70"/>
      <c r="N18" s="71">
        <f t="shared" si="6"/>
        <v>21249493780.888039</v>
      </c>
    </row>
    <row r="19" spans="1:17">
      <c r="A19" s="64">
        <f t="shared" si="5"/>
        <v>9</v>
      </c>
      <c r="C19" s="65" t="s">
        <v>51</v>
      </c>
      <c r="D19" s="69">
        <f t="shared" si="0"/>
        <v>9581793630.0200043</v>
      </c>
      <c r="E19" s="67"/>
      <c r="F19" s="69">
        <f t="shared" si="1"/>
        <v>4705111932.1880112</v>
      </c>
      <c r="G19" s="69">
        <f t="shared" ref="G19:L19" si="10">+G41+G63</f>
        <v>0</v>
      </c>
      <c r="H19" s="69">
        <f t="shared" si="2"/>
        <v>4992857277.5099993</v>
      </c>
      <c r="I19" s="69">
        <f t="shared" si="10"/>
        <v>0</v>
      </c>
      <c r="J19" s="69">
        <f t="shared" si="3"/>
        <v>1117666981.2534177</v>
      </c>
      <c r="K19" s="69">
        <f t="shared" si="10"/>
        <v>0</v>
      </c>
      <c r="L19" s="69">
        <f t="shared" si="10"/>
        <v>989909569.18763995</v>
      </c>
      <c r="M19" s="70"/>
      <c r="N19" s="71">
        <f t="shared" si="6"/>
        <v>21387339390.159073</v>
      </c>
    </row>
    <row r="20" spans="1:17">
      <c r="A20" s="64">
        <f t="shared" si="5"/>
        <v>10</v>
      </c>
      <c r="C20" s="65" t="s">
        <v>52</v>
      </c>
      <c r="D20" s="69">
        <f t="shared" si="0"/>
        <v>9599787383.7899952</v>
      </c>
      <c r="E20" s="67"/>
      <c r="F20" s="69">
        <f t="shared" si="1"/>
        <v>4709646411.0080051</v>
      </c>
      <c r="G20" s="69">
        <f t="shared" ref="G20:L20" si="11">+G42+G64</f>
        <v>0</v>
      </c>
      <c r="H20" s="69">
        <f t="shared" si="2"/>
        <v>5017073120.5499983</v>
      </c>
      <c r="I20" s="69">
        <f t="shared" si="11"/>
        <v>0</v>
      </c>
      <c r="J20" s="69">
        <f t="shared" si="3"/>
        <v>1121273715.4627862</v>
      </c>
      <c r="K20" s="69">
        <f t="shared" si="11"/>
        <v>0</v>
      </c>
      <c r="L20" s="69">
        <f t="shared" si="11"/>
        <v>995048822.65278125</v>
      </c>
      <c r="M20" s="70"/>
      <c r="N20" s="71">
        <f t="shared" si="6"/>
        <v>21442829453.46357</v>
      </c>
    </row>
    <row r="21" spans="1:17">
      <c r="A21" s="64">
        <f t="shared" si="5"/>
        <v>11</v>
      </c>
      <c r="C21" s="65" t="s">
        <v>53</v>
      </c>
      <c r="D21" s="69">
        <f t="shared" si="0"/>
        <v>9639412968.7099972</v>
      </c>
      <c r="E21" s="67"/>
      <c r="F21" s="69">
        <f t="shared" si="1"/>
        <v>4713381160.3380108</v>
      </c>
      <c r="G21" s="69">
        <f t="shared" ref="G21:L21" si="12">+G43+G65</f>
        <v>0</v>
      </c>
      <c r="H21" s="69">
        <f t="shared" si="2"/>
        <v>5046635300.96</v>
      </c>
      <c r="I21" s="69">
        <f t="shared" si="12"/>
        <v>0</v>
      </c>
      <c r="J21" s="69">
        <f t="shared" si="3"/>
        <v>1127591340.8419108</v>
      </c>
      <c r="K21" s="69">
        <f t="shared" si="12"/>
        <v>0</v>
      </c>
      <c r="L21" s="69">
        <f t="shared" si="12"/>
        <v>1000933233.7412868</v>
      </c>
      <c r="M21" s="70"/>
      <c r="N21" s="71">
        <f t="shared" si="6"/>
        <v>21527954004.591206</v>
      </c>
    </row>
    <row r="22" spans="1:17">
      <c r="A22" s="64">
        <f t="shared" si="5"/>
        <v>12</v>
      </c>
      <c r="C22" s="65" t="s">
        <v>54</v>
      </c>
      <c r="D22" s="69">
        <f t="shared" si="0"/>
        <v>9665554667.2199955</v>
      </c>
      <c r="E22" s="67"/>
      <c r="F22" s="69">
        <f t="shared" si="1"/>
        <v>4718494519.067997</v>
      </c>
      <c r="G22" s="69">
        <f t="shared" ref="G22:L22" si="13">+G44+G66</f>
        <v>0</v>
      </c>
      <c r="H22" s="69">
        <f t="shared" si="2"/>
        <v>5069795936.5</v>
      </c>
      <c r="I22" s="69">
        <f t="shared" si="13"/>
        <v>0</v>
      </c>
      <c r="J22" s="69">
        <f t="shared" si="3"/>
        <v>1132563202.4010959</v>
      </c>
      <c r="K22" s="69">
        <f t="shared" si="13"/>
        <v>0</v>
      </c>
      <c r="L22" s="69">
        <f t="shared" si="13"/>
        <v>1018765330.9699018</v>
      </c>
      <c r="M22" s="70"/>
      <c r="N22" s="71">
        <f t="shared" si="6"/>
        <v>21605173656.158993</v>
      </c>
    </row>
    <row r="23" spans="1:17">
      <c r="A23" s="64">
        <f t="shared" si="5"/>
        <v>13</v>
      </c>
      <c r="C23" s="65" t="s">
        <v>55</v>
      </c>
      <c r="D23" s="69">
        <f t="shared" si="0"/>
        <v>9819057828.2699928</v>
      </c>
      <c r="E23" s="67"/>
      <c r="F23" s="69">
        <f t="shared" si="1"/>
        <v>4774291924.9680071</v>
      </c>
      <c r="G23" s="69">
        <f t="shared" ref="G23:L23" si="14">+G45+G67</f>
        <v>0</v>
      </c>
      <c r="H23" s="69">
        <f t="shared" si="2"/>
        <v>5091125751.8500013</v>
      </c>
      <c r="I23" s="69">
        <f t="shared" si="14"/>
        <v>0</v>
      </c>
      <c r="J23" s="69">
        <f t="shared" si="3"/>
        <v>1137681254.4200945</v>
      </c>
      <c r="K23" s="69">
        <f t="shared" si="14"/>
        <v>0</v>
      </c>
      <c r="L23" s="69">
        <f t="shared" si="14"/>
        <v>1028358501.705386</v>
      </c>
      <c r="M23" s="70"/>
      <c r="N23" s="71">
        <f t="shared" si="6"/>
        <v>21850515261.213482</v>
      </c>
    </row>
    <row r="24" spans="1:17">
      <c r="A24" s="64">
        <f t="shared" si="5"/>
        <v>14</v>
      </c>
      <c r="C24" s="65" t="s">
        <v>1111</v>
      </c>
      <c r="D24" s="69">
        <f t="shared" si="0"/>
        <v>9867345003.2600021</v>
      </c>
      <c r="E24" s="67"/>
      <c r="F24" s="69">
        <f t="shared" si="1"/>
        <v>4981629983.3379993</v>
      </c>
      <c r="G24" s="69">
        <f t="shared" ref="G24:L24" si="15">+G46+G68</f>
        <v>0</v>
      </c>
      <c r="H24" s="69">
        <f t="shared" si="2"/>
        <v>5122045132.5500011</v>
      </c>
      <c r="I24" s="69">
        <f t="shared" si="15"/>
        <v>0</v>
      </c>
      <c r="J24" s="69">
        <f t="shared" si="3"/>
        <v>1156459940.0082865</v>
      </c>
      <c r="K24" s="69">
        <f t="shared" si="15"/>
        <v>0</v>
      </c>
      <c r="L24" s="69">
        <f t="shared" si="15"/>
        <v>1062183799.7192856</v>
      </c>
      <c r="M24" s="70"/>
      <c r="N24" s="71">
        <f t="shared" si="6"/>
        <v>22189663858.875572</v>
      </c>
    </row>
    <row r="25" spans="1:17">
      <c r="A25" s="64">
        <f t="shared" si="5"/>
        <v>15</v>
      </c>
      <c r="C25" s="65"/>
      <c r="D25" s="72"/>
      <c r="F25" s="72"/>
      <c r="H25" s="72"/>
      <c r="I25" s="73"/>
      <c r="J25" s="72"/>
      <c r="K25" s="73"/>
      <c r="L25" s="74"/>
      <c r="M25" s="75"/>
      <c r="N25" s="76"/>
    </row>
    <row r="26" spans="1:17" ht="12.75" thickBot="1">
      <c r="A26" s="64">
        <f t="shared" si="5"/>
        <v>16</v>
      </c>
      <c r="C26" s="77" t="s">
        <v>29</v>
      </c>
      <c r="D26" s="78">
        <f>D48+D70</f>
        <v>9506905151.5815392</v>
      </c>
      <c r="F26" s="78">
        <f>F48+F70</f>
        <v>4713797110.7984619</v>
      </c>
      <c r="G26" s="47"/>
      <c r="H26" s="78">
        <f>H48+H70</f>
        <v>4991645524.9015379</v>
      </c>
      <c r="I26" s="79"/>
      <c r="J26" s="78">
        <f>J48+J70</f>
        <v>1115257929.986923</v>
      </c>
      <c r="K26" s="80"/>
      <c r="L26" s="78">
        <f>L48+L70</f>
        <v>985297181.74692309</v>
      </c>
      <c r="M26" s="81"/>
      <c r="N26" s="78">
        <f>N48+N70</f>
        <v>21312902899.015385</v>
      </c>
    </row>
    <row r="27" spans="1:17" ht="12.75" thickTop="1">
      <c r="A27" s="64">
        <f t="shared" si="5"/>
        <v>17</v>
      </c>
      <c r="D27" s="73"/>
      <c r="F27" s="73"/>
      <c r="H27" s="73"/>
      <c r="I27" s="73"/>
      <c r="J27" s="73"/>
      <c r="K27" s="73"/>
      <c r="L27" s="73"/>
      <c r="M27" s="73"/>
      <c r="N27" s="71"/>
    </row>
    <row r="28" spans="1:17">
      <c r="A28" s="64">
        <f t="shared" si="5"/>
        <v>18</v>
      </c>
      <c r="D28" s="73"/>
      <c r="F28" s="73"/>
      <c r="H28" s="73"/>
      <c r="I28" s="73"/>
      <c r="J28" s="73"/>
      <c r="K28" s="73"/>
      <c r="L28" s="73"/>
      <c r="M28" s="73"/>
      <c r="N28" s="71"/>
    </row>
    <row r="29" spans="1:17">
      <c r="A29" s="64">
        <f t="shared" si="5"/>
        <v>19</v>
      </c>
      <c r="E29" s="53"/>
      <c r="F29" s="391"/>
      <c r="I29" s="54"/>
      <c r="J29" s="391"/>
      <c r="K29" s="54"/>
      <c r="L29" s="54"/>
      <c r="M29" s="54"/>
    </row>
    <row r="30" spans="1:17">
      <c r="A30" s="64">
        <f t="shared" si="5"/>
        <v>20</v>
      </c>
      <c r="D30" s="55"/>
      <c r="E30" s="53"/>
      <c r="F30" s="392"/>
      <c r="I30" s="54"/>
      <c r="J30" s="392"/>
      <c r="K30" s="54"/>
      <c r="L30" s="54"/>
      <c r="M30" s="54"/>
      <c r="N30" s="55" t="s">
        <v>30</v>
      </c>
    </row>
    <row r="31" spans="1:17">
      <c r="A31" s="64">
        <f t="shared" si="5"/>
        <v>21</v>
      </c>
      <c r="D31" s="54"/>
      <c r="E31" s="53"/>
      <c r="H31" s="56"/>
      <c r="J31" s="57" t="s">
        <v>88</v>
      </c>
      <c r="L31" s="57" t="s">
        <v>23</v>
      </c>
      <c r="N31" s="55" t="s">
        <v>31</v>
      </c>
    </row>
    <row r="32" spans="1:17">
      <c r="A32" s="64">
        <f t="shared" si="5"/>
        <v>22</v>
      </c>
      <c r="C32" s="19"/>
      <c r="D32" s="54" t="s">
        <v>4</v>
      </c>
      <c r="F32" s="54" t="s">
        <v>24</v>
      </c>
      <c r="H32" s="54" t="s">
        <v>25</v>
      </c>
      <c r="J32" s="54" t="s">
        <v>57</v>
      </c>
      <c r="L32" s="59" t="s">
        <v>857</v>
      </c>
      <c r="M32" s="55"/>
      <c r="N32" s="59" t="s">
        <v>32</v>
      </c>
      <c r="P32" s="388"/>
      <c r="Q32" s="388"/>
    </row>
    <row r="33" spans="1:16">
      <c r="A33" s="64">
        <f t="shared" si="5"/>
        <v>23</v>
      </c>
      <c r="B33" s="180" t="s">
        <v>110</v>
      </c>
      <c r="C33" s="181"/>
      <c r="D33" s="83"/>
      <c r="F33" s="63"/>
      <c r="H33" s="63"/>
      <c r="J33" s="63"/>
      <c r="N33" s="83"/>
      <c r="P33" s="388"/>
    </row>
    <row r="34" spans="1:16">
      <c r="A34" s="64">
        <f t="shared" si="5"/>
        <v>24</v>
      </c>
      <c r="C34" s="65" t="s">
        <v>997</v>
      </c>
      <c r="D34" s="1091">
        <v>8757577215.3600044</v>
      </c>
      <c r="E34" s="141"/>
      <c r="F34" s="1091">
        <v>3587095713.86801</v>
      </c>
      <c r="G34" s="141"/>
      <c r="H34" s="1091">
        <v>3983174877.0600004</v>
      </c>
      <c r="I34" s="141"/>
      <c r="J34" s="1091">
        <v>922021076.83704543</v>
      </c>
      <c r="K34" s="151"/>
      <c r="L34" s="1091">
        <v>740415005.64452147</v>
      </c>
      <c r="M34" s="68"/>
      <c r="N34" s="66">
        <f>SUM(D34:L34)</f>
        <v>17990283888.769577</v>
      </c>
      <c r="P34" s="388"/>
    </row>
    <row r="35" spans="1:16">
      <c r="A35" s="64">
        <f t="shared" si="5"/>
        <v>25</v>
      </c>
      <c r="C35" s="65" t="s">
        <v>1110</v>
      </c>
      <c r="D35" s="1091">
        <v>8769369389.3299961</v>
      </c>
      <c r="E35" s="141"/>
      <c r="F35" s="1091">
        <v>3587764425.5379939</v>
      </c>
      <c r="G35" s="141"/>
      <c r="H35" s="1091">
        <v>3995266917.2999964</v>
      </c>
      <c r="I35" s="141"/>
      <c r="J35" s="1091">
        <v>944779307.81677663</v>
      </c>
      <c r="K35" s="151"/>
      <c r="L35" s="1091">
        <v>753335164.1317054</v>
      </c>
      <c r="M35" s="70"/>
      <c r="N35" s="71">
        <f>SUM(D35:L35)</f>
        <v>18050515204.11647</v>
      </c>
      <c r="P35" s="388"/>
    </row>
    <row r="36" spans="1:16">
      <c r="A36" s="64">
        <f t="shared" si="5"/>
        <v>26</v>
      </c>
      <c r="C36" s="65" t="s">
        <v>47</v>
      </c>
      <c r="D36" s="1091">
        <v>8770683363.1899986</v>
      </c>
      <c r="E36" s="141"/>
      <c r="F36" s="1091">
        <v>3600054415.2180071</v>
      </c>
      <c r="G36" s="141"/>
      <c r="H36" s="1091">
        <v>4005387705.849998</v>
      </c>
      <c r="I36" s="141"/>
      <c r="J36" s="1091">
        <v>949723728.22647619</v>
      </c>
      <c r="K36" s="151"/>
      <c r="L36" s="1091">
        <v>754747812.80026698</v>
      </c>
      <c r="M36" s="70"/>
      <c r="N36" s="71">
        <f t="shared" ref="N36:N45" si="16">SUM(D36:L36)</f>
        <v>18080597025.284744</v>
      </c>
      <c r="P36" s="388"/>
    </row>
    <row r="37" spans="1:16">
      <c r="A37" s="64">
        <f t="shared" si="5"/>
        <v>27</v>
      </c>
      <c r="C37" s="65" t="s">
        <v>48</v>
      </c>
      <c r="D37" s="1091">
        <v>8792016198.8600006</v>
      </c>
      <c r="E37" s="141"/>
      <c r="F37" s="1091">
        <v>3605410196.6879854</v>
      </c>
      <c r="G37" s="141"/>
      <c r="H37" s="1091">
        <v>4014472246.4300013</v>
      </c>
      <c r="I37" s="141"/>
      <c r="J37" s="1091">
        <v>952598715.65585089</v>
      </c>
      <c r="K37" s="151"/>
      <c r="L37" s="1091">
        <v>762103179.92441678</v>
      </c>
      <c r="M37" s="70"/>
      <c r="N37" s="71">
        <f t="shared" si="16"/>
        <v>18126600537.55825</v>
      </c>
      <c r="P37" s="388"/>
    </row>
    <row r="38" spans="1:16">
      <c r="A38" s="64">
        <f t="shared" si="5"/>
        <v>28</v>
      </c>
      <c r="C38" s="65" t="s">
        <v>49</v>
      </c>
      <c r="D38" s="1091">
        <v>8843129881.6800003</v>
      </c>
      <c r="E38" s="141"/>
      <c r="F38" s="1091">
        <v>3608226271.5279951</v>
      </c>
      <c r="G38" s="141"/>
      <c r="H38" s="1091">
        <v>4023629326.8399973</v>
      </c>
      <c r="I38" s="141"/>
      <c r="J38" s="1091">
        <v>955611868.81532919</v>
      </c>
      <c r="K38" s="151"/>
      <c r="L38" s="1091">
        <v>765264711.64511621</v>
      </c>
      <c r="M38" s="70"/>
      <c r="N38" s="71">
        <f t="shared" si="16"/>
        <v>18195862060.508438</v>
      </c>
      <c r="P38" s="388"/>
    </row>
    <row r="39" spans="1:16">
      <c r="A39" s="64">
        <f t="shared" si="5"/>
        <v>29</v>
      </c>
      <c r="C39" s="65" t="s">
        <v>21</v>
      </c>
      <c r="D39" s="1091">
        <v>8955922735.7199974</v>
      </c>
      <c r="E39" s="141"/>
      <c r="F39" s="1091">
        <v>3610744464.2279987</v>
      </c>
      <c r="G39" s="141"/>
      <c r="H39" s="1091">
        <v>4036582982.750001</v>
      </c>
      <c r="I39" s="141"/>
      <c r="J39" s="1091">
        <v>957686438.45481193</v>
      </c>
      <c r="K39" s="151"/>
      <c r="L39" s="1091">
        <v>767622076.347049</v>
      </c>
      <c r="M39" s="70"/>
      <c r="N39" s="71">
        <f t="shared" si="16"/>
        <v>18328558697.499859</v>
      </c>
      <c r="P39" s="388"/>
    </row>
    <row r="40" spans="1:16">
      <c r="A40" s="64">
        <f t="shared" si="5"/>
        <v>30</v>
      </c>
      <c r="C40" s="65" t="s">
        <v>50</v>
      </c>
      <c r="D40" s="1091">
        <v>8965528569.5699978</v>
      </c>
      <c r="E40" s="141"/>
      <c r="F40" s="1091">
        <v>3631345014.6679912</v>
      </c>
      <c r="G40" s="141"/>
      <c r="H40" s="1091">
        <v>4048878905.670001</v>
      </c>
      <c r="I40" s="141"/>
      <c r="J40" s="1091">
        <v>960619166.42401278</v>
      </c>
      <c r="K40" s="151"/>
      <c r="L40" s="1091">
        <v>775191977.4160322</v>
      </c>
      <c r="M40" s="70"/>
      <c r="N40" s="71">
        <f t="shared" si="16"/>
        <v>18381563633.748032</v>
      </c>
      <c r="P40" s="388"/>
    </row>
    <row r="41" spans="1:16">
      <c r="A41" s="64">
        <f t="shared" si="5"/>
        <v>31</v>
      </c>
      <c r="C41" s="65" t="s">
        <v>51</v>
      </c>
      <c r="D41" s="1091">
        <v>9070683795.8100033</v>
      </c>
      <c r="E41" s="141"/>
      <c r="F41" s="1091">
        <v>3632958872.2280111</v>
      </c>
      <c r="G41" s="141"/>
      <c r="H41" s="1091">
        <v>4059621532.0300007</v>
      </c>
      <c r="I41" s="141"/>
      <c r="J41" s="1091">
        <v>963112633.50341785</v>
      </c>
      <c r="K41" s="151"/>
      <c r="L41" s="1091">
        <v>785039064.06764007</v>
      </c>
      <c r="M41" s="70"/>
      <c r="N41" s="71">
        <f t="shared" si="16"/>
        <v>18511415897.639069</v>
      </c>
      <c r="P41" s="388"/>
    </row>
    <row r="42" spans="1:16">
      <c r="A42" s="64">
        <f t="shared" si="5"/>
        <v>32</v>
      </c>
      <c r="C42" s="65" t="s">
        <v>52</v>
      </c>
      <c r="D42" s="1091">
        <v>9087703016.0199966</v>
      </c>
      <c r="E42" s="141"/>
      <c r="F42" s="1091">
        <v>3634544984.0780048</v>
      </c>
      <c r="G42" s="141"/>
      <c r="H42" s="1091">
        <v>4078700502.8199992</v>
      </c>
      <c r="I42" s="141"/>
      <c r="J42" s="1091">
        <v>966047139.40278614</v>
      </c>
      <c r="K42" s="151"/>
      <c r="L42" s="1091">
        <v>788193340.39278138</v>
      </c>
      <c r="M42" s="70"/>
      <c r="N42" s="71">
        <f t="shared" si="16"/>
        <v>18555188982.713566</v>
      </c>
      <c r="P42" s="388"/>
    </row>
    <row r="43" spans="1:16">
      <c r="A43" s="64">
        <f t="shared" si="5"/>
        <v>33</v>
      </c>
      <c r="C43" s="65" t="s">
        <v>53</v>
      </c>
      <c r="D43" s="1091">
        <v>9126469289.869997</v>
      </c>
      <c r="E43" s="141"/>
      <c r="F43" s="1091">
        <v>3637082008.67801</v>
      </c>
      <c r="G43" s="141"/>
      <c r="H43" s="1091">
        <v>4103427723.1899996</v>
      </c>
      <c r="I43" s="141"/>
      <c r="J43" s="1091">
        <v>971404935.17191076</v>
      </c>
      <c r="K43" s="151"/>
      <c r="L43" s="1091">
        <v>792479329.63128674</v>
      </c>
      <c r="M43" s="70"/>
      <c r="N43" s="71">
        <f t="shared" si="16"/>
        <v>18630863286.541203</v>
      </c>
      <c r="P43" s="388"/>
    </row>
    <row r="44" spans="1:16">
      <c r="A44" s="64">
        <f t="shared" si="5"/>
        <v>34</v>
      </c>
      <c r="C44" s="65" t="s">
        <v>54</v>
      </c>
      <c r="D44" s="1091">
        <v>9147330054.619997</v>
      </c>
      <c r="E44" s="141"/>
      <c r="F44" s="1091">
        <v>3640894680.2179976</v>
      </c>
      <c r="G44" s="141"/>
      <c r="H44" s="1091">
        <v>4122298268.5</v>
      </c>
      <c r="I44" s="141"/>
      <c r="J44" s="1091">
        <v>975313824.55109596</v>
      </c>
      <c r="K44" s="151"/>
      <c r="L44" s="1091">
        <v>803285973.07990181</v>
      </c>
      <c r="M44" s="70"/>
      <c r="N44" s="71">
        <f t="shared" si="16"/>
        <v>18689122800.968994</v>
      </c>
      <c r="P44" s="388"/>
    </row>
    <row r="45" spans="1:16">
      <c r="A45" s="64">
        <f t="shared" si="5"/>
        <v>35</v>
      </c>
      <c r="C45" s="65" t="s">
        <v>55</v>
      </c>
      <c r="D45" s="1091">
        <v>9296194658.1899929</v>
      </c>
      <c r="E45" s="141"/>
      <c r="F45" s="1091">
        <v>3694390985.2280073</v>
      </c>
      <c r="G45" s="141"/>
      <c r="H45" s="1091">
        <v>4139972597.7700005</v>
      </c>
      <c r="I45" s="141"/>
      <c r="J45" s="1091">
        <v>979117236.55009437</v>
      </c>
      <c r="K45" s="151"/>
      <c r="L45" s="1091">
        <v>810880262.69538605</v>
      </c>
      <c r="M45" s="70"/>
      <c r="N45" s="71">
        <f t="shared" si="16"/>
        <v>18920555740.433479</v>
      </c>
      <c r="P45" s="388"/>
    </row>
    <row r="46" spans="1:16">
      <c r="A46" s="64">
        <f t="shared" si="5"/>
        <v>36</v>
      </c>
      <c r="C46" s="65" t="s">
        <v>1111</v>
      </c>
      <c r="D46" s="1091">
        <v>9343955803.2600021</v>
      </c>
      <c r="E46" s="141"/>
      <c r="F46" s="1091">
        <v>3711626156.6079988</v>
      </c>
      <c r="G46" s="141"/>
      <c r="H46" s="1091">
        <v>4157712333.9400005</v>
      </c>
      <c r="I46" s="141"/>
      <c r="J46" s="1091">
        <v>996389901.04828644</v>
      </c>
      <c r="K46" s="151"/>
      <c r="L46" s="1091">
        <v>832219197.54928565</v>
      </c>
      <c r="M46" s="70"/>
      <c r="N46" s="71">
        <f>SUM(D46:L46)</f>
        <v>19041903392.405571</v>
      </c>
      <c r="P46" s="388"/>
    </row>
    <row r="47" spans="1:16">
      <c r="A47" s="64">
        <f t="shared" si="5"/>
        <v>37</v>
      </c>
      <c r="C47" s="65"/>
      <c r="D47" s="76"/>
      <c r="F47" s="72"/>
      <c r="H47" s="72"/>
      <c r="I47" s="73"/>
      <c r="J47" s="72"/>
      <c r="K47" s="73"/>
      <c r="L47" s="74"/>
      <c r="M47" s="75"/>
      <c r="N47" s="76"/>
      <c r="P47" s="388"/>
    </row>
    <row r="48" spans="1:16" ht="12.75" thickBot="1">
      <c r="A48" s="64">
        <f t="shared" si="5"/>
        <v>38</v>
      </c>
      <c r="C48" s="77" t="s">
        <v>29</v>
      </c>
      <c r="D48" s="82">
        <f>ROUND(SUM(D34:D47)/13,0)</f>
        <v>8994351075</v>
      </c>
      <c r="F48" s="82">
        <f>ROUND(SUM(F34:F47)/13,0)</f>
        <v>3629395245</v>
      </c>
      <c r="G48" s="47"/>
      <c r="H48" s="82">
        <f>ROUND(SUM(H34:H47)/13,0)</f>
        <v>4059163532</v>
      </c>
      <c r="I48" s="79"/>
      <c r="J48" s="82">
        <f>ROUND(SUM(J34:J47)/13,0)</f>
        <v>961109690</v>
      </c>
      <c r="K48" s="80"/>
      <c r="L48" s="82">
        <f>ROUND(SUM(L34:L47)/13,0)</f>
        <v>779290546</v>
      </c>
      <c r="M48" s="81"/>
      <c r="N48" s="82">
        <f>ROUND(SUM(N34:N47)/13,0)</f>
        <v>18423310088</v>
      </c>
      <c r="P48" s="388"/>
    </row>
    <row r="49" spans="1:14" ht="12.75" thickTop="1">
      <c r="A49" s="64">
        <f t="shared" si="5"/>
        <v>39</v>
      </c>
      <c r="C49" s="19"/>
      <c r="D49" s="991"/>
      <c r="E49" s="19"/>
      <c r="F49" s="991"/>
      <c r="G49" s="19"/>
      <c r="H49" s="991"/>
      <c r="I49" s="19"/>
      <c r="J49" s="991"/>
      <c r="K49" s="19"/>
      <c r="L49" s="991"/>
      <c r="M49" s="19"/>
      <c r="N49" s="991"/>
    </row>
    <row r="50" spans="1:14">
      <c r="A50" s="64">
        <f t="shared" si="5"/>
        <v>40</v>
      </c>
      <c r="C50" s="19"/>
      <c r="D50" s="991"/>
      <c r="E50" s="991"/>
      <c r="F50" s="991"/>
      <c r="G50" s="991"/>
      <c r="H50" s="991"/>
      <c r="I50" s="991"/>
      <c r="J50" s="991"/>
      <c r="K50" s="991"/>
      <c r="L50" s="991"/>
      <c r="M50" s="991"/>
      <c r="N50" s="991"/>
    </row>
    <row r="51" spans="1:14">
      <c r="A51" s="64">
        <f t="shared" si="5"/>
        <v>41</v>
      </c>
      <c r="C51" s="19"/>
      <c r="E51" s="53"/>
      <c r="I51" s="54"/>
      <c r="K51" s="54"/>
      <c r="L51" s="54"/>
      <c r="M51" s="54"/>
    </row>
    <row r="52" spans="1:14">
      <c r="A52" s="64">
        <f t="shared" si="5"/>
        <v>42</v>
      </c>
      <c r="C52" s="19"/>
      <c r="D52" s="55"/>
      <c r="E52" s="53"/>
      <c r="I52" s="54"/>
      <c r="K52" s="54"/>
      <c r="L52" s="54"/>
      <c r="M52" s="54"/>
      <c r="N52" s="55" t="s">
        <v>30</v>
      </c>
    </row>
    <row r="53" spans="1:14">
      <c r="A53" s="64">
        <f t="shared" si="5"/>
        <v>43</v>
      </c>
      <c r="C53" s="19"/>
      <c r="D53" s="54"/>
      <c r="E53" s="53"/>
      <c r="H53" s="56"/>
      <c r="J53" s="57" t="s">
        <v>88</v>
      </c>
      <c r="L53" s="57" t="s">
        <v>23</v>
      </c>
      <c r="N53" s="55" t="s">
        <v>31</v>
      </c>
    </row>
    <row r="54" spans="1:14">
      <c r="A54" s="64">
        <f t="shared" si="5"/>
        <v>44</v>
      </c>
      <c r="C54" s="19"/>
      <c r="D54" s="54" t="s">
        <v>4</v>
      </c>
      <c r="F54" s="54" t="s">
        <v>24</v>
      </c>
      <c r="H54" s="54" t="s">
        <v>25</v>
      </c>
      <c r="J54" s="54" t="s">
        <v>57</v>
      </c>
      <c r="L54" s="59" t="s">
        <v>857</v>
      </c>
      <c r="M54" s="55"/>
      <c r="N54" s="59" t="s">
        <v>32</v>
      </c>
    </row>
    <row r="55" spans="1:14">
      <c r="A55" s="64">
        <f t="shared" si="5"/>
        <v>45</v>
      </c>
      <c r="B55" s="180" t="s">
        <v>111</v>
      </c>
      <c r="C55" s="181"/>
      <c r="D55" s="83"/>
      <c r="F55" s="63"/>
      <c r="H55" s="63"/>
      <c r="J55" s="63"/>
      <c r="N55" s="83"/>
    </row>
    <row r="56" spans="1:14">
      <c r="A56" s="64">
        <f t="shared" si="5"/>
        <v>46</v>
      </c>
      <c r="C56" s="65" t="s">
        <v>997</v>
      </c>
      <c r="D56" s="1091">
        <v>508044431.39999986</v>
      </c>
      <c r="E56" s="331"/>
      <c r="F56" s="1091">
        <v>1051524343.1200005</v>
      </c>
      <c r="G56" s="331"/>
      <c r="H56" s="1091">
        <v>911934773.0999999</v>
      </c>
      <c r="I56" s="331"/>
      <c r="J56" s="1091">
        <v>149602373.12</v>
      </c>
      <c r="K56" s="417"/>
      <c r="L56" s="1091">
        <v>194646243.72</v>
      </c>
      <c r="M56" s="68"/>
      <c r="N56" s="66">
        <f>SUM(D56:L56)</f>
        <v>2815752164.46</v>
      </c>
    </row>
    <row r="57" spans="1:14">
      <c r="A57" s="64">
        <f t="shared" si="5"/>
        <v>47</v>
      </c>
      <c r="C57" s="65" t="s">
        <v>1110</v>
      </c>
      <c r="D57" s="1092">
        <v>508071957.42000014</v>
      </c>
      <c r="E57" s="331"/>
      <c r="F57" s="1092">
        <v>1057129103.4300011</v>
      </c>
      <c r="G57" s="331"/>
      <c r="H57" s="1092">
        <v>914926804.57999849</v>
      </c>
      <c r="I57" s="331"/>
      <c r="J57" s="1092">
        <v>150254332.87</v>
      </c>
      <c r="K57" s="417"/>
      <c r="L57" s="1092">
        <v>197421379.33000001</v>
      </c>
      <c r="M57" s="70"/>
      <c r="N57" s="71">
        <f>SUM(D57:L57)</f>
        <v>2827803577.6299996</v>
      </c>
    </row>
    <row r="58" spans="1:14">
      <c r="A58" s="64">
        <f t="shared" si="5"/>
        <v>48</v>
      </c>
      <c r="C58" s="65" t="s">
        <v>47</v>
      </c>
      <c r="D58" s="1092">
        <v>508099797.07000035</v>
      </c>
      <c r="E58" s="331"/>
      <c r="F58" s="1092">
        <v>1062227483.2900004</v>
      </c>
      <c r="G58" s="331"/>
      <c r="H58" s="1092">
        <v>917597608.65000129</v>
      </c>
      <c r="I58" s="331"/>
      <c r="J58" s="1092">
        <v>150772805.81</v>
      </c>
      <c r="K58" s="417"/>
      <c r="L58" s="1092">
        <v>197823347.37000003</v>
      </c>
      <c r="M58" s="70"/>
      <c r="N58" s="71">
        <f t="shared" ref="N58:N68" si="17">SUM(D58:L58)</f>
        <v>2836521042.190002</v>
      </c>
    </row>
    <row r="59" spans="1:14">
      <c r="A59" s="64">
        <f t="shared" si="5"/>
        <v>49</v>
      </c>
      <c r="C59" s="65" t="s">
        <v>48</v>
      </c>
      <c r="D59" s="1092">
        <v>508290191.09999961</v>
      </c>
      <c r="E59" s="331"/>
      <c r="F59" s="1092">
        <v>1067260539.0899998</v>
      </c>
      <c r="G59" s="331"/>
      <c r="H59" s="1092">
        <v>920587422.38999963</v>
      </c>
      <c r="I59" s="331"/>
      <c r="J59" s="1092">
        <v>151655335.46999997</v>
      </c>
      <c r="K59" s="417"/>
      <c r="L59" s="1092">
        <v>199657018.24000001</v>
      </c>
      <c r="M59" s="70"/>
      <c r="N59" s="71">
        <f t="shared" si="17"/>
        <v>2847450506.289999</v>
      </c>
    </row>
    <row r="60" spans="1:14">
      <c r="A60" s="64">
        <f t="shared" si="5"/>
        <v>50</v>
      </c>
      <c r="C60" s="65" t="s">
        <v>49</v>
      </c>
      <c r="D60" s="1092">
        <v>508685543.51000071</v>
      </c>
      <c r="E60" s="331"/>
      <c r="F60" s="1092">
        <v>1068735761.92</v>
      </c>
      <c r="G60" s="331"/>
      <c r="H60" s="1092">
        <v>923653991.95999908</v>
      </c>
      <c r="I60" s="331"/>
      <c r="J60" s="1092">
        <v>152512250.32999998</v>
      </c>
      <c r="K60" s="417"/>
      <c r="L60" s="1092">
        <v>200497967.56</v>
      </c>
      <c r="M60" s="70"/>
      <c r="N60" s="71">
        <f t="shared" si="17"/>
        <v>2854085515.2799997</v>
      </c>
    </row>
    <row r="61" spans="1:14">
      <c r="A61" s="64">
        <f t="shared" si="5"/>
        <v>51</v>
      </c>
      <c r="C61" s="65" t="s">
        <v>21</v>
      </c>
      <c r="D61" s="1092">
        <v>510614192.6900003</v>
      </c>
      <c r="E61" s="331"/>
      <c r="F61" s="1092">
        <v>1068968286.2299995</v>
      </c>
      <c r="G61" s="331"/>
      <c r="H61" s="1092">
        <v>926480122.74999928</v>
      </c>
      <c r="I61" s="331"/>
      <c r="J61" s="1092">
        <v>153311114.10999998</v>
      </c>
      <c r="K61" s="417"/>
      <c r="L61" s="1092">
        <v>201364350.66999999</v>
      </c>
      <c r="M61" s="70"/>
      <c r="N61" s="71">
        <f t="shared" si="17"/>
        <v>2860738066.4499993</v>
      </c>
    </row>
    <row r="62" spans="1:14">
      <c r="A62" s="64">
        <f t="shared" si="5"/>
        <v>52</v>
      </c>
      <c r="C62" s="65" t="s">
        <v>50</v>
      </c>
      <c r="D62" s="1092">
        <v>510782018.87</v>
      </c>
      <c r="E62" s="331"/>
      <c r="F62" s="1092">
        <v>1070320494.4299998</v>
      </c>
      <c r="G62" s="331"/>
      <c r="H62" s="1092">
        <v>929285622.62000108</v>
      </c>
      <c r="I62" s="331"/>
      <c r="J62" s="1092">
        <v>153968143.96000001</v>
      </c>
      <c r="K62" s="417"/>
      <c r="L62" s="1092">
        <v>203573867.25999999</v>
      </c>
      <c r="M62" s="70"/>
      <c r="N62" s="71">
        <f t="shared" si="17"/>
        <v>2867930147.1400013</v>
      </c>
    </row>
    <row r="63" spans="1:14">
      <c r="A63" s="64">
        <f t="shared" si="5"/>
        <v>53</v>
      </c>
      <c r="C63" s="65" t="s">
        <v>51</v>
      </c>
      <c r="D63" s="1092">
        <v>511109834.21000063</v>
      </c>
      <c r="E63" s="331"/>
      <c r="F63" s="1092">
        <v>1072153059.9599998</v>
      </c>
      <c r="G63" s="331"/>
      <c r="H63" s="1092">
        <v>933235745.47999883</v>
      </c>
      <c r="I63" s="331"/>
      <c r="J63" s="1092">
        <v>154554347.74999997</v>
      </c>
      <c r="K63" s="417"/>
      <c r="L63" s="1092">
        <v>204870505.11999995</v>
      </c>
      <c r="M63" s="70"/>
      <c r="N63" s="71">
        <f t="shared" si="17"/>
        <v>2875923492.5199995</v>
      </c>
    </row>
    <row r="64" spans="1:14">
      <c r="A64" s="64">
        <f t="shared" si="5"/>
        <v>54</v>
      </c>
      <c r="C64" s="65" t="s">
        <v>52</v>
      </c>
      <c r="D64" s="1092">
        <v>512084367.76999921</v>
      </c>
      <c r="E64" s="331"/>
      <c r="F64" s="1092">
        <v>1075101426.9300003</v>
      </c>
      <c r="G64" s="331"/>
      <c r="H64" s="1092">
        <v>938372617.72999883</v>
      </c>
      <c r="I64" s="331"/>
      <c r="J64" s="1092">
        <v>155226576.05999997</v>
      </c>
      <c r="K64" s="417"/>
      <c r="L64" s="1092">
        <v>206855482.25999993</v>
      </c>
      <c r="M64" s="70"/>
      <c r="N64" s="71">
        <f t="shared" si="17"/>
        <v>2887640470.7499981</v>
      </c>
    </row>
    <row r="65" spans="1:14">
      <c r="A65" s="64">
        <f t="shared" si="5"/>
        <v>55</v>
      </c>
      <c r="C65" s="65" t="s">
        <v>53</v>
      </c>
      <c r="D65" s="1092">
        <v>512943678.84000015</v>
      </c>
      <c r="E65" s="331"/>
      <c r="F65" s="1092">
        <v>1076299151.6600003</v>
      </c>
      <c r="G65" s="331"/>
      <c r="H65" s="1092">
        <v>943207577.77000046</v>
      </c>
      <c r="I65" s="331"/>
      <c r="J65" s="1092">
        <v>156186405.67000002</v>
      </c>
      <c r="K65" s="417"/>
      <c r="L65" s="1092">
        <v>208453904.10999998</v>
      </c>
      <c r="M65" s="70"/>
      <c r="N65" s="71">
        <f t="shared" si="17"/>
        <v>2897090718.0500011</v>
      </c>
    </row>
    <row r="66" spans="1:14">
      <c r="A66" s="64">
        <f t="shared" si="5"/>
        <v>56</v>
      </c>
      <c r="C66" s="65" t="s">
        <v>54</v>
      </c>
      <c r="D66" s="1092">
        <v>518224612.59999937</v>
      </c>
      <c r="E66" s="331"/>
      <c r="F66" s="1092">
        <v>1077599838.8499994</v>
      </c>
      <c r="G66" s="331"/>
      <c r="H66" s="1092">
        <v>947497668</v>
      </c>
      <c r="I66" s="331"/>
      <c r="J66" s="1092">
        <v>157249377.84999996</v>
      </c>
      <c r="K66" s="417"/>
      <c r="L66" s="1092">
        <v>215479357.89000002</v>
      </c>
      <c r="M66" s="70"/>
      <c r="N66" s="71">
        <f t="shared" si="17"/>
        <v>2916050855.1899986</v>
      </c>
    </row>
    <row r="67" spans="1:14">
      <c r="A67" s="64">
        <f t="shared" si="5"/>
        <v>57</v>
      </c>
      <c r="C67" s="65" t="s">
        <v>55</v>
      </c>
      <c r="D67" s="1092">
        <v>522863170.08000022</v>
      </c>
      <c r="E67" s="331"/>
      <c r="F67" s="1092">
        <v>1079900939.74</v>
      </c>
      <c r="G67" s="331"/>
      <c r="H67" s="1092">
        <v>951153154.08000064</v>
      </c>
      <c r="I67" s="331"/>
      <c r="J67" s="1092">
        <v>158564017.87</v>
      </c>
      <c r="K67" s="417"/>
      <c r="L67" s="1092">
        <v>217478239.00999999</v>
      </c>
      <c r="M67" s="70"/>
      <c r="N67" s="71">
        <f t="shared" si="17"/>
        <v>2929959520.7800007</v>
      </c>
    </row>
    <row r="68" spans="1:14">
      <c r="A68" s="64">
        <f t="shared" si="5"/>
        <v>58</v>
      </c>
      <c r="C68" s="65" t="s">
        <v>1111</v>
      </c>
      <c r="D68" s="1092">
        <v>523389199.99999946</v>
      </c>
      <c r="E68" s="331"/>
      <c r="F68" s="1092">
        <v>1270003826.73</v>
      </c>
      <c r="G68" s="331"/>
      <c r="H68" s="1092">
        <v>964332798.61000013</v>
      </c>
      <c r="I68" s="331"/>
      <c r="J68" s="1092">
        <v>160070038.95999998</v>
      </c>
      <c r="K68" s="417"/>
      <c r="L68" s="1092">
        <v>229964602.16999999</v>
      </c>
      <c r="M68" s="70"/>
      <c r="N68" s="71">
        <f t="shared" si="17"/>
        <v>3147760466.4699998</v>
      </c>
    </row>
    <row r="69" spans="1:14">
      <c r="A69" s="64">
        <f t="shared" si="5"/>
        <v>59</v>
      </c>
      <c r="C69" s="65"/>
      <c r="D69" s="76"/>
      <c r="F69" s="72"/>
      <c r="H69" s="72"/>
      <c r="I69" s="73"/>
      <c r="J69" s="72"/>
      <c r="K69" s="73"/>
      <c r="L69" s="74"/>
      <c r="M69" s="75"/>
      <c r="N69" s="76"/>
    </row>
    <row r="70" spans="1:14" ht="12.75" thickBot="1">
      <c r="A70" s="64">
        <f t="shared" si="5"/>
        <v>60</v>
      </c>
      <c r="C70" s="77" t="s">
        <v>29</v>
      </c>
      <c r="D70" s="82">
        <f>SUM(D56:D69)/13</f>
        <v>512554076.58153844</v>
      </c>
      <c r="F70" s="82">
        <f>SUM(F56:F69)/13</f>
        <v>1084401865.7984614</v>
      </c>
      <c r="G70" s="47"/>
      <c r="H70" s="82">
        <f>SUM(H56:H69)/13</f>
        <v>932481992.90153813</v>
      </c>
      <c r="I70" s="79"/>
      <c r="J70" s="82">
        <f>SUM(J56:J69)/13</f>
        <v>154148239.98692307</v>
      </c>
      <c r="K70" s="80"/>
      <c r="L70" s="82">
        <f>SUM(L56:L69)/13</f>
        <v>206006635.74692309</v>
      </c>
      <c r="M70" s="81"/>
      <c r="N70" s="82">
        <f>SUM(N56:N69)/13</f>
        <v>2889592811.0153852</v>
      </c>
    </row>
    <row r="71" spans="1:14" ht="12.75" thickTop="1">
      <c r="D71" s="85"/>
      <c r="F71" s="87"/>
    </row>
    <row r="72" spans="1:14">
      <c r="D72" s="85"/>
      <c r="F72" s="87"/>
    </row>
    <row r="73" spans="1:14">
      <c r="D73" s="85"/>
    </row>
    <row r="74" spans="1:14">
      <c r="D74" s="85"/>
    </row>
    <row r="75" spans="1:14">
      <c r="D75" s="85"/>
    </row>
    <row r="76" spans="1:14">
      <c r="D76" s="85"/>
    </row>
    <row r="77" spans="1:14">
      <c r="D77" s="85"/>
    </row>
    <row r="78" spans="1:14">
      <c r="D78" s="85"/>
    </row>
    <row r="79" spans="1:14">
      <c r="D79" s="85"/>
    </row>
    <row r="80" spans="1:14">
      <c r="A80" s="187"/>
      <c r="D80" s="85"/>
    </row>
    <row r="81" spans="4:4">
      <c r="D81" s="85"/>
    </row>
    <row r="82" spans="4:4">
      <c r="D82" s="85"/>
    </row>
    <row r="83" spans="4:4">
      <c r="D83" s="85"/>
    </row>
    <row r="84" spans="4:4">
      <c r="D84" s="85"/>
    </row>
    <row r="85" spans="4:4">
      <c r="D85" s="85"/>
    </row>
    <row r="86" spans="4:4">
      <c r="D86" s="85"/>
    </row>
    <row r="87" spans="4:4">
      <c r="D87" s="85"/>
    </row>
    <row r="88" spans="4:4">
      <c r="D88" s="85"/>
    </row>
    <row r="89" spans="4:4">
      <c r="D89" s="85"/>
    </row>
    <row r="90" spans="4:4">
      <c r="D90" s="85"/>
    </row>
    <row r="91" spans="4:4">
      <c r="D91" s="85"/>
    </row>
  </sheetData>
  <phoneticPr fontId="10" type="noConversion"/>
  <pageMargins left="0.5" right="0.25" top="0.5" bottom="0.25" header="0.75" footer="0.5"/>
  <pageSetup scale="64" orientation="portrait" r:id="rId1"/>
  <headerFooter alignWithMargins="0">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00FFCC"/>
    <pageSetUpPr autoPageBreaks="0" fitToPage="1"/>
  </sheetPr>
  <dimension ref="A1:Q91"/>
  <sheetViews>
    <sheetView showGridLines="0" topLeftCell="A28" zoomScaleNormal="75" workbookViewId="0">
      <selection activeCell="P73" sqref="P73"/>
    </sheetView>
  </sheetViews>
  <sheetFormatPr defaultColWidth="14.44140625" defaultRowHeight="12"/>
  <cols>
    <col min="1" max="1" width="4.77734375" style="51" customWidth="1"/>
    <col min="2" max="2" width="2.77734375" style="49" customWidth="1"/>
    <col min="3" max="3" width="23.77734375" style="49" customWidth="1"/>
    <col min="4" max="4" width="14.33203125" style="49" customWidth="1"/>
    <col min="5" max="5" width="0.88671875" style="49" customWidth="1"/>
    <col min="6" max="6" width="14.33203125" style="49" customWidth="1"/>
    <col min="7" max="7" width="0.88671875" style="49" customWidth="1"/>
    <col min="8" max="8" width="14.33203125" style="49" customWidth="1"/>
    <col min="9" max="9" width="0.88671875" style="49" customWidth="1"/>
    <col min="10" max="10" width="14.33203125" style="49" customWidth="1"/>
    <col min="11" max="11" width="0.88671875" style="49" customWidth="1"/>
    <col min="12" max="12" width="14.33203125" style="49" customWidth="1"/>
    <col min="13" max="13" width="0.77734375" style="49" customWidth="1"/>
    <col min="14" max="14" width="14.77734375" style="49" customWidth="1"/>
    <col min="15" max="16384" width="14.44140625" style="49"/>
  </cols>
  <sheetData>
    <row r="1" spans="1:14">
      <c r="A1" s="6" t="s">
        <v>855</v>
      </c>
      <c r="B1" s="47"/>
      <c r="C1" s="47"/>
      <c r="D1" s="47"/>
      <c r="E1" s="47"/>
      <c r="F1" s="47"/>
      <c r="G1" s="47"/>
      <c r="H1" s="47"/>
      <c r="I1" s="47"/>
      <c r="J1" s="47"/>
      <c r="K1" s="47"/>
      <c r="L1" s="47"/>
      <c r="M1" s="47"/>
      <c r="N1" s="48" t="str">
        <f>Cover!C1</f>
        <v>2018 Workpapers</v>
      </c>
    </row>
    <row r="2" spans="1:14">
      <c r="A2" s="6" t="s">
        <v>860</v>
      </c>
      <c r="B2" s="47"/>
      <c r="C2" s="47"/>
      <c r="D2" s="47"/>
      <c r="E2" s="47"/>
      <c r="F2" s="47"/>
      <c r="G2" s="47"/>
      <c r="H2" s="47"/>
      <c r="I2" s="47"/>
      <c r="J2" s="47"/>
      <c r="K2" s="47"/>
      <c r="L2" s="47"/>
      <c r="M2" s="47"/>
      <c r="N2" s="50"/>
    </row>
    <row r="3" spans="1:14">
      <c r="A3" s="6" t="s">
        <v>1109</v>
      </c>
      <c r="B3" s="47"/>
      <c r="C3" s="47"/>
      <c r="D3" s="47"/>
      <c r="E3" s="47"/>
      <c r="F3" s="47"/>
      <c r="G3" s="47"/>
      <c r="H3" s="900"/>
      <c r="I3" s="47"/>
      <c r="J3" s="47"/>
      <c r="K3" s="47"/>
      <c r="L3" s="47"/>
      <c r="M3" s="47"/>
    </row>
    <row r="4" spans="1:14">
      <c r="A4" s="418"/>
      <c r="H4" s="1013"/>
    </row>
    <row r="5" spans="1:14">
      <c r="B5" s="52"/>
      <c r="D5" s="182"/>
    </row>
    <row r="6" spans="1:14">
      <c r="B6" s="52"/>
    </row>
    <row r="7" spans="1:14">
      <c r="A7" s="19"/>
      <c r="B7" s="19"/>
      <c r="C7" s="19"/>
      <c r="E7" s="53"/>
      <c r="I7" s="54"/>
      <c r="K7" s="54"/>
      <c r="L7" s="54"/>
      <c r="M7" s="54"/>
      <c r="N7" s="55" t="s">
        <v>30</v>
      </c>
    </row>
    <row r="8" spans="1:14">
      <c r="D8" s="55"/>
      <c r="E8" s="53"/>
      <c r="I8" s="54"/>
      <c r="K8" s="54"/>
      <c r="L8" s="54"/>
      <c r="M8" s="54"/>
      <c r="N8" s="55" t="s">
        <v>861</v>
      </c>
    </row>
    <row r="9" spans="1:14">
      <c r="A9" s="51" t="s">
        <v>46</v>
      </c>
      <c r="D9" s="54"/>
      <c r="E9" s="53"/>
      <c r="H9" s="56"/>
      <c r="J9" s="57" t="s">
        <v>89</v>
      </c>
      <c r="L9" s="57" t="s">
        <v>23</v>
      </c>
      <c r="N9" s="55" t="s">
        <v>6</v>
      </c>
    </row>
    <row r="10" spans="1:14">
      <c r="A10" s="58" t="s">
        <v>22</v>
      </c>
      <c r="D10" s="54" t="s">
        <v>4</v>
      </c>
      <c r="F10" s="54" t="s">
        <v>24</v>
      </c>
      <c r="H10" s="54" t="s">
        <v>25</v>
      </c>
      <c r="J10" s="54" t="s">
        <v>57</v>
      </c>
      <c r="L10" s="59" t="s">
        <v>857</v>
      </c>
      <c r="M10" s="55"/>
      <c r="N10" s="59" t="s">
        <v>7</v>
      </c>
    </row>
    <row r="11" spans="1:14">
      <c r="A11" s="60" t="s">
        <v>27</v>
      </c>
      <c r="B11" s="61" t="s">
        <v>856</v>
      </c>
      <c r="C11" s="62"/>
      <c r="D11" s="63"/>
      <c r="F11" s="63"/>
      <c r="H11" s="63"/>
      <c r="J11" s="63"/>
      <c r="N11" s="63"/>
    </row>
    <row r="12" spans="1:14">
      <c r="A12" s="64">
        <f t="shared" ref="A12:A43" si="0">+A11+1</f>
        <v>2</v>
      </c>
      <c r="C12" s="65" t="s">
        <v>997</v>
      </c>
      <c r="D12" s="66">
        <f t="shared" ref="D12:D23" si="1">+D34+D56</f>
        <v>4289805137.0900016</v>
      </c>
      <c r="E12" s="67"/>
      <c r="F12" s="66">
        <f t="shared" ref="F12:L12" si="2">+F34+F56</f>
        <v>1145293093.6100004</v>
      </c>
      <c r="G12" s="66">
        <f t="shared" si="2"/>
        <v>0</v>
      </c>
      <c r="H12" s="66">
        <f t="shared" si="2"/>
        <v>2008737597.3100007</v>
      </c>
      <c r="I12" s="66">
        <f t="shared" si="2"/>
        <v>0</v>
      </c>
      <c r="J12" s="66">
        <f t="shared" si="2"/>
        <v>453665733.79190713</v>
      </c>
      <c r="K12" s="66">
        <f t="shared" si="2"/>
        <v>0</v>
      </c>
      <c r="L12" s="66">
        <f t="shared" si="2"/>
        <v>402833598.80383182</v>
      </c>
      <c r="M12" s="68"/>
      <c r="N12" s="66">
        <f t="shared" ref="N12:N24" si="3">SUM(D12:L12)</f>
        <v>8300335160.6057415</v>
      </c>
    </row>
    <row r="13" spans="1:14">
      <c r="A13" s="64">
        <f t="shared" si="0"/>
        <v>3</v>
      </c>
      <c r="C13" s="65" t="s">
        <v>1110</v>
      </c>
      <c r="D13" s="69">
        <f t="shared" si="1"/>
        <v>4318033638.1999941</v>
      </c>
      <c r="E13" s="67"/>
      <c r="F13" s="69">
        <f t="shared" ref="F13:L13" si="4">+F35+F57</f>
        <v>1152486946.3699994</v>
      </c>
      <c r="G13" s="69">
        <f t="shared" si="4"/>
        <v>0</v>
      </c>
      <c r="H13" s="69">
        <f t="shared" si="4"/>
        <v>2016915681.9599998</v>
      </c>
      <c r="I13" s="69">
        <f t="shared" si="4"/>
        <v>0</v>
      </c>
      <c r="J13" s="69">
        <f t="shared" si="4"/>
        <v>460793986.11172837</v>
      </c>
      <c r="K13" s="69">
        <f t="shared" si="4"/>
        <v>0</v>
      </c>
      <c r="L13" s="69">
        <f t="shared" si="4"/>
        <v>409042546.80184042</v>
      </c>
      <c r="M13" s="70"/>
      <c r="N13" s="71">
        <f t="shared" si="3"/>
        <v>8357272799.4435635</v>
      </c>
    </row>
    <row r="14" spans="1:14">
      <c r="A14" s="64">
        <f t="shared" si="0"/>
        <v>4</v>
      </c>
      <c r="C14" s="65" t="s">
        <v>47</v>
      </c>
      <c r="D14" s="69">
        <f t="shared" si="1"/>
        <v>4345903384.0099945</v>
      </c>
      <c r="E14" s="67"/>
      <c r="F14" s="69">
        <f t="shared" ref="F14:L14" si="5">+F36+F58</f>
        <v>1159727782.1499996</v>
      </c>
      <c r="G14" s="69">
        <f t="shared" si="5"/>
        <v>0</v>
      </c>
      <c r="H14" s="69">
        <f t="shared" si="5"/>
        <v>2025069433.5399997</v>
      </c>
      <c r="I14" s="69">
        <f t="shared" si="5"/>
        <v>0</v>
      </c>
      <c r="J14" s="69">
        <f t="shared" si="5"/>
        <v>467953146.13154876</v>
      </c>
      <c r="K14" s="69">
        <f t="shared" si="5"/>
        <v>0</v>
      </c>
      <c r="L14" s="69">
        <f t="shared" si="5"/>
        <v>415274217.33495104</v>
      </c>
      <c r="M14" s="70"/>
      <c r="N14" s="71">
        <f t="shared" si="3"/>
        <v>8413927963.1664944</v>
      </c>
    </row>
    <row r="15" spans="1:14">
      <c r="A15" s="64">
        <f t="shared" si="0"/>
        <v>5</v>
      </c>
      <c r="C15" s="65" t="s">
        <v>48</v>
      </c>
      <c r="D15" s="69">
        <f t="shared" si="1"/>
        <v>4374005479.8699989</v>
      </c>
      <c r="E15" s="67"/>
      <c r="F15" s="69">
        <f t="shared" ref="F15:L15" si="6">+F37+F59</f>
        <v>1166904269.4699998</v>
      </c>
      <c r="G15" s="69">
        <f t="shared" si="6"/>
        <v>0</v>
      </c>
      <c r="H15" s="69">
        <f t="shared" si="6"/>
        <v>2033237055.26</v>
      </c>
      <c r="I15" s="69">
        <f t="shared" si="6"/>
        <v>0</v>
      </c>
      <c r="J15" s="69">
        <f t="shared" si="6"/>
        <v>475132344.7913661</v>
      </c>
      <c r="K15" s="69">
        <f t="shared" si="6"/>
        <v>0</v>
      </c>
      <c r="L15" s="69">
        <f t="shared" si="6"/>
        <v>421596418.93389082</v>
      </c>
      <c r="M15" s="70"/>
      <c r="N15" s="71">
        <f t="shared" si="3"/>
        <v>8470875568.3252563</v>
      </c>
    </row>
    <row r="16" spans="1:14">
      <c r="A16" s="64">
        <f t="shared" si="0"/>
        <v>6</v>
      </c>
      <c r="C16" s="65" t="s">
        <v>49</v>
      </c>
      <c r="D16" s="69">
        <f t="shared" si="1"/>
        <v>4401640805.0499973</v>
      </c>
      <c r="E16" s="67"/>
      <c r="F16" s="69">
        <f t="shared" ref="F16:L16" si="7">+F38+F60</f>
        <v>1174162849.5499983</v>
      </c>
      <c r="G16" s="69">
        <f t="shared" si="7"/>
        <v>0</v>
      </c>
      <c r="H16" s="69">
        <f t="shared" si="7"/>
        <v>2041322434.5900006</v>
      </c>
      <c r="I16" s="69">
        <f t="shared" si="7"/>
        <v>0</v>
      </c>
      <c r="J16" s="69">
        <f t="shared" si="7"/>
        <v>482319084.89117831</v>
      </c>
      <c r="K16" s="69">
        <f t="shared" si="7"/>
        <v>0</v>
      </c>
      <c r="L16" s="69">
        <f t="shared" si="7"/>
        <v>427929342.06408042</v>
      </c>
      <c r="M16" s="70"/>
      <c r="N16" s="71">
        <f t="shared" si="3"/>
        <v>8527374516.1452551</v>
      </c>
    </row>
    <row r="17" spans="1:17">
      <c r="A17" s="64">
        <f t="shared" si="0"/>
        <v>7</v>
      </c>
      <c r="C17" s="65" t="s">
        <v>21</v>
      </c>
      <c r="D17" s="69">
        <f t="shared" si="1"/>
        <v>4429474300.8200026</v>
      </c>
      <c r="E17" s="67"/>
      <c r="F17" s="69">
        <f t="shared" ref="F17:L17" si="8">+F39+F61</f>
        <v>1181448573.4700029</v>
      </c>
      <c r="G17" s="69">
        <f t="shared" si="8"/>
        <v>0</v>
      </c>
      <c r="H17" s="69">
        <f t="shared" si="8"/>
        <v>2049317043.4799998</v>
      </c>
      <c r="I17" s="69">
        <f t="shared" si="8"/>
        <v>0</v>
      </c>
      <c r="J17" s="69">
        <f t="shared" si="8"/>
        <v>489542005.06098783</v>
      </c>
      <c r="K17" s="69">
        <f t="shared" si="8"/>
        <v>0</v>
      </c>
      <c r="L17" s="69">
        <f t="shared" si="8"/>
        <v>434247673.99809951</v>
      </c>
      <c r="M17" s="70"/>
      <c r="N17" s="71">
        <f t="shared" si="3"/>
        <v>8584029596.829092</v>
      </c>
    </row>
    <row r="18" spans="1:17">
      <c r="A18" s="64">
        <f t="shared" si="0"/>
        <v>8</v>
      </c>
      <c r="C18" s="65" t="s">
        <v>50</v>
      </c>
      <c r="D18" s="69">
        <f t="shared" si="1"/>
        <v>4457590402.6499987</v>
      </c>
      <c r="E18" s="67"/>
      <c r="F18" s="69">
        <f t="shared" ref="F18:L18" si="9">+F40+F62</f>
        <v>1188680556.819999</v>
      </c>
      <c r="G18" s="69">
        <f t="shared" si="9"/>
        <v>0</v>
      </c>
      <c r="H18" s="69">
        <f t="shared" si="9"/>
        <v>2057062887.8399992</v>
      </c>
      <c r="I18" s="69">
        <f t="shared" si="9"/>
        <v>0</v>
      </c>
      <c r="J18" s="69">
        <f t="shared" si="9"/>
        <v>496770400.44080031</v>
      </c>
      <c r="K18" s="69">
        <f t="shared" si="9"/>
        <v>0</v>
      </c>
      <c r="L18" s="69">
        <f t="shared" si="9"/>
        <v>440703854.08955878</v>
      </c>
      <c r="M18" s="70"/>
      <c r="N18" s="71">
        <f t="shared" si="3"/>
        <v>8640808101.8403568</v>
      </c>
    </row>
    <row r="19" spans="1:17">
      <c r="A19" s="64">
        <f t="shared" si="0"/>
        <v>9</v>
      </c>
      <c r="C19" s="65" t="s">
        <v>51</v>
      </c>
      <c r="D19" s="69">
        <f t="shared" si="1"/>
        <v>4486141458.6499968</v>
      </c>
      <c r="E19" s="67"/>
      <c r="F19" s="69">
        <f t="shared" ref="F19:L19" si="10">+F41+F63</f>
        <v>1195990768.6200001</v>
      </c>
      <c r="G19" s="69">
        <f t="shared" si="10"/>
        <v>0</v>
      </c>
      <c r="H19" s="69">
        <f t="shared" si="10"/>
        <v>2065187782.8399997</v>
      </c>
      <c r="I19" s="69">
        <f t="shared" si="10"/>
        <v>0</v>
      </c>
      <c r="J19" s="69">
        <f t="shared" si="10"/>
        <v>504017921.630602</v>
      </c>
      <c r="K19" s="69">
        <f t="shared" si="10"/>
        <v>0</v>
      </c>
      <c r="L19" s="69">
        <f t="shared" si="10"/>
        <v>447251706.05665046</v>
      </c>
      <c r="M19" s="70"/>
      <c r="N19" s="71">
        <f t="shared" si="3"/>
        <v>8698589637.7972488</v>
      </c>
    </row>
    <row r="20" spans="1:17">
      <c r="A20" s="64">
        <f t="shared" si="0"/>
        <v>10</v>
      </c>
      <c r="C20" s="65" t="s">
        <v>52</v>
      </c>
      <c r="D20" s="69">
        <f t="shared" si="1"/>
        <v>4515263896.8699999</v>
      </c>
      <c r="E20" s="67"/>
      <c r="F20" s="69">
        <f t="shared" ref="F20:L20" si="11">+F42+F64</f>
        <v>1203303719.7199979</v>
      </c>
      <c r="G20" s="69">
        <f t="shared" si="11"/>
        <v>0</v>
      </c>
      <c r="H20" s="69">
        <f t="shared" si="11"/>
        <v>2072569731.1999998</v>
      </c>
      <c r="I20" s="69">
        <f t="shared" si="11"/>
        <v>0</v>
      </c>
      <c r="J20" s="69">
        <f t="shared" si="11"/>
        <v>511281086.14039904</v>
      </c>
      <c r="K20" s="69">
        <f t="shared" si="11"/>
        <v>0</v>
      </c>
      <c r="L20" s="69">
        <f t="shared" si="11"/>
        <v>453885337.09248376</v>
      </c>
      <c r="M20" s="70"/>
      <c r="N20" s="71">
        <f t="shared" si="3"/>
        <v>8756303771.0228806</v>
      </c>
    </row>
    <row r="21" spans="1:17">
      <c r="A21" s="64">
        <f t="shared" si="0"/>
        <v>11</v>
      </c>
      <c r="C21" s="65" t="s">
        <v>53</v>
      </c>
      <c r="D21" s="69">
        <f t="shared" si="1"/>
        <v>4541398375.0499992</v>
      </c>
      <c r="E21" s="67"/>
      <c r="F21" s="69">
        <f t="shared" ref="F21:L21" si="12">+F43+F65</f>
        <v>1210536410.0000005</v>
      </c>
      <c r="G21" s="69">
        <f t="shared" si="12"/>
        <v>0</v>
      </c>
      <c r="H21" s="69">
        <f t="shared" si="12"/>
        <v>2080277014.3099999</v>
      </c>
      <c r="I21" s="69">
        <f t="shared" si="12"/>
        <v>0</v>
      </c>
      <c r="J21" s="69">
        <f t="shared" si="12"/>
        <v>518589692.67018807</v>
      </c>
      <c r="K21" s="69">
        <f t="shared" si="12"/>
        <v>0</v>
      </c>
      <c r="L21" s="69">
        <f t="shared" si="12"/>
        <v>460583657.7305609</v>
      </c>
      <c r="M21" s="70"/>
      <c r="N21" s="71">
        <f t="shared" si="3"/>
        <v>8811385149.7607479</v>
      </c>
    </row>
    <row r="22" spans="1:17">
      <c r="A22" s="64">
        <f t="shared" si="0"/>
        <v>12</v>
      </c>
      <c r="C22" s="65" t="s">
        <v>54</v>
      </c>
      <c r="D22" s="69">
        <f t="shared" si="1"/>
        <v>4569728704.499999</v>
      </c>
      <c r="E22" s="67"/>
      <c r="F22" s="69">
        <f t="shared" ref="F22:L22" si="13">+F44+F66</f>
        <v>1217808300.9900017</v>
      </c>
      <c r="G22" s="69">
        <f t="shared" si="13"/>
        <v>0</v>
      </c>
      <c r="H22" s="69">
        <f t="shared" si="13"/>
        <v>2087909612.8000002</v>
      </c>
      <c r="I22" s="69">
        <f t="shared" si="13"/>
        <v>0</v>
      </c>
      <c r="J22" s="69">
        <f t="shared" si="13"/>
        <v>525818621.37997001</v>
      </c>
      <c r="K22" s="69">
        <f t="shared" si="13"/>
        <v>0</v>
      </c>
      <c r="L22" s="69">
        <f t="shared" si="13"/>
        <v>467364783.58975595</v>
      </c>
      <c r="M22" s="70"/>
      <c r="N22" s="71">
        <f t="shared" si="3"/>
        <v>8868630023.2597256</v>
      </c>
    </row>
    <row r="23" spans="1:17">
      <c r="A23" s="64">
        <f t="shared" si="0"/>
        <v>13</v>
      </c>
      <c r="C23" s="65" t="s">
        <v>55</v>
      </c>
      <c r="D23" s="69">
        <f t="shared" si="1"/>
        <v>4600626036.9199963</v>
      </c>
      <c r="E23" s="67"/>
      <c r="F23" s="69">
        <f t="shared" ref="F23:L23" si="14">+F45+F67</f>
        <v>1225134178.819998</v>
      </c>
      <c r="G23" s="69">
        <f t="shared" si="14"/>
        <v>0</v>
      </c>
      <c r="H23" s="69">
        <f t="shared" si="14"/>
        <v>2095787019.5399995</v>
      </c>
      <c r="I23" s="69">
        <f t="shared" si="14"/>
        <v>0</v>
      </c>
      <c r="J23" s="69">
        <f t="shared" si="14"/>
        <v>533020572.42974842</v>
      </c>
      <c r="K23" s="69">
        <f t="shared" si="14"/>
        <v>0</v>
      </c>
      <c r="L23" s="69">
        <f t="shared" si="14"/>
        <v>474181677.25052273</v>
      </c>
      <c r="M23" s="70"/>
      <c r="N23" s="71">
        <f t="shared" si="3"/>
        <v>8928749484.9602642</v>
      </c>
    </row>
    <row r="24" spans="1:17">
      <c r="A24" s="64">
        <f t="shared" si="0"/>
        <v>14</v>
      </c>
      <c r="C24" s="65" t="s">
        <v>1111</v>
      </c>
      <c r="D24" s="69">
        <f t="shared" ref="D24:L24" si="15">+D46+D68</f>
        <v>4632506845.3399992</v>
      </c>
      <c r="E24" s="67"/>
      <c r="F24" s="69">
        <f t="shared" si="15"/>
        <v>1232667633.2399993</v>
      </c>
      <c r="G24" s="69">
        <f t="shared" si="15"/>
        <v>0</v>
      </c>
      <c r="H24" s="69">
        <f t="shared" si="15"/>
        <v>2103609576.7199993</v>
      </c>
      <c r="I24" s="69">
        <f t="shared" si="15"/>
        <v>0</v>
      </c>
      <c r="J24" s="69">
        <f t="shared" si="15"/>
        <v>540319586.15951598</v>
      </c>
      <c r="K24" s="69">
        <f t="shared" si="15"/>
        <v>0</v>
      </c>
      <c r="L24" s="69">
        <f t="shared" si="15"/>
        <v>481229813.35535681</v>
      </c>
      <c r="M24" s="70"/>
      <c r="N24" s="71">
        <f t="shared" si="3"/>
        <v>8990333454.8148708</v>
      </c>
    </row>
    <row r="25" spans="1:17">
      <c r="A25" s="64">
        <f t="shared" si="0"/>
        <v>15</v>
      </c>
      <c r="C25" s="65"/>
      <c r="D25" s="72"/>
      <c r="F25" s="72"/>
      <c r="H25" s="72"/>
      <c r="I25" s="73"/>
      <c r="J25" s="72"/>
      <c r="K25" s="73"/>
      <c r="L25" s="74"/>
      <c r="M25" s="75"/>
      <c r="N25" s="76"/>
    </row>
    <row r="26" spans="1:17" ht="12.75" thickBot="1">
      <c r="A26" s="64">
        <f t="shared" si="0"/>
        <v>16</v>
      </c>
      <c r="C26" s="77" t="s">
        <v>29</v>
      </c>
      <c r="D26" s="78">
        <f>D48+D70</f>
        <v>4458624497.6484613</v>
      </c>
      <c r="F26" s="78">
        <f>F48+F70</f>
        <v>1188780390.6753845</v>
      </c>
      <c r="G26" s="47"/>
      <c r="H26" s="78">
        <f>H48+H70</f>
        <v>2056692528.3199999</v>
      </c>
      <c r="I26" s="79"/>
      <c r="J26" s="78">
        <f>J48+J70</f>
        <v>496863398.28769231</v>
      </c>
      <c r="K26" s="80"/>
      <c r="L26" s="78">
        <f>L48+L70</f>
        <v>441240355.4653846</v>
      </c>
      <c r="M26" s="81"/>
      <c r="N26" s="78">
        <f>N48+N70</f>
        <v>8642201171.3969231</v>
      </c>
    </row>
    <row r="27" spans="1:17" ht="12.75" thickTop="1">
      <c r="A27" s="64">
        <f t="shared" si="0"/>
        <v>17</v>
      </c>
      <c r="D27" s="73"/>
      <c r="F27" s="73"/>
      <c r="H27" s="73"/>
      <c r="I27" s="73"/>
      <c r="J27" s="73"/>
      <c r="K27" s="73"/>
      <c r="L27" s="73"/>
      <c r="M27" s="73"/>
      <c r="N27" s="71"/>
    </row>
    <row r="28" spans="1:17">
      <c r="A28" s="64">
        <f t="shared" si="0"/>
        <v>18</v>
      </c>
      <c r="D28" s="73"/>
      <c r="E28" s="73"/>
      <c r="F28" s="73"/>
      <c r="G28" s="73"/>
      <c r="H28" s="73"/>
      <c r="I28" s="73"/>
      <c r="J28" s="73"/>
      <c r="K28" s="73"/>
      <c r="L28" s="73"/>
      <c r="M28" s="73"/>
      <c r="N28" s="73"/>
    </row>
    <row r="29" spans="1:17">
      <c r="A29" s="64">
        <f t="shared" si="0"/>
        <v>19</v>
      </c>
      <c r="E29" s="53"/>
      <c r="I29" s="54"/>
      <c r="K29" s="54"/>
      <c r="L29" s="54"/>
      <c r="M29" s="54"/>
      <c r="N29" s="55" t="s">
        <v>30</v>
      </c>
    </row>
    <row r="30" spans="1:17">
      <c r="A30" s="64">
        <f t="shared" si="0"/>
        <v>20</v>
      </c>
      <c r="D30" s="55"/>
      <c r="E30" s="53"/>
      <c r="I30" s="54"/>
      <c r="K30" s="54"/>
      <c r="L30" s="54"/>
      <c r="M30" s="54"/>
      <c r="N30" s="55" t="s">
        <v>861</v>
      </c>
    </row>
    <row r="31" spans="1:17">
      <c r="A31" s="64">
        <f t="shared" si="0"/>
        <v>21</v>
      </c>
      <c r="D31" s="54"/>
      <c r="E31" s="53"/>
      <c r="H31" s="56"/>
      <c r="J31" s="57" t="s">
        <v>89</v>
      </c>
      <c r="L31" s="57" t="s">
        <v>23</v>
      </c>
      <c r="N31" s="55" t="s">
        <v>6</v>
      </c>
    </row>
    <row r="32" spans="1:17">
      <c r="A32" s="64">
        <f t="shared" si="0"/>
        <v>22</v>
      </c>
      <c r="C32" s="19"/>
      <c r="D32" s="54" t="s">
        <v>4</v>
      </c>
      <c r="F32" s="54" t="s">
        <v>24</v>
      </c>
      <c r="H32" s="54" t="s">
        <v>25</v>
      </c>
      <c r="J32" s="54" t="s">
        <v>57</v>
      </c>
      <c r="L32" s="59" t="s">
        <v>857</v>
      </c>
      <c r="M32" s="55"/>
      <c r="N32" s="59" t="s">
        <v>7</v>
      </c>
      <c r="P32" s="388"/>
      <c r="Q32" s="388"/>
    </row>
    <row r="33" spans="1:15">
      <c r="A33" s="64">
        <f t="shared" si="0"/>
        <v>23</v>
      </c>
      <c r="B33" s="180" t="s">
        <v>110</v>
      </c>
      <c r="C33" s="181"/>
      <c r="D33" s="83"/>
      <c r="F33" s="63"/>
      <c r="H33" s="63"/>
      <c r="J33" s="63"/>
      <c r="N33" s="83"/>
    </row>
    <row r="34" spans="1:15">
      <c r="A34" s="64">
        <f t="shared" si="0"/>
        <v>24</v>
      </c>
      <c r="C34" s="65" t="s">
        <v>997</v>
      </c>
      <c r="D34" s="1091">
        <v>3954352506.1200013</v>
      </c>
      <c r="E34" s="141"/>
      <c r="F34" s="1091">
        <v>864856743.15000045</v>
      </c>
      <c r="G34" s="141"/>
      <c r="H34" s="1091">
        <v>1575170665.1100008</v>
      </c>
      <c r="I34" s="141"/>
      <c r="J34" s="1091">
        <v>389758251.4519071</v>
      </c>
      <c r="K34" s="151"/>
      <c r="L34" s="1091">
        <v>334366878.04383183</v>
      </c>
      <c r="M34" s="68"/>
      <c r="N34" s="66">
        <f t="shared" ref="N34:N46" si="16">SUM(D34:L34)</f>
        <v>7118505043.875741</v>
      </c>
      <c r="O34" s="371"/>
    </row>
    <row r="35" spans="1:15">
      <c r="A35" s="64">
        <f t="shared" si="0"/>
        <v>25</v>
      </c>
      <c r="C35" s="65" t="s">
        <v>1110</v>
      </c>
      <c r="D35" s="1091">
        <v>3981218613.8099947</v>
      </c>
      <c r="E35" s="141"/>
      <c r="F35" s="1091">
        <v>869909101.88999927</v>
      </c>
      <c r="G35" s="141"/>
      <c r="H35" s="1091">
        <v>1581325264.4099998</v>
      </c>
      <c r="I35" s="141"/>
      <c r="J35" s="1091">
        <v>395768698.17172837</v>
      </c>
      <c r="K35" s="151"/>
      <c r="L35" s="1091">
        <v>339470931.51184046</v>
      </c>
      <c r="M35" s="70"/>
      <c r="N35" s="71">
        <f t="shared" si="16"/>
        <v>7167692609.7935629</v>
      </c>
      <c r="O35" s="371"/>
    </row>
    <row r="36" spans="1:15">
      <c r="A36" s="64">
        <f t="shared" si="0"/>
        <v>26</v>
      </c>
      <c r="C36" s="65" t="s">
        <v>47</v>
      </c>
      <c r="D36" s="1091">
        <v>4007729030.0099945</v>
      </c>
      <c r="E36" s="141"/>
      <c r="F36" s="1091">
        <v>874982911.68999958</v>
      </c>
      <c r="G36" s="141"/>
      <c r="H36" s="1091">
        <v>1587472261.9199998</v>
      </c>
      <c r="I36" s="141"/>
      <c r="J36" s="1091">
        <v>401806992.76154876</v>
      </c>
      <c r="K36" s="151"/>
      <c r="L36" s="1091">
        <v>344600190.39495105</v>
      </c>
      <c r="M36" s="70"/>
      <c r="N36" s="71">
        <f t="shared" si="16"/>
        <v>7216591386.776494</v>
      </c>
      <c r="O36" s="371"/>
    </row>
    <row r="37" spans="1:15">
      <c r="A37" s="64">
        <f t="shared" si="0"/>
        <v>27</v>
      </c>
      <c r="C37" s="65" t="s">
        <v>48</v>
      </c>
      <c r="D37" s="1091">
        <v>4034495211.499999</v>
      </c>
      <c r="E37" s="141"/>
      <c r="F37" s="1091">
        <v>880062964.02999997</v>
      </c>
      <c r="G37" s="141"/>
      <c r="H37" s="1091">
        <v>1593650612.8299999</v>
      </c>
      <c r="I37" s="141"/>
      <c r="J37" s="1091">
        <v>407861315.14136612</v>
      </c>
      <c r="K37" s="151"/>
      <c r="L37" s="1091">
        <v>349801754.84389085</v>
      </c>
      <c r="M37" s="70"/>
      <c r="N37" s="71">
        <f t="shared" si="16"/>
        <v>7265871858.3452559</v>
      </c>
      <c r="O37" s="371"/>
    </row>
    <row r="38" spans="1:15">
      <c r="A38" s="64">
        <f t="shared" si="0"/>
        <v>28</v>
      </c>
      <c r="C38" s="65" t="s">
        <v>49</v>
      </c>
      <c r="D38" s="1091">
        <v>4060818730.6599975</v>
      </c>
      <c r="E38" s="141"/>
      <c r="F38" s="1091">
        <v>885151735.81999874</v>
      </c>
      <c r="G38" s="141"/>
      <c r="H38" s="1091">
        <v>1599778420.8600006</v>
      </c>
      <c r="I38" s="141"/>
      <c r="J38" s="1091">
        <v>413925196.00117832</v>
      </c>
      <c r="K38" s="151"/>
      <c r="L38" s="1091">
        <v>354992088.26408041</v>
      </c>
      <c r="M38" s="70"/>
      <c r="N38" s="71">
        <f t="shared" si="16"/>
        <v>7314666171.6052551</v>
      </c>
      <c r="O38" s="371"/>
    </row>
    <row r="39" spans="1:15">
      <c r="A39" s="64">
        <f t="shared" si="0"/>
        <v>29</v>
      </c>
      <c r="C39" s="65" t="s">
        <v>21</v>
      </c>
      <c r="D39" s="1091">
        <v>4087308419.4900026</v>
      </c>
      <c r="E39" s="141"/>
      <c r="F39" s="1091">
        <v>890250315.47000325</v>
      </c>
      <c r="G39" s="141"/>
      <c r="H39" s="1091">
        <v>1605785347.3899999</v>
      </c>
      <c r="I39" s="141"/>
      <c r="J39" s="1091">
        <v>420006331.0909878</v>
      </c>
      <c r="K39" s="151"/>
      <c r="L39" s="1091">
        <v>360165194.65809953</v>
      </c>
      <c r="M39" s="70"/>
      <c r="N39" s="71">
        <f t="shared" si="16"/>
        <v>7363515608.0990934</v>
      </c>
      <c r="O39" s="371"/>
    </row>
    <row r="40" spans="1:15">
      <c r="A40" s="64">
        <f t="shared" si="0"/>
        <v>30</v>
      </c>
      <c r="C40" s="65" t="s">
        <v>50</v>
      </c>
      <c r="D40" s="1091">
        <v>4114119290.6199989</v>
      </c>
      <c r="E40" s="141"/>
      <c r="F40" s="1091">
        <v>895366068.30999875</v>
      </c>
      <c r="G40" s="141"/>
      <c r="H40" s="1091">
        <v>1611519267.7299993</v>
      </c>
      <c r="I40" s="141"/>
      <c r="J40" s="1091">
        <v>426091743.60080028</v>
      </c>
      <c r="K40" s="151"/>
      <c r="L40" s="1091">
        <v>365437644.70955873</v>
      </c>
      <c r="M40" s="70"/>
      <c r="N40" s="71">
        <f t="shared" si="16"/>
        <v>7412534014.970356</v>
      </c>
      <c r="O40" s="371"/>
    </row>
    <row r="41" spans="1:15">
      <c r="A41" s="64">
        <f t="shared" si="0"/>
        <v>31</v>
      </c>
      <c r="C41" s="65" t="s">
        <v>51</v>
      </c>
      <c r="D41" s="1091">
        <v>4141437885.389997</v>
      </c>
      <c r="E41" s="141"/>
      <c r="F41" s="1091">
        <v>900498928.95999968</v>
      </c>
      <c r="G41" s="141"/>
      <c r="H41" s="1091">
        <v>1617587657.0599997</v>
      </c>
      <c r="I41" s="141"/>
      <c r="J41" s="1091">
        <v>432192546.12060195</v>
      </c>
      <c r="K41" s="151"/>
      <c r="L41" s="1091">
        <v>370782549.66665047</v>
      </c>
      <c r="M41" s="70"/>
      <c r="N41" s="71">
        <f t="shared" si="16"/>
        <v>7462499567.1972485</v>
      </c>
      <c r="O41" s="371"/>
    </row>
    <row r="42" spans="1:15">
      <c r="A42" s="64">
        <f t="shared" si="0"/>
        <v>32</v>
      </c>
      <c r="C42" s="65" t="s">
        <v>52</v>
      </c>
      <c r="D42" s="1091">
        <v>4169222676.2799997</v>
      </c>
      <c r="E42" s="141"/>
      <c r="F42" s="1091">
        <v>905617176.1999979</v>
      </c>
      <c r="G42" s="141"/>
      <c r="H42" s="1091">
        <v>1623070217.47</v>
      </c>
      <c r="I42" s="141"/>
      <c r="J42" s="1091">
        <v>438304222.39039904</v>
      </c>
      <c r="K42" s="151"/>
      <c r="L42" s="1091">
        <v>376197741.87248379</v>
      </c>
      <c r="M42" s="70"/>
      <c r="N42" s="71">
        <f t="shared" si="16"/>
        <v>7512412034.2128811</v>
      </c>
      <c r="O42" s="371"/>
    </row>
    <row r="43" spans="1:15">
      <c r="A43" s="64">
        <f t="shared" si="0"/>
        <v>33</v>
      </c>
      <c r="C43" s="65" t="s">
        <v>53</v>
      </c>
      <c r="D43" s="1091">
        <v>4194341203.5699987</v>
      </c>
      <c r="E43" s="141"/>
      <c r="F43" s="1091">
        <v>910744118.28000033</v>
      </c>
      <c r="G43" s="141"/>
      <c r="H43" s="1091">
        <v>1628796772.52</v>
      </c>
      <c r="I43" s="141"/>
      <c r="J43" s="1091">
        <v>444451575.24018806</v>
      </c>
      <c r="K43" s="151"/>
      <c r="L43" s="1091">
        <v>381654562.14056093</v>
      </c>
      <c r="M43" s="70"/>
      <c r="N43" s="71">
        <f t="shared" si="16"/>
        <v>7559988231.7507477</v>
      </c>
      <c r="O43" s="371"/>
    </row>
    <row r="44" spans="1:15">
      <c r="A44" s="64">
        <f t="shared" ref="A44:A70" si="17">+A43+1</f>
        <v>34</v>
      </c>
      <c r="C44" s="65" t="s">
        <v>54</v>
      </c>
      <c r="D44" s="1091">
        <v>4221338821.0999985</v>
      </c>
      <c r="E44" s="141"/>
      <c r="F44" s="1091">
        <v>915860697.75000191</v>
      </c>
      <c r="G44" s="141"/>
      <c r="H44" s="1091">
        <v>1634461334.4300001</v>
      </c>
      <c r="I44" s="141"/>
      <c r="J44" s="1091">
        <v>450515431.56997001</v>
      </c>
      <c r="K44" s="151"/>
      <c r="L44" s="1091">
        <v>387158366.409756</v>
      </c>
      <c r="M44" s="70"/>
      <c r="N44" s="71">
        <f t="shared" si="16"/>
        <v>7609334651.2597265</v>
      </c>
      <c r="O44" s="371"/>
    </row>
    <row r="45" spans="1:15">
      <c r="A45" s="64">
        <f t="shared" si="17"/>
        <v>35</v>
      </c>
      <c r="C45" s="65" t="s">
        <v>55</v>
      </c>
      <c r="D45" s="1091">
        <v>4250766244.4699965</v>
      </c>
      <c r="E45" s="141"/>
      <c r="F45" s="1091">
        <v>921022489.47999847</v>
      </c>
      <c r="G45" s="141"/>
      <c r="H45" s="1091">
        <v>1640303953.7299995</v>
      </c>
      <c r="I45" s="141"/>
      <c r="J45" s="1091">
        <v>456544250.37974846</v>
      </c>
      <c r="K45" s="151"/>
      <c r="L45" s="1091">
        <v>392667908.98052275</v>
      </c>
      <c r="M45" s="70"/>
      <c r="N45" s="71">
        <f t="shared" si="16"/>
        <v>7661304847.040266</v>
      </c>
      <c r="O45" s="371"/>
    </row>
    <row r="46" spans="1:15">
      <c r="A46" s="64">
        <f t="shared" si="17"/>
        <v>36</v>
      </c>
      <c r="C46" s="65" t="s">
        <v>1111</v>
      </c>
      <c r="D46" s="1091">
        <v>4281161552.5699992</v>
      </c>
      <c r="E46" s="141"/>
      <c r="F46" s="1091">
        <v>926237139.01999962</v>
      </c>
      <c r="G46" s="141"/>
      <c r="H46" s="1091">
        <v>1646150596.7699995</v>
      </c>
      <c r="I46" s="141"/>
      <c r="J46" s="1091">
        <v>462661309.96951604</v>
      </c>
      <c r="K46" s="151"/>
      <c r="L46" s="1091">
        <v>398253980.5553568</v>
      </c>
      <c r="M46" s="70"/>
      <c r="N46" s="71">
        <f t="shared" si="16"/>
        <v>7714464578.8848715</v>
      </c>
      <c r="O46" s="371"/>
    </row>
    <row r="47" spans="1:15">
      <c r="A47" s="64">
        <f t="shared" si="17"/>
        <v>37</v>
      </c>
      <c r="C47" s="65"/>
      <c r="D47" s="76"/>
      <c r="F47" s="72"/>
      <c r="H47" s="72"/>
      <c r="I47" s="73"/>
      <c r="J47" s="72"/>
      <c r="K47" s="73"/>
      <c r="L47" s="74"/>
      <c r="M47" s="75"/>
      <c r="N47" s="76"/>
    </row>
    <row r="48" spans="1:15" ht="12.75" thickBot="1">
      <c r="A48" s="64">
        <f t="shared" si="17"/>
        <v>38</v>
      </c>
      <c r="C48" s="77" t="s">
        <v>29</v>
      </c>
      <c r="D48" s="82">
        <f>ROUND(SUM(D34:D47)/13,0)</f>
        <v>4115254630</v>
      </c>
      <c r="F48" s="82">
        <f>ROUND(SUM(F34:F47)/13,0)</f>
        <v>895427722</v>
      </c>
      <c r="G48" s="47"/>
      <c r="H48" s="82">
        <f>ROUND(SUM(H34:H47)/13,0)</f>
        <v>1611159413</v>
      </c>
      <c r="I48" s="79"/>
      <c r="J48" s="82">
        <f>ROUND(SUM(J34:J47)/13,0)</f>
        <v>426145220</v>
      </c>
      <c r="K48" s="80"/>
      <c r="L48" s="82">
        <f>ROUND(SUM(L34:L47)/13,0)</f>
        <v>365811522</v>
      </c>
      <c r="M48" s="81"/>
      <c r="N48" s="82">
        <f>ROUND(SUM(N34:N47)/13,0)</f>
        <v>7413798508</v>
      </c>
      <c r="O48" s="371"/>
    </row>
    <row r="49" spans="1:14" ht="12.75" thickTop="1">
      <c r="A49" s="64">
        <f t="shared" si="17"/>
        <v>39</v>
      </c>
      <c r="C49" s="19"/>
      <c r="D49" s="991"/>
      <c r="E49" s="991"/>
      <c r="F49" s="991"/>
      <c r="G49" s="991"/>
      <c r="H49" s="991"/>
      <c r="I49" s="991"/>
      <c r="J49" s="991"/>
      <c r="K49" s="991"/>
      <c r="L49" s="991"/>
      <c r="M49" s="991"/>
      <c r="N49" s="991"/>
    </row>
    <row r="50" spans="1:14">
      <c r="A50" s="64">
        <f t="shared" si="17"/>
        <v>40</v>
      </c>
      <c r="C50" s="19"/>
      <c r="D50" s="991"/>
      <c r="E50" s="991"/>
      <c r="F50" s="991"/>
      <c r="G50" s="991"/>
      <c r="H50" s="991"/>
      <c r="I50" s="991"/>
      <c r="J50" s="991"/>
      <c r="K50" s="991"/>
      <c r="L50" s="991"/>
      <c r="M50" s="991"/>
      <c r="N50" s="991"/>
    </row>
    <row r="51" spans="1:14">
      <c r="A51" s="64">
        <f t="shared" si="17"/>
        <v>41</v>
      </c>
      <c r="C51" s="19"/>
      <c r="E51" s="53"/>
      <c r="I51" s="54"/>
      <c r="K51" s="54"/>
      <c r="M51" s="54"/>
      <c r="N51" s="55" t="s">
        <v>30</v>
      </c>
    </row>
    <row r="52" spans="1:14">
      <c r="A52" s="64">
        <f t="shared" si="17"/>
        <v>42</v>
      </c>
      <c r="C52" s="19"/>
      <c r="D52" s="55"/>
      <c r="E52" s="53"/>
      <c r="I52" s="54"/>
      <c r="K52" s="54"/>
      <c r="L52" s="54"/>
      <c r="M52" s="54"/>
      <c r="N52" s="55" t="s">
        <v>861</v>
      </c>
    </row>
    <row r="53" spans="1:14">
      <c r="A53" s="64">
        <f t="shared" si="17"/>
        <v>43</v>
      </c>
      <c r="C53" s="19"/>
      <c r="D53" s="54"/>
      <c r="E53" s="53"/>
      <c r="H53" s="56"/>
      <c r="J53" s="57" t="s">
        <v>89</v>
      </c>
      <c r="L53" s="57" t="s">
        <v>23</v>
      </c>
      <c r="N53" s="55" t="s">
        <v>6</v>
      </c>
    </row>
    <row r="54" spans="1:14">
      <c r="A54" s="64">
        <f t="shared" si="17"/>
        <v>44</v>
      </c>
      <c r="C54" s="19"/>
      <c r="D54" s="54" t="s">
        <v>4</v>
      </c>
      <c r="F54" s="54" t="s">
        <v>24</v>
      </c>
      <c r="H54" s="54" t="s">
        <v>25</v>
      </c>
      <c r="J54" s="54" t="s">
        <v>57</v>
      </c>
      <c r="L54" s="59" t="s">
        <v>857</v>
      </c>
      <c r="M54" s="55"/>
      <c r="N54" s="59" t="s">
        <v>7</v>
      </c>
    </row>
    <row r="55" spans="1:14">
      <c r="A55" s="64">
        <f t="shared" si="17"/>
        <v>45</v>
      </c>
      <c r="B55" s="180" t="s">
        <v>111</v>
      </c>
      <c r="C55" s="181"/>
      <c r="D55" s="83"/>
      <c r="F55" s="63"/>
      <c r="H55" s="63"/>
      <c r="J55" s="63"/>
      <c r="N55" s="83"/>
    </row>
    <row r="56" spans="1:14">
      <c r="A56" s="64">
        <f t="shared" si="17"/>
        <v>46</v>
      </c>
      <c r="C56" s="65" t="s">
        <v>997</v>
      </c>
      <c r="D56" s="1091">
        <v>335452630.97000009</v>
      </c>
      <c r="E56" s="141"/>
      <c r="F56" s="1091">
        <v>280436350.45999998</v>
      </c>
      <c r="G56" s="141"/>
      <c r="H56" s="1091">
        <v>433566932.19999981</v>
      </c>
      <c r="I56" s="141"/>
      <c r="J56" s="1091">
        <v>63907482.340000018</v>
      </c>
      <c r="K56" s="151"/>
      <c r="L56" s="1091">
        <v>68466720.759999976</v>
      </c>
      <c r="M56" s="68"/>
      <c r="N56" s="66">
        <f t="shared" ref="N56:N68" si="18">SUM(D56:L56)</f>
        <v>1181830116.7299998</v>
      </c>
    </row>
    <row r="57" spans="1:14">
      <c r="A57" s="64">
        <f t="shared" si="17"/>
        <v>47</v>
      </c>
      <c r="C57" s="65" t="s">
        <v>1110</v>
      </c>
      <c r="D57" s="1091">
        <v>336815024.38999969</v>
      </c>
      <c r="E57" s="141"/>
      <c r="F57" s="1091">
        <v>282577844.48000002</v>
      </c>
      <c r="G57" s="141"/>
      <c r="H57" s="1091">
        <v>435590417.54999989</v>
      </c>
      <c r="I57" s="141"/>
      <c r="J57" s="1091">
        <v>65025287.939999998</v>
      </c>
      <c r="K57" s="151"/>
      <c r="L57" s="1091">
        <v>69571615.289999977</v>
      </c>
      <c r="M57" s="70"/>
      <c r="N57" s="71">
        <f t="shared" si="18"/>
        <v>1189580189.6499996</v>
      </c>
    </row>
    <row r="58" spans="1:14">
      <c r="A58" s="64">
        <f t="shared" si="17"/>
        <v>48</v>
      </c>
      <c r="C58" s="65" t="s">
        <v>47</v>
      </c>
      <c r="D58" s="1091">
        <v>338174353.99999994</v>
      </c>
      <c r="E58" s="141"/>
      <c r="F58" s="1091">
        <v>284744870.45999998</v>
      </c>
      <c r="G58" s="141"/>
      <c r="H58" s="1091">
        <v>437597171.61999989</v>
      </c>
      <c r="I58" s="141"/>
      <c r="J58" s="1091">
        <v>66146153.370000012</v>
      </c>
      <c r="K58" s="151"/>
      <c r="L58" s="1091">
        <v>70674026.939999983</v>
      </c>
      <c r="M58" s="70"/>
      <c r="N58" s="71">
        <f t="shared" si="18"/>
        <v>1197336576.3899999</v>
      </c>
    </row>
    <row r="59" spans="1:14">
      <c r="A59" s="64">
        <f t="shared" si="17"/>
        <v>49</v>
      </c>
      <c r="C59" s="65" t="s">
        <v>48</v>
      </c>
      <c r="D59" s="1091">
        <v>339510268.36999995</v>
      </c>
      <c r="E59" s="141"/>
      <c r="F59" s="1091">
        <v>286841305.43999994</v>
      </c>
      <c r="G59" s="141"/>
      <c r="H59" s="1091">
        <v>439586442.43000001</v>
      </c>
      <c r="I59" s="141"/>
      <c r="J59" s="1091">
        <v>67271029.650000006</v>
      </c>
      <c r="K59" s="151"/>
      <c r="L59" s="1091">
        <v>71794664.089999959</v>
      </c>
      <c r="M59" s="70"/>
      <c r="N59" s="71">
        <f t="shared" si="18"/>
        <v>1205003709.98</v>
      </c>
    </row>
    <row r="60" spans="1:14">
      <c r="A60" s="64">
        <f t="shared" si="17"/>
        <v>50</v>
      </c>
      <c r="C60" s="65" t="s">
        <v>49</v>
      </c>
      <c r="D60" s="1091">
        <v>340822074.38999957</v>
      </c>
      <c r="E60" s="141"/>
      <c r="F60" s="1091">
        <v>289011113.72999966</v>
      </c>
      <c r="G60" s="141"/>
      <c r="H60" s="1091">
        <v>441544013.7299999</v>
      </c>
      <c r="I60" s="141"/>
      <c r="J60" s="1091">
        <v>68393888.890000001</v>
      </c>
      <c r="K60" s="151"/>
      <c r="L60" s="1091">
        <v>72937253.800000012</v>
      </c>
      <c r="M60" s="70"/>
      <c r="N60" s="71">
        <f t="shared" si="18"/>
        <v>1212708344.539999</v>
      </c>
    </row>
    <row r="61" spans="1:14">
      <c r="A61" s="64">
        <f t="shared" si="17"/>
        <v>51</v>
      </c>
      <c r="C61" s="65" t="s">
        <v>21</v>
      </c>
      <c r="D61" s="1091">
        <v>342165881.3299998</v>
      </c>
      <c r="E61" s="141"/>
      <c r="F61" s="1091">
        <v>291198257.99999958</v>
      </c>
      <c r="G61" s="141"/>
      <c r="H61" s="1091">
        <v>443531696.08999997</v>
      </c>
      <c r="I61" s="141"/>
      <c r="J61" s="1091">
        <v>69535673.969999999</v>
      </c>
      <c r="K61" s="151"/>
      <c r="L61" s="1091">
        <v>74082479.339999989</v>
      </c>
      <c r="M61" s="70"/>
      <c r="N61" s="71">
        <f t="shared" si="18"/>
        <v>1220513988.7299993</v>
      </c>
    </row>
    <row r="62" spans="1:14">
      <c r="A62" s="64">
        <f t="shared" si="17"/>
        <v>52</v>
      </c>
      <c r="C62" s="65" t="s">
        <v>50</v>
      </c>
      <c r="D62" s="1091">
        <v>343471112.02999973</v>
      </c>
      <c r="E62" s="141"/>
      <c r="F62" s="1091">
        <v>293314488.51000023</v>
      </c>
      <c r="G62" s="141"/>
      <c r="H62" s="1091">
        <v>445543620.10999995</v>
      </c>
      <c r="I62" s="141"/>
      <c r="J62" s="1091">
        <v>70678656.840000004</v>
      </c>
      <c r="K62" s="151"/>
      <c r="L62" s="1091">
        <v>75266209.38000007</v>
      </c>
      <c r="M62" s="70"/>
      <c r="N62" s="71">
        <f t="shared" si="18"/>
        <v>1228274086.8699999</v>
      </c>
    </row>
    <row r="63" spans="1:14">
      <c r="A63" s="64">
        <f t="shared" si="17"/>
        <v>53</v>
      </c>
      <c r="C63" s="65" t="s">
        <v>51</v>
      </c>
      <c r="D63" s="1091">
        <v>344703573.25999981</v>
      </c>
      <c r="E63" s="141"/>
      <c r="F63" s="1091">
        <v>295491839.66000038</v>
      </c>
      <c r="G63" s="141"/>
      <c r="H63" s="1091">
        <v>447600125.78000003</v>
      </c>
      <c r="I63" s="141"/>
      <c r="J63" s="1091">
        <v>71825375.510000035</v>
      </c>
      <c r="K63" s="151"/>
      <c r="L63" s="1091">
        <v>76469156.389999971</v>
      </c>
      <c r="M63" s="70"/>
      <c r="N63" s="71">
        <f t="shared" si="18"/>
        <v>1236090070.6000001</v>
      </c>
    </row>
    <row r="64" spans="1:14">
      <c r="A64" s="64">
        <f t="shared" si="17"/>
        <v>54</v>
      </c>
      <c r="C64" s="65" t="s">
        <v>52</v>
      </c>
      <c r="D64" s="1091">
        <v>346041220.58999985</v>
      </c>
      <c r="E64" s="141"/>
      <c r="F64" s="1091">
        <v>297686543.51999998</v>
      </c>
      <c r="G64" s="141"/>
      <c r="H64" s="1091">
        <v>449499513.7299999</v>
      </c>
      <c r="I64" s="141"/>
      <c r="J64" s="1091">
        <v>72976863.749999985</v>
      </c>
      <c r="K64" s="151"/>
      <c r="L64" s="1091">
        <v>77687595.219999999</v>
      </c>
      <c r="M64" s="70"/>
      <c r="N64" s="71">
        <f t="shared" si="18"/>
        <v>1243891736.8099997</v>
      </c>
    </row>
    <row r="65" spans="1:14">
      <c r="A65" s="64">
        <f t="shared" si="17"/>
        <v>55</v>
      </c>
      <c r="C65" s="65" t="s">
        <v>53</v>
      </c>
      <c r="D65" s="1091">
        <v>347057171.48000002</v>
      </c>
      <c r="E65" s="141"/>
      <c r="F65" s="1091">
        <v>299792291.72000003</v>
      </c>
      <c r="G65" s="141"/>
      <c r="H65" s="1091">
        <v>451480241.78999984</v>
      </c>
      <c r="I65" s="141"/>
      <c r="J65" s="1091">
        <v>74138117.430000007</v>
      </c>
      <c r="K65" s="151"/>
      <c r="L65" s="1091">
        <v>78929095.589999989</v>
      </c>
      <c r="M65" s="70"/>
      <c r="N65" s="71">
        <f t="shared" si="18"/>
        <v>1251396918.0099998</v>
      </c>
    </row>
    <row r="66" spans="1:14">
      <c r="A66" s="64">
        <f t="shared" si="17"/>
        <v>56</v>
      </c>
      <c r="C66" s="65" t="s">
        <v>54</v>
      </c>
      <c r="D66" s="1091">
        <v>348389883.40000033</v>
      </c>
      <c r="E66" s="141"/>
      <c r="F66" s="1091">
        <v>301947603.23999977</v>
      </c>
      <c r="G66" s="141"/>
      <c r="H66" s="1091">
        <v>453448278.37000012</v>
      </c>
      <c r="I66" s="141"/>
      <c r="J66" s="1091">
        <v>75303189.809999987</v>
      </c>
      <c r="K66" s="151"/>
      <c r="L66" s="1091">
        <v>80206417.179999962</v>
      </c>
      <c r="M66" s="70"/>
      <c r="N66" s="71">
        <f t="shared" si="18"/>
        <v>1259295372.0000002</v>
      </c>
    </row>
    <row r="67" spans="1:14">
      <c r="A67" s="64">
        <f t="shared" si="17"/>
        <v>57</v>
      </c>
      <c r="C67" s="65" t="s">
        <v>55</v>
      </c>
      <c r="D67" s="1091">
        <v>349859792.45000017</v>
      </c>
      <c r="E67" s="141"/>
      <c r="F67" s="1091">
        <v>304111689.33999956</v>
      </c>
      <c r="G67" s="141"/>
      <c r="H67" s="1091">
        <v>455483065.80999994</v>
      </c>
      <c r="I67" s="141"/>
      <c r="J67" s="1091">
        <v>76476322.049999967</v>
      </c>
      <c r="K67" s="151"/>
      <c r="L67" s="1091">
        <v>81513768.269999996</v>
      </c>
      <c r="M67" s="70"/>
      <c r="N67" s="71">
        <f t="shared" si="18"/>
        <v>1267444637.9199996</v>
      </c>
    </row>
    <row r="68" spans="1:14">
      <c r="A68" s="64">
        <f t="shared" si="17"/>
        <v>58</v>
      </c>
      <c r="C68" s="65" t="s">
        <v>1111</v>
      </c>
      <c r="D68" s="1091">
        <v>351345292.76999974</v>
      </c>
      <c r="E68" s="141"/>
      <c r="F68" s="1091">
        <v>306430494.21999961</v>
      </c>
      <c r="G68" s="141"/>
      <c r="H68" s="1091">
        <v>457458979.94999993</v>
      </c>
      <c r="I68" s="141"/>
      <c r="J68" s="1091">
        <v>77658276.189999983</v>
      </c>
      <c r="K68" s="151"/>
      <c r="L68" s="1091">
        <v>82975832.799999982</v>
      </c>
      <c r="M68" s="70"/>
      <c r="N68" s="71">
        <f t="shared" si="18"/>
        <v>1275868875.9299991</v>
      </c>
    </row>
    <row r="69" spans="1:14">
      <c r="A69" s="64">
        <f t="shared" si="17"/>
        <v>59</v>
      </c>
      <c r="C69" s="65"/>
      <c r="D69" s="76"/>
      <c r="F69" s="72"/>
      <c r="H69" s="72"/>
      <c r="I69" s="73"/>
      <c r="J69" s="72"/>
      <c r="K69" s="73"/>
      <c r="L69" s="74"/>
      <c r="M69" s="75"/>
      <c r="N69" s="76"/>
    </row>
    <row r="70" spans="1:14" ht="12.75" thickBot="1">
      <c r="A70" s="64">
        <f t="shared" si="17"/>
        <v>60</v>
      </c>
      <c r="C70" s="77" t="s">
        <v>29</v>
      </c>
      <c r="D70" s="82">
        <f>SUM(D56:D69)/13</f>
        <v>343369867.6484614</v>
      </c>
      <c r="F70" s="82">
        <f>SUM(F56:F69)/13</f>
        <v>293352668.67538452</v>
      </c>
      <c r="G70" s="47"/>
      <c r="H70" s="82">
        <f>SUM(H56:H69)/13</f>
        <v>445533115.31999993</v>
      </c>
      <c r="I70" s="79"/>
      <c r="J70" s="82">
        <f>SUM(J56:J69)/13</f>
        <v>70718178.287692294</v>
      </c>
      <c r="K70" s="80"/>
      <c r="L70" s="82">
        <f>SUM(L56:L69)/13</f>
        <v>75428833.465384603</v>
      </c>
      <c r="M70" s="81"/>
      <c r="N70" s="82">
        <f>SUM(N56:N69)/13</f>
        <v>1228402663.3969228</v>
      </c>
    </row>
    <row r="71" spans="1:14" ht="12.75" thickTop="1">
      <c r="D71" s="85"/>
    </row>
    <row r="72" spans="1:14">
      <c r="D72" s="85"/>
    </row>
    <row r="73" spans="1:14">
      <c r="D73" s="85"/>
    </row>
    <row r="74" spans="1:14">
      <c r="D74" s="85"/>
    </row>
    <row r="75" spans="1:14">
      <c r="D75" s="85"/>
    </row>
    <row r="76" spans="1:14">
      <c r="D76" s="85"/>
    </row>
    <row r="77" spans="1:14">
      <c r="D77" s="85"/>
    </row>
    <row r="78" spans="1:14">
      <c r="D78" s="85"/>
    </row>
    <row r="79" spans="1:14">
      <c r="D79" s="85"/>
    </row>
    <row r="80" spans="1:14">
      <c r="A80" s="187"/>
      <c r="D80" s="85"/>
    </row>
    <row r="81" spans="4:4">
      <c r="D81" s="85"/>
    </row>
    <row r="82" spans="4:4">
      <c r="D82" s="85"/>
    </row>
    <row r="83" spans="4:4">
      <c r="D83" s="85"/>
    </row>
    <row r="84" spans="4:4">
      <c r="D84" s="85"/>
    </row>
    <row r="85" spans="4:4">
      <c r="D85" s="85"/>
    </row>
    <row r="86" spans="4:4">
      <c r="D86" s="85"/>
    </row>
    <row r="87" spans="4:4">
      <c r="D87" s="85"/>
    </row>
    <row r="88" spans="4:4">
      <c r="D88" s="85"/>
    </row>
    <row r="89" spans="4:4">
      <c r="D89" s="85"/>
    </row>
    <row r="90" spans="4:4">
      <c r="D90" s="85"/>
    </row>
    <row r="91" spans="4:4">
      <c r="D91" s="85"/>
    </row>
  </sheetData>
  <phoneticPr fontId="10" type="noConversion"/>
  <pageMargins left="0.5" right="0.25" top="0.5" bottom="0.25" header="0.75" footer="0.5"/>
  <pageSetup scale="67" orientation="portrait" r:id="rId1"/>
  <headerFooter alignWithMargins="0">
    <oddFooter>&amp;CPage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00FFCC"/>
    <pageSetUpPr autoPageBreaks="0" fitToPage="1"/>
  </sheetPr>
  <dimension ref="A1:R86"/>
  <sheetViews>
    <sheetView showGridLines="0" zoomScaleNormal="75" workbookViewId="0">
      <selection activeCell="Q17" sqref="Q17"/>
    </sheetView>
  </sheetViews>
  <sheetFormatPr defaultColWidth="14.44140625" defaultRowHeight="12"/>
  <cols>
    <col min="1" max="1" width="4.77734375" style="51" customWidth="1"/>
    <col min="2" max="2" width="2.77734375" style="49" customWidth="1"/>
    <col min="3" max="3" width="36.88671875" style="49" customWidth="1"/>
    <col min="4" max="4" width="16.33203125" style="49" hidden="1" customWidth="1"/>
    <col min="5" max="5" width="0.88671875" style="49" customWidth="1"/>
    <col min="6" max="6" width="14.33203125" style="49" hidden="1" customWidth="1"/>
    <col min="7" max="7" width="0.88671875" style="49" customWidth="1"/>
    <col min="8" max="8" width="18.21875" style="49" customWidth="1"/>
    <col min="9" max="9" width="0.88671875" style="49" customWidth="1"/>
    <col min="10" max="10" width="0.6640625" style="49" customWidth="1"/>
    <col min="11" max="11" width="0" style="49" hidden="1" customWidth="1"/>
    <col min="12" max="12" width="0.77734375" style="49" hidden="1" customWidth="1"/>
    <col min="13" max="13" width="0" style="49" hidden="1" customWidth="1"/>
    <col min="14" max="14" width="0.6640625" style="49" customWidth="1"/>
    <col min="15" max="15" width="15.77734375" style="49" customWidth="1"/>
    <col min="16" max="16" width="1" style="49" customWidth="1"/>
    <col min="17" max="17" width="15.77734375" style="49" customWidth="1"/>
    <col min="18" max="18" width="5.77734375" style="49" customWidth="1"/>
    <col min="19" max="16384" width="14.44140625" style="49"/>
  </cols>
  <sheetData>
    <row r="1" spans="1:18">
      <c r="A1" s="6" t="s">
        <v>855</v>
      </c>
      <c r="B1" s="47"/>
      <c r="C1" s="47"/>
      <c r="D1" s="47"/>
      <c r="E1" s="47"/>
      <c r="F1" s="47"/>
      <c r="G1" s="47"/>
      <c r="H1" s="47"/>
      <c r="I1" s="47"/>
      <c r="R1" s="48" t="str">
        <f>Cover!C1</f>
        <v>2018 Workpapers</v>
      </c>
    </row>
    <row r="2" spans="1:18">
      <c r="A2" s="6" t="s">
        <v>72</v>
      </c>
      <c r="B2" s="47"/>
      <c r="C2" s="47"/>
      <c r="D2" s="47"/>
      <c r="E2" s="47"/>
      <c r="F2" s="47"/>
      <c r="G2" s="47"/>
      <c r="H2" s="47"/>
      <c r="I2" s="47"/>
      <c r="Q2" s="50"/>
    </row>
    <row r="3" spans="1:18">
      <c r="A3" s="6" t="s">
        <v>1109</v>
      </c>
      <c r="B3" s="47"/>
      <c r="C3" s="47"/>
      <c r="D3" s="47"/>
      <c r="E3" s="47"/>
      <c r="F3" s="47"/>
      <c r="G3" s="47"/>
      <c r="H3" s="47"/>
      <c r="I3" s="47"/>
    </row>
    <row r="4" spans="1:18">
      <c r="A4" s="418"/>
      <c r="B4" s="52"/>
      <c r="C4" s="87"/>
    </row>
    <row r="5" spans="1:18">
      <c r="B5" s="52"/>
      <c r="D5" s="182"/>
    </row>
    <row r="6" spans="1:18">
      <c r="B6" s="52"/>
    </row>
    <row r="7" spans="1:18">
      <c r="A7" s="51" t="s">
        <v>46</v>
      </c>
      <c r="B7" s="52"/>
    </row>
    <row r="8" spans="1:18">
      <c r="A8" s="58" t="s">
        <v>22</v>
      </c>
      <c r="B8" s="131" t="s">
        <v>77</v>
      </c>
      <c r="C8" s="62"/>
    </row>
    <row r="9" spans="1:18">
      <c r="A9" s="60" t="s">
        <v>27</v>
      </c>
      <c r="B9" s="132"/>
      <c r="C9" s="921" t="s">
        <v>78</v>
      </c>
      <c r="D9" s="922"/>
      <c r="E9" s="922"/>
      <c r="F9" s="922"/>
      <c r="G9" s="922"/>
      <c r="H9" s="922"/>
      <c r="I9" s="922"/>
      <c r="J9" s="922"/>
      <c r="K9" s="922"/>
      <c r="L9" s="922"/>
      <c r="M9" s="922"/>
      <c r="N9" s="922"/>
      <c r="O9" s="922"/>
      <c r="P9" s="922"/>
      <c r="Q9" s="922"/>
      <c r="R9" s="922"/>
    </row>
    <row r="10" spans="1:18">
      <c r="A10" s="133">
        <f t="shared" ref="A10:A41" si="0">+A9+1</f>
        <v>2</v>
      </c>
      <c r="B10" s="134"/>
      <c r="C10" s="921" t="s">
        <v>79</v>
      </c>
      <c r="D10" s="922"/>
      <c r="E10" s="922"/>
      <c r="F10" s="922"/>
      <c r="G10" s="922"/>
      <c r="H10" s="922"/>
      <c r="I10" s="922"/>
      <c r="J10" s="922"/>
      <c r="K10" s="922"/>
      <c r="L10" s="922"/>
      <c r="M10" s="922"/>
      <c r="N10" s="922"/>
      <c r="O10" s="922"/>
      <c r="P10" s="922"/>
      <c r="Q10" s="922"/>
      <c r="R10" s="922"/>
    </row>
    <row r="11" spans="1:18">
      <c r="A11" s="133">
        <f t="shared" si="0"/>
        <v>3</v>
      </c>
      <c r="B11" s="134"/>
      <c r="C11" s="921" t="s">
        <v>80</v>
      </c>
      <c r="D11" s="922"/>
      <c r="E11" s="922"/>
      <c r="F11" s="922"/>
      <c r="G11" s="922"/>
      <c r="H11" s="922"/>
      <c r="I11" s="922"/>
      <c r="J11" s="922"/>
      <c r="K11" s="922"/>
      <c r="L11" s="922"/>
      <c r="M11" s="922"/>
      <c r="N11" s="922"/>
      <c r="O11" s="922"/>
      <c r="P11" s="922"/>
      <c r="Q11" s="922"/>
      <c r="R11" s="922"/>
    </row>
    <row r="12" spans="1:18">
      <c r="A12" s="133">
        <f t="shared" si="0"/>
        <v>4</v>
      </c>
      <c r="B12" s="134"/>
      <c r="C12" s="921" t="s">
        <v>81</v>
      </c>
      <c r="D12" s="922"/>
      <c r="E12" s="922"/>
      <c r="F12" s="922"/>
      <c r="G12" s="922"/>
      <c r="H12" s="922"/>
      <c r="I12" s="922"/>
      <c r="J12" s="922"/>
      <c r="K12" s="922"/>
      <c r="L12" s="922"/>
      <c r="M12" s="922"/>
      <c r="N12" s="922"/>
      <c r="O12" s="922"/>
      <c r="P12" s="922"/>
      <c r="Q12" s="922"/>
      <c r="R12" s="922"/>
    </row>
    <row r="13" spans="1:18">
      <c r="A13" s="133">
        <f t="shared" si="0"/>
        <v>5</v>
      </c>
    </row>
    <row r="14" spans="1:18">
      <c r="A14" s="133">
        <f t="shared" si="0"/>
        <v>6</v>
      </c>
      <c r="D14" s="53"/>
      <c r="E14" s="53"/>
      <c r="F14" s="55"/>
    </row>
    <row r="15" spans="1:18">
      <c r="A15" s="133">
        <f t="shared" si="0"/>
        <v>7</v>
      </c>
      <c r="B15" s="134"/>
      <c r="C15" s="53"/>
      <c r="E15" s="53"/>
      <c r="F15" s="55"/>
      <c r="H15" s="135" t="s">
        <v>76</v>
      </c>
      <c r="Q15" s="388" t="s">
        <v>1132</v>
      </c>
    </row>
    <row r="16" spans="1:18">
      <c r="A16" s="133">
        <f t="shared" si="0"/>
        <v>8</v>
      </c>
      <c r="B16" s="52"/>
      <c r="C16" s="49" t="s">
        <v>82</v>
      </c>
      <c r="E16" s="349"/>
      <c r="F16" s="348"/>
      <c r="G16" s="136"/>
      <c r="H16" s="351" t="s">
        <v>103</v>
      </c>
      <c r="Q16" s="388" t="s">
        <v>1133</v>
      </c>
    </row>
    <row r="17" spans="1:17">
      <c r="A17" s="133">
        <f t="shared" si="0"/>
        <v>9</v>
      </c>
      <c r="B17" s="52"/>
      <c r="C17" s="49" t="s">
        <v>83</v>
      </c>
      <c r="E17" s="349"/>
      <c r="F17" s="350"/>
      <c r="G17" s="136"/>
      <c r="H17" s="352" t="s">
        <v>199</v>
      </c>
    </row>
    <row r="18" spans="1:17">
      <c r="A18" s="133">
        <f t="shared" si="0"/>
        <v>10</v>
      </c>
    </row>
    <row r="19" spans="1:17">
      <c r="A19" s="133">
        <f t="shared" si="0"/>
        <v>11</v>
      </c>
      <c r="B19" s="19"/>
      <c r="C19" s="19"/>
      <c r="D19" s="53"/>
      <c r="E19" s="53"/>
      <c r="F19" s="53"/>
      <c r="G19" s="55"/>
      <c r="H19" s="53"/>
      <c r="I19" s="55"/>
    </row>
    <row r="20" spans="1:17">
      <c r="A20" s="133">
        <f t="shared" si="0"/>
        <v>12</v>
      </c>
      <c r="D20" s="1203"/>
      <c r="E20" s="1203"/>
      <c r="F20" s="1203"/>
      <c r="G20" s="1203"/>
      <c r="H20" s="1203"/>
      <c r="I20" s="1203"/>
      <c r="K20" s="1202" t="s">
        <v>84</v>
      </c>
      <c r="L20" s="1202"/>
      <c r="M20" s="1202"/>
      <c r="N20" s="1202"/>
      <c r="O20" s="1202"/>
      <c r="P20" s="1202"/>
      <c r="Q20" s="1202"/>
    </row>
    <row r="21" spans="1:17">
      <c r="A21" s="133">
        <f t="shared" si="0"/>
        <v>13</v>
      </c>
      <c r="D21" s="53"/>
      <c r="E21" s="53"/>
      <c r="F21" s="55"/>
      <c r="G21" s="53"/>
      <c r="H21" s="53"/>
      <c r="I21" s="53"/>
      <c r="M21" s="54" t="s">
        <v>73</v>
      </c>
      <c r="Q21" s="55" t="s">
        <v>30</v>
      </c>
    </row>
    <row r="22" spans="1:17">
      <c r="A22" s="133">
        <f t="shared" si="0"/>
        <v>14</v>
      </c>
      <c r="D22" s="55"/>
      <c r="E22" s="53"/>
      <c r="F22" s="55"/>
      <c r="G22" s="53"/>
      <c r="H22" s="55"/>
      <c r="I22" s="53"/>
      <c r="K22" s="54" t="s">
        <v>74</v>
      </c>
      <c r="M22" s="54" t="s">
        <v>75</v>
      </c>
      <c r="O22" s="54" t="s">
        <v>76</v>
      </c>
      <c r="Q22" s="59" t="s">
        <v>85</v>
      </c>
    </row>
    <row r="23" spans="1:17">
      <c r="A23" s="133">
        <f t="shared" si="0"/>
        <v>15</v>
      </c>
      <c r="B23" s="61" t="s">
        <v>856</v>
      </c>
      <c r="C23" s="62"/>
      <c r="D23" s="53"/>
      <c r="E23" s="53"/>
      <c r="F23" s="53"/>
      <c r="G23" s="53"/>
      <c r="H23" s="53"/>
      <c r="I23" s="53"/>
      <c r="K23" s="63"/>
      <c r="M23" s="63"/>
      <c r="O23" s="63"/>
      <c r="Q23" s="63"/>
    </row>
    <row r="24" spans="1:17">
      <c r="A24" s="133">
        <f t="shared" si="0"/>
        <v>16</v>
      </c>
      <c r="C24" s="65" t="s">
        <v>997</v>
      </c>
      <c r="D24" s="916"/>
      <c r="E24" s="916"/>
      <c r="F24" s="916"/>
      <c r="G24" s="916"/>
      <c r="H24" s="916"/>
      <c r="I24" s="916"/>
      <c r="K24" s="66">
        <f t="shared" ref="K24:O36" si="1">+K46+K68</f>
        <v>0</v>
      </c>
      <c r="L24" s="66">
        <f t="shared" si="1"/>
        <v>0</v>
      </c>
      <c r="M24" s="66">
        <f t="shared" si="1"/>
        <v>0</v>
      </c>
      <c r="N24" s="66">
        <f t="shared" si="1"/>
        <v>0</v>
      </c>
      <c r="O24" s="66">
        <f t="shared" si="1"/>
        <v>0</v>
      </c>
      <c r="P24" s="66"/>
      <c r="Q24" s="66">
        <f t="shared" ref="Q24:Q36" si="2">SUM(K24:P24)</f>
        <v>0</v>
      </c>
    </row>
    <row r="25" spans="1:17">
      <c r="A25" s="133">
        <f t="shared" si="0"/>
        <v>17</v>
      </c>
      <c r="C25" s="65" t="s">
        <v>1110</v>
      </c>
      <c r="D25" s="69"/>
      <c r="E25" s="69"/>
      <c r="F25" s="69"/>
      <c r="G25" s="69"/>
      <c r="H25" s="69"/>
      <c r="I25" s="69"/>
      <c r="K25" s="69">
        <f t="shared" si="1"/>
        <v>0</v>
      </c>
      <c r="L25" s="69">
        <f t="shared" si="1"/>
        <v>0</v>
      </c>
      <c r="M25" s="69">
        <f t="shared" si="1"/>
        <v>0</v>
      </c>
      <c r="N25" s="69">
        <f t="shared" si="1"/>
        <v>0</v>
      </c>
      <c r="O25" s="69">
        <f t="shared" si="1"/>
        <v>0</v>
      </c>
      <c r="P25" s="69"/>
      <c r="Q25" s="71">
        <f t="shared" si="2"/>
        <v>0</v>
      </c>
    </row>
    <row r="26" spans="1:17">
      <c r="A26" s="133">
        <f t="shared" si="0"/>
        <v>18</v>
      </c>
      <c r="C26" s="65" t="s">
        <v>47</v>
      </c>
      <c r="D26" s="69"/>
      <c r="E26" s="69"/>
      <c r="F26" s="69"/>
      <c r="G26" s="69"/>
      <c r="H26" s="69"/>
      <c r="I26" s="69"/>
      <c r="K26" s="69">
        <f t="shared" si="1"/>
        <v>0</v>
      </c>
      <c r="L26" s="69">
        <f t="shared" si="1"/>
        <v>0</v>
      </c>
      <c r="M26" s="69">
        <f t="shared" si="1"/>
        <v>0</v>
      </c>
      <c r="N26" s="69">
        <f t="shared" si="1"/>
        <v>0</v>
      </c>
      <c r="O26" s="69">
        <f t="shared" si="1"/>
        <v>0</v>
      </c>
      <c r="P26" s="69"/>
      <c r="Q26" s="71">
        <f t="shared" si="2"/>
        <v>0</v>
      </c>
    </row>
    <row r="27" spans="1:17">
      <c r="A27" s="133">
        <f t="shared" si="0"/>
        <v>19</v>
      </c>
      <c r="C27" s="65" t="s">
        <v>48</v>
      </c>
      <c r="D27" s="69"/>
      <c r="E27" s="69"/>
      <c r="F27" s="69"/>
      <c r="G27" s="69"/>
      <c r="H27" s="69"/>
      <c r="I27" s="69"/>
      <c r="K27" s="69">
        <f t="shared" si="1"/>
        <v>0</v>
      </c>
      <c r="L27" s="69">
        <f t="shared" si="1"/>
        <v>0</v>
      </c>
      <c r="M27" s="69">
        <f t="shared" si="1"/>
        <v>0</v>
      </c>
      <c r="N27" s="69">
        <f t="shared" si="1"/>
        <v>0</v>
      </c>
      <c r="O27" s="69">
        <f t="shared" si="1"/>
        <v>0</v>
      </c>
      <c r="P27" s="69"/>
      <c r="Q27" s="71">
        <f t="shared" si="2"/>
        <v>0</v>
      </c>
    </row>
    <row r="28" spans="1:17">
      <c r="A28" s="133">
        <f t="shared" si="0"/>
        <v>20</v>
      </c>
      <c r="C28" s="65" t="s">
        <v>49</v>
      </c>
      <c r="D28" s="69"/>
      <c r="E28" s="69"/>
      <c r="F28" s="69"/>
      <c r="G28" s="69"/>
      <c r="H28" s="69"/>
      <c r="I28" s="69"/>
      <c r="K28" s="69">
        <f t="shared" si="1"/>
        <v>0</v>
      </c>
      <c r="L28" s="69">
        <f t="shared" si="1"/>
        <v>0</v>
      </c>
      <c r="M28" s="69">
        <f t="shared" si="1"/>
        <v>0</v>
      </c>
      <c r="N28" s="69">
        <f t="shared" si="1"/>
        <v>0</v>
      </c>
      <c r="O28" s="69">
        <f t="shared" si="1"/>
        <v>0</v>
      </c>
      <c r="P28" s="69"/>
      <c r="Q28" s="71">
        <f t="shared" si="2"/>
        <v>0</v>
      </c>
    </row>
    <row r="29" spans="1:17">
      <c r="A29" s="133">
        <f t="shared" si="0"/>
        <v>21</v>
      </c>
      <c r="C29" s="65" t="s">
        <v>21</v>
      </c>
      <c r="D29" s="69"/>
      <c r="E29" s="69"/>
      <c r="F29" s="69"/>
      <c r="G29" s="69"/>
      <c r="H29" s="69"/>
      <c r="I29" s="69"/>
      <c r="K29" s="69">
        <f t="shared" si="1"/>
        <v>0</v>
      </c>
      <c r="L29" s="69">
        <f t="shared" si="1"/>
        <v>0</v>
      </c>
      <c r="M29" s="69">
        <f t="shared" si="1"/>
        <v>0</v>
      </c>
      <c r="N29" s="69">
        <f t="shared" si="1"/>
        <v>0</v>
      </c>
      <c r="O29" s="69">
        <f t="shared" si="1"/>
        <v>0</v>
      </c>
      <c r="P29" s="69"/>
      <c r="Q29" s="71">
        <f t="shared" si="2"/>
        <v>0</v>
      </c>
    </row>
    <row r="30" spans="1:17">
      <c r="A30" s="133">
        <f t="shared" si="0"/>
        <v>22</v>
      </c>
      <c r="C30" s="65" t="s">
        <v>50</v>
      </c>
      <c r="D30" s="69"/>
      <c r="E30" s="69"/>
      <c r="F30" s="69"/>
      <c r="G30" s="69"/>
      <c r="H30" s="69"/>
      <c r="I30" s="69"/>
      <c r="K30" s="69">
        <f t="shared" si="1"/>
        <v>0</v>
      </c>
      <c r="L30" s="69">
        <f t="shared" si="1"/>
        <v>0</v>
      </c>
      <c r="M30" s="69">
        <f t="shared" si="1"/>
        <v>0</v>
      </c>
      <c r="N30" s="69">
        <f t="shared" si="1"/>
        <v>0</v>
      </c>
      <c r="O30" s="69">
        <f t="shared" si="1"/>
        <v>0</v>
      </c>
      <c r="P30" s="69"/>
      <c r="Q30" s="71">
        <f t="shared" si="2"/>
        <v>0</v>
      </c>
    </row>
    <row r="31" spans="1:17">
      <c r="A31" s="133">
        <f t="shared" si="0"/>
        <v>23</v>
      </c>
      <c r="C31" s="65" t="s">
        <v>51</v>
      </c>
      <c r="D31" s="69"/>
      <c r="E31" s="69"/>
      <c r="F31" s="69"/>
      <c r="G31" s="69"/>
      <c r="H31" s="69"/>
      <c r="I31" s="69"/>
      <c r="K31" s="69">
        <f t="shared" si="1"/>
        <v>0</v>
      </c>
      <c r="L31" s="69">
        <f t="shared" si="1"/>
        <v>0</v>
      </c>
      <c r="M31" s="69">
        <f t="shared" si="1"/>
        <v>0</v>
      </c>
      <c r="N31" s="69">
        <f t="shared" si="1"/>
        <v>0</v>
      </c>
      <c r="O31" s="69">
        <f t="shared" si="1"/>
        <v>0</v>
      </c>
      <c r="P31" s="69"/>
      <c r="Q31" s="71">
        <f t="shared" si="2"/>
        <v>0</v>
      </c>
    </row>
    <row r="32" spans="1:17">
      <c r="A32" s="133">
        <f t="shared" si="0"/>
        <v>24</v>
      </c>
      <c r="C32" s="65" t="s">
        <v>52</v>
      </c>
      <c r="D32" s="69"/>
      <c r="E32" s="69"/>
      <c r="F32" s="69"/>
      <c r="G32" s="69"/>
      <c r="H32" s="69"/>
      <c r="I32" s="69"/>
      <c r="K32" s="69">
        <f t="shared" si="1"/>
        <v>0</v>
      </c>
      <c r="L32" s="69">
        <f t="shared" si="1"/>
        <v>0</v>
      </c>
      <c r="M32" s="69">
        <f t="shared" si="1"/>
        <v>0</v>
      </c>
      <c r="N32" s="69">
        <f t="shared" si="1"/>
        <v>0</v>
      </c>
      <c r="O32" s="69">
        <f t="shared" si="1"/>
        <v>0</v>
      </c>
      <c r="P32" s="69"/>
      <c r="Q32" s="71">
        <f t="shared" si="2"/>
        <v>0</v>
      </c>
    </row>
    <row r="33" spans="1:17">
      <c r="A33" s="133">
        <f t="shared" si="0"/>
        <v>25</v>
      </c>
      <c r="C33" s="65" t="s">
        <v>53</v>
      </c>
      <c r="D33" s="69"/>
      <c r="E33" s="69"/>
      <c r="F33" s="69"/>
      <c r="G33" s="69"/>
      <c r="H33" s="188"/>
      <c r="I33" s="188"/>
      <c r="K33" s="188">
        <f t="shared" si="1"/>
        <v>0</v>
      </c>
      <c r="L33" s="188">
        <f t="shared" si="1"/>
        <v>0</v>
      </c>
      <c r="M33" s="188">
        <f t="shared" si="1"/>
        <v>0</v>
      </c>
      <c r="N33" s="188">
        <f t="shared" si="1"/>
        <v>0</v>
      </c>
      <c r="O33" s="188">
        <f t="shared" si="1"/>
        <v>0</v>
      </c>
      <c r="P33" s="188"/>
      <c r="Q33" s="71">
        <f t="shared" si="2"/>
        <v>0</v>
      </c>
    </row>
    <row r="34" spans="1:17">
      <c r="A34" s="133">
        <f t="shared" si="0"/>
        <v>26</v>
      </c>
      <c r="C34" s="65" t="s">
        <v>54</v>
      </c>
      <c r="D34" s="69"/>
      <c r="E34" s="69"/>
      <c r="F34" s="69"/>
      <c r="G34" s="69"/>
      <c r="H34" s="188"/>
      <c r="I34" s="188"/>
      <c r="K34" s="188">
        <f t="shared" si="1"/>
        <v>0</v>
      </c>
      <c r="L34" s="188">
        <f t="shared" si="1"/>
        <v>0</v>
      </c>
      <c r="M34" s="188">
        <f t="shared" si="1"/>
        <v>0</v>
      </c>
      <c r="N34" s="188">
        <f t="shared" si="1"/>
        <v>0</v>
      </c>
      <c r="O34" s="188">
        <f t="shared" si="1"/>
        <v>0</v>
      </c>
      <c r="P34" s="188"/>
      <c r="Q34" s="71">
        <f t="shared" si="2"/>
        <v>0</v>
      </c>
    </row>
    <row r="35" spans="1:17">
      <c r="A35" s="133">
        <f t="shared" si="0"/>
        <v>27</v>
      </c>
      <c r="C35" s="65" t="s">
        <v>55</v>
      </c>
      <c r="D35" s="69"/>
      <c r="E35" s="69"/>
      <c r="F35" s="69"/>
      <c r="G35" s="69"/>
      <c r="H35" s="188"/>
      <c r="I35" s="188"/>
      <c r="K35" s="188">
        <f t="shared" si="1"/>
        <v>0</v>
      </c>
      <c r="L35" s="188">
        <f t="shared" si="1"/>
        <v>0</v>
      </c>
      <c r="M35" s="188">
        <f t="shared" si="1"/>
        <v>0</v>
      </c>
      <c r="N35" s="188">
        <f t="shared" si="1"/>
        <v>0</v>
      </c>
      <c r="O35" s="188">
        <f t="shared" si="1"/>
        <v>0</v>
      </c>
      <c r="P35" s="188"/>
      <c r="Q35" s="71">
        <f t="shared" si="2"/>
        <v>0</v>
      </c>
    </row>
    <row r="36" spans="1:17">
      <c r="A36" s="133">
        <f t="shared" si="0"/>
        <v>28</v>
      </c>
      <c r="C36" s="65" t="s">
        <v>1111</v>
      </c>
      <c r="D36" s="69"/>
      <c r="E36" s="69"/>
      <c r="F36" s="69"/>
      <c r="G36" s="69"/>
      <c r="H36" s="188"/>
      <c r="I36" s="188"/>
      <c r="K36" s="188">
        <f t="shared" si="1"/>
        <v>0</v>
      </c>
      <c r="L36" s="188">
        <f t="shared" si="1"/>
        <v>0</v>
      </c>
      <c r="M36" s="188">
        <f t="shared" si="1"/>
        <v>0</v>
      </c>
      <c r="N36" s="188">
        <f t="shared" si="1"/>
        <v>0</v>
      </c>
      <c r="O36" s="188">
        <f t="shared" si="1"/>
        <v>0</v>
      </c>
      <c r="P36" s="188"/>
      <c r="Q36" s="71">
        <f t="shared" si="2"/>
        <v>0</v>
      </c>
    </row>
    <row r="37" spans="1:17">
      <c r="A37" s="133">
        <f t="shared" si="0"/>
        <v>29</v>
      </c>
      <c r="C37" s="65"/>
      <c r="D37" s="118"/>
      <c r="E37" s="53"/>
      <c r="F37" s="118"/>
      <c r="G37" s="118"/>
      <c r="H37" s="118"/>
      <c r="I37" s="118"/>
      <c r="K37" s="72"/>
      <c r="M37" s="72"/>
      <c r="N37" s="73"/>
      <c r="O37" s="72"/>
      <c r="P37" s="73"/>
      <c r="Q37" s="76"/>
    </row>
    <row r="38" spans="1:17" ht="12.75" thickBot="1">
      <c r="A38" s="133">
        <f t="shared" si="0"/>
        <v>30</v>
      </c>
      <c r="C38" s="77" t="s">
        <v>29</v>
      </c>
      <c r="D38" s="120"/>
      <c r="E38" s="126"/>
      <c r="F38" s="120"/>
      <c r="G38" s="127"/>
      <c r="H38" s="120"/>
      <c r="I38" s="125"/>
      <c r="K38" s="78">
        <f>SUM(K24:K36)/13</f>
        <v>0</v>
      </c>
      <c r="L38" s="47"/>
      <c r="M38" s="78">
        <f>SUM(M24:M36)/13</f>
        <v>0</v>
      </c>
      <c r="N38" s="79"/>
      <c r="O38" s="78">
        <f>SUM(O24:O36)/13</f>
        <v>0</v>
      </c>
      <c r="P38" s="80"/>
      <c r="Q38" s="82">
        <f>SUM(Q24:Q36)/13</f>
        <v>0</v>
      </c>
    </row>
    <row r="39" spans="1:17" ht="12.75" thickTop="1">
      <c r="A39" s="133">
        <f t="shared" si="0"/>
        <v>31</v>
      </c>
      <c r="D39" s="118"/>
      <c r="E39" s="53"/>
      <c r="F39" s="118"/>
      <c r="G39" s="118"/>
      <c r="H39" s="118"/>
      <c r="I39" s="118"/>
    </row>
    <row r="40" spans="1:17">
      <c r="A40" s="133">
        <f t="shared" si="0"/>
        <v>32</v>
      </c>
      <c r="D40" s="118"/>
      <c r="E40" s="53"/>
      <c r="F40" s="118"/>
      <c r="G40" s="118"/>
      <c r="H40" s="118"/>
      <c r="I40" s="118"/>
    </row>
    <row r="41" spans="1:17">
      <c r="A41" s="133">
        <f t="shared" si="0"/>
        <v>33</v>
      </c>
      <c r="D41" s="53"/>
      <c r="E41" s="53"/>
      <c r="F41" s="53"/>
      <c r="G41" s="55"/>
      <c r="H41" s="53"/>
      <c r="I41" s="55"/>
    </row>
    <row r="42" spans="1:17">
      <c r="A42" s="133">
        <f t="shared" ref="A42:A73" si="3">+A41+1</f>
        <v>34</v>
      </c>
      <c r="D42" s="1203"/>
      <c r="E42" s="1203"/>
      <c r="F42" s="1203"/>
      <c r="G42" s="1203"/>
      <c r="H42" s="1203"/>
      <c r="I42" s="1203"/>
      <c r="K42" s="1202" t="s">
        <v>84</v>
      </c>
      <c r="L42" s="1202"/>
      <c r="M42" s="1202"/>
      <c r="N42" s="1202"/>
      <c r="O42" s="1202"/>
      <c r="P42" s="1202"/>
      <c r="Q42" s="1202"/>
    </row>
    <row r="43" spans="1:17">
      <c r="A43" s="133">
        <f t="shared" si="3"/>
        <v>35</v>
      </c>
      <c r="D43" s="53"/>
      <c r="E43" s="53"/>
      <c r="F43" s="55"/>
      <c r="G43" s="53"/>
      <c r="H43" s="53"/>
      <c r="I43" s="53"/>
      <c r="M43" s="54" t="s">
        <v>73</v>
      </c>
      <c r="Q43" s="55" t="s">
        <v>30</v>
      </c>
    </row>
    <row r="44" spans="1:17">
      <c r="A44" s="133">
        <f t="shared" si="3"/>
        <v>36</v>
      </c>
      <c r="C44" s="19"/>
      <c r="D44" s="55"/>
      <c r="E44" s="53"/>
      <c r="F44" s="55"/>
      <c r="G44" s="53"/>
      <c r="H44" s="55"/>
      <c r="I44" s="53"/>
      <c r="K44" s="135" t="s">
        <v>74</v>
      </c>
      <c r="M44" s="135" t="s">
        <v>75</v>
      </c>
      <c r="O44" s="135" t="s">
        <v>76</v>
      </c>
      <c r="Q44" s="59" t="s">
        <v>85</v>
      </c>
    </row>
    <row r="45" spans="1:17">
      <c r="A45" s="133">
        <f t="shared" si="3"/>
        <v>37</v>
      </c>
      <c r="B45" s="180" t="s">
        <v>858</v>
      </c>
      <c r="C45" s="181"/>
      <c r="D45" s="53"/>
      <c r="E45" s="53"/>
      <c r="F45" s="53"/>
      <c r="G45" s="53"/>
      <c r="H45" s="53"/>
      <c r="I45" s="53"/>
    </row>
    <row r="46" spans="1:17">
      <c r="A46" s="133">
        <f t="shared" si="3"/>
        <v>38</v>
      </c>
      <c r="C46" s="65" t="s">
        <v>997</v>
      </c>
      <c r="D46" s="917"/>
      <c r="E46" s="141"/>
      <c r="F46" s="917"/>
      <c r="G46" s="141"/>
      <c r="H46" s="918"/>
      <c r="I46" s="919"/>
      <c r="K46" s="150"/>
      <c r="L46" s="141"/>
      <c r="M46" s="150">
        <v>0</v>
      </c>
      <c r="N46" s="141"/>
      <c r="O46" s="996">
        <v>0</v>
      </c>
      <c r="P46" s="151"/>
      <c r="Q46" s="163">
        <f t="shared" ref="Q46:Q58" si="4">SUM(K46:P46)</f>
        <v>0</v>
      </c>
    </row>
    <row r="47" spans="1:17">
      <c r="A47" s="133">
        <f t="shared" si="3"/>
        <v>39</v>
      </c>
      <c r="C47" s="65" t="s">
        <v>1110</v>
      </c>
      <c r="D47" s="141"/>
      <c r="E47" s="141"/>
      <c r="F47" s="141"/>
      <c r="G47" s="141"/>
      <c r="H47" s="331"/>
      <c r="I47" s="919"/>
      <c r="K47" s="141"/>
      <c r="L47" s="141"/>
      <c r="M47" s="141">
        <v>0</v>
      </c>
      <c r="N47" s="141"/>
      <c r="O47" s="1006">
        <v>0</v>
      </c>
      <c r="P47" s="151"/>
      <c r="Q47" s="164">
        <f t="shared" si="4"/>
        <v>0</v>
      </c>
    </row>
    <row r="48" spans="1:17">
      <c r="A48" s="133">
        <f t="shared" si="3"/>
        <v>40</v>
      </c>
      <c r="C48" s="65" t="s">
        <v>47</v>
      </c>
      <c r="D48" s="141"/>
      <c r="E48" s="141"/>
      <c r="F48" s="141"/>
      <c r="G48" s="141"/>
      <c r="H48" s="331"/>
      <c r="I48" s="919"/>
      <c r="K48" s="141"/>
      <c r="L48" s="141"/>
      <c r="M48" s="141">
        <v>0</v>
      </c>
      <c r="N48" s="141"/>
      <c r="O48" s="1006">
        <v>0</v>
      </c>
      <c r="P48" s="151"/>
      <c r="Q48" s="164">
        <f t="shared" si="4"/>
        <v>0</v>
      </c>
    </row>
    <row r="49" spans="1:17">
      <c r="A49" s="133">
        <f t="shared" si="3"/>
        <v>41</v>
      </c>
      <c r="C49" s="65" t="s">
        <v>48</v>
      </c>
      <c r="D49" s="141"/>
      <c r="E49" s="141"/>
      <c r="F49" s="141"/>
      <c r="G49" s="141"/>
      <c r="H49" s="331"/>
      <c r="I49" s="919"/>
      <c r="K49" s="141"/>
      <c r="L49" s="141"/>
      <c r="M49" s="141">
        <v>0</v>
      </c>
      <c r="N49" s="141"/>
      <c r="O49" s="1006">
        <v>0</v>
      </c>
      <c r="P49" s="151"/>
      <c r="Q49" s="164">
        <f t="shared" si="4"/>
        <v>0</v>
      </c>
    </row>
    <row r="50" spans="1:17">
      <c r="A50" s="133">
        <f t="shared" si="3"/>
        <v>42</v>
      </c>
      <c r="C50" s="65" t="s">
        <v>49</v>
      </c>
      <c r="D50" s="141"/>
      <c r="E50" s="141"/>
      <c r="F50" s="141"/>
      <c r="G50" s="141"/>
      <c r="H50" s="331"/>
      <c r="I50" s="919"/>
      <c r="K50" s="141"/>
      <c r="L50" s="141"/>
      <c r="M50" s="141">
        <v>0</v>
      </c>
      <c r="N50" s="141"/>
      <c r="O50" s="1006">
        <v>0</v>
      </c>
      <c r="P50" s="151"/>
      <c r="Q50" s="164">
        <f t="shared" si="4"/>
        <v>0</v>
      </c>
    </row>
    <row r="51" spans="1:17">
      <c r="A51" s="133">
        <f t="shared" si="3"/>
        <v>43</v>
      </c>
      <c r="C51" s="65" t="s">
        <v>21</v>
      </c>
      <c r="D51" s="141"/>
      <c r="E51" s="141"/>
      <c r="F51" s="141"/>
      <c r="G51" s="141"/>
      <c r="H51" s="331"/>
      <c r="I51" s="919"/>
      <c r="K51" s="141"/>
      <c r="L51" s="141"/>
      <c r="M51" s="141">
        <v>0</v>
      </c>
      <c r="N51" s="141"/>
      <c r="O51" s="1006">
        <v>0</v>
      </c>
      <c r="P51" s="151"/>
      <c r="Q51" s="164">
        <f t="shared" si="4"/>
        <v>0</v>
      </c>
    </row>
    <row r="52" spans="1:17">
      <c r="A52" s="133">
        <f t="shared" si="3"/>
        <v>44</v>
      </c>
      <c r="C52" s="65" t="s">
        <v>50</v>
      </c>
      <c r="D52" s="141"/>
      <c r="E52" s="141"/>
      <c r="F52" s="141"/>
      <c r="G52" s="141"/>
      <c r="H52" s="331"/>
      <c r="I52" s="919"/>
      <c r="K52" s="141"/>
      <c r="L52" s="141"/>
      <c r="M52" s="141">
        <v>0</v>
      </c>
      <c r="N52" s="141"/>
      <c r="O52" s="1006">
        <v>0</v>
      </c>
      <c r="P52" s="151"/>
      <c r="Q52" s="164">
        <f t="shared" si="4"/>
        <v>0</v>
      </c>
    </row>
    <row r="53" spans="1:17">
      <c r="A53" s="133">
        <f t="shared" si="3"/>
        <v>45</v>
      </c>
      <c r="C53" s="65" t="s">
        <v>51</v>
      </c>
      <c r="D53" s="141"/>
      <c r="E53" s="141"/>
      <c r="F53" s="141"/>
      <c r="G53" s="141"/>
      <c r="H53" s="331"/>
      <c r="I53" s="919"/>
      <c r="K53" s="141"/>
      <c r="L53" s="141"/>
      <c r="M53" s="141">
        <v>0</v>
      </c>
      <c r="N53" s="141"/>
      <c r="O53" s="1006">
        <v>0</v>
      </c>
      <c r="P53" s="151"/>
      <c r="Q53" s="164">
        <f t="shared" si="4"/>
        <v>0</v>
      </c>
    </row>
    <row r="54" spans="1:17">
      <c r="A54" s="133">
        <f t="shared" si="3"/>
        <v>46</v>
      </c>
      <c r="C54" s="65" t="s">
        <v>52</v>
      </c>
      <c r="D54" s="141"/>
      <c r="E54" s="141"/>
      <c r="F54" s="141"/>
      <c r="G54" s="141"/>
      <c r="H54" s="331"/>
      <c r="I54" s="919"/>
      <c r="K54" s="141"/>
      <c r="L54" s="141"/>
      <c r="M54" s="141">
        <v>0</v>
      </c>
      <c r="N54" s="141"/>
      <c r="O54" s="1006">
        <v>0</v>
      </c>
      <c r="P54" s="151"/>
      <c r="Q54" s="164">
        <f t="shared" si="4"/>
        <v>0</v>
      </c>
    </row>
    <row r="55" spans="1:17">
      <c r="A55" s="133">
        <f t="shared" si="3"/>
        <v>47</v>
      </c>
      <c r="C55" s="65" t="s">
        <v>53</v>
      </c>
      <c r="D55" s="141"/>
      <c r="E55" s="141"/>
      <c r="F55" s="141"/>
      <c r="G55" s="141"/>
      <c r="H55" s="897"/>
      <c r="I55" s="919"/>
      <c r="K55" s="152"/>
      <c r="L55" s="152"/>
      <c r="M55" s="152">
        <v>0</v>
      </c>
      <c r="N55" s="152"/>
      <c r="O55" s="1015">
        <v>0</v>
      </c>
      <c r="P55" s="151"/>
      <c r="Q55" s="164">
        <f t="shared" si="4"/>
        <v>0</v>
      </c>
    </row>
    <row r="56" spans="1:17">
      <c r="A56" s="133">
        <f t="shared" si="3"/>
        <v>48</v>
      </c>
      <c r="C56" s="65" t="s">
        <v>54</v>
      </c>
      <c r="D56" s="141"/>
      <c r="E56" s="141"/>
      <c r="F56" s="141"/>
      <c r="G56" s="141"/>
      <c r="H56" s="897"/>
      <c r="I56" s="919"/>
      <c r="K56" s="152"/>
      <c r="L56" s="152"/>
      <c r="M56" s="152">
        <v>0</v>
      </c>
      <c r="N56" s="152"/>
      <c r="O56" s="1015">
        <v>0</v>
      </c>
      <c r="P56" s="151"/>
      <c r="Q56" s="164">
        <f t="shared" si="4"/>
        <v>0</v>
      </c>
    </row>
    <row r="57" spans="1:17">
      <c r="A57" s="133">
        <f t="shared" si="3"/>
        <v>49</v>
      </c>
      <c r="C57" s="65" t="s">
        <v>55</v>
      </c>
      <c r="D57" s="141"/>
      <c r="E57" s="141"/>
      <c r="F57" s="141"/>
      <c r="G57" s="141"/>
      <c r="H57" s="897"/>
      <c r="I57" s="919"/>
      <c r="K57" s="152"/>
      <c r="L57" s="152"/>
      <c r="M57" s="152">
        <v>0</v>
      </c>
      <c r="N57" s="152"/>
      <c r="O57" s="1015">
        <v>0</v>
      </c>
      <c r="P57" s="151"/>
      <c r="Q57" s="164">
        <f t="shared" si="4"/>
        <v>0</v>
      </c>
    </row>
    <row r="58" spans="1:17">
      <c r="A58" s="133">
        <f t="shared" si="3"/>
        <v>50</v>
      </c>
      <c r="C58" s="65" t="s">
        <v>1111</v>
      </c>
      <c r="D58" s="141"/>
      <c r="E58" s="141"/>
      <c r="F58" s="141"/>
      <c r="G58" s="141"/>
      <c r="H58" s="897"/>
      <c r="I58" s="919"/>
      <c r="K58" s="152"/>
      <c r="L58" s="152"/>
      <c r="M58" s="152">
        <v>0</v>
      </c>
      <c r="N58" s="152"/>
      <c r="O58" s="1015">
        <v>0</v>
      </c>
      <c r="P58" s="151"/>
      <c r="Q58" s="164">
        <f t="shared" si="4"/>
        <v>0</v>
      </c>
    </row>
    <row r="59" spans="1:17">
      <c r="A59" s="133">
        <f t="shared" si="3"/>
        <v>51</v>
      </c>
      <c r="C59" s="65"/>
      <c r="D59" s="118"/>
      <c r="E59" s="53"/>
      <c r="F59" s="118"/>
      <c r="G59" s="118"/>
      <c r="H59" s="118"/>
      <c r="I59" s="118"/>
      <c r="K59" s="72"/>
      <c r="M59" s="72"/>
      <c r="N59" s="73"/>
      <c r="O59" s="72"/>
      <c r="P59" s="73"/>
      <c r="Q59" s="76"/>
    </row>
    <row r="60" spans="1:17" ht="12.75" thickBot="1">
      <c r="A60" s="133">
        <f t="shared" si="3"/>
        <v>52</v>
      </c>
      <c r="C60" s="77" t="s">
        <v>29</v>
      </c>
      <c r="D60" s="120"/>
      <c r="E60" s="126"/>
      <c r="F60" s="120"/>
      <c r="G60" s="127"/>
      <c r="H60" s="120"/>
      <c r="I60" s="125"/>
      <c r="K60" s="78">
        <f>SUM(K46:K58)/13</f>
        <v>0</v>
      </c>
      <c r="L60" s="47"/>
      <c r="M60" s="78">
        <f>SUM(M46:M58)/13</f>
        <v>0</v>
      </c>
      <c r="N60" s="79"/>
      <c r="O60" s="78">
        <f>SUM(O46:O58)/13</f>
        <v>0</v>
      </c>
      <c r="P60" s="80"/>
      <c r="Q60" s="82">
        <f>SUM(Q46:Q58)/13</f>
        <v>0</v>
      </c>
    </row>
    <row r="61" spans="1:17" ht="12.75" thickTop="1">
      <c r="A61" s="133">
        <f t="shared" si="3"/>
        <v>53</v>
      </c>
      <c r="C61" s="19"/>
      <c r="D61" s="102"/>
      <c r="E61" s="102"/>
      <c r="F61" s="102"/>
      <c r="G61" s="102"/>
      <c r="H61" s="102"/>
      <c r="I61" s="102"/>
    </row>
    <row r="62" spans="1:17">
      <c r="A62" s="133">
        <f t="shared" si="3"/>
        <v>54</v>
      </c>
      <c r="C62" s="19"/>
      <c r="D62" s="102"/>
      <c r="E62" s="102"/>
      <c r="F62" s="102"/>
      <c r="G62" s="102"/>
      <c r="H62" s="102"/>
      <c r="I62" s="102"/>
    </row>
    <row r="63" spans="1:17">
      <c r="A63" s="133">
        <f t="shared" si="3"/>
        <v>55</v>
      </c>
      <c r="C63" s="19"/>
      <c r="D63" s="53"/>
      <c r="E63" s="53"/>
      <c r="F63" s="53"/>
      <c r="G63" s="55"/>
      <c r="H63" s="53"/>
      <c r="I63" s="55"/>
    </row>
    <row r="64" spans="1:17">
      <c r="A64" s="133">
        <f t="shared" si="3"/>
        <v>56</v>
      </c>
      <c r="C64" s="19"/>
      <c r="D64" s="1203"/>
      <c r="E64" s="1203"/>
      <c r="F64" s="1203"/>
      <c r="G64" s="1203"/>
      <c r="H64" s="1203"/>
      <c r="I64" s="1203"/>
      <c r="K64" s="1202" t="s">
        <v>84</v>
      </c>
      <c r="L64" s="1202"/>
      <c r="M64" s="1202"/>
      <c r="N64" s="1202"/>
      <c r="O64" s="1202"/>
      <c r="P64" s="1202"/>
      <c r="Q64" s="1202"/>
    </row>
    <row r="65" spans="1:17">
      <c r="A65" s="133">
        <f t="shared" si="3"/>
        <v>57</v>
      </c>
      <c r="C65" s="19"/>
      <c r="D65" s="53"/>
      <c r="E65" s="53"/>
      <c r="F65" s="55"/>
      <c r="G65" s="53"/>
      <c r="H65" s="53"/>
      <c r="I65" s="53"/>
      <c r="M65" s="54" t="s">
        <v>73</v>
      </c>
      <c r="Q65" s="55" t="s">
        <v>30</v>
      </c>
    </row>
    <row r="66" spans="1:17">
      <c r="A66" s="133">
        <f t="shared" si="3"/>
        <v>58</v>
      </c>
      <c r="C66" s="19"/>
      <c r="D66" s="55"/>
      <c r="E66" s="53"/>
      <c r="F66" s="55"/>
      <c r="G66" s="53"/>
      <c r="H66" s="55"/>
      <c r="I66" s="53"/>
      <c r="K66" s="135" t="s">
        <v>74</v>
      </c>
      <c r="M66" s="135" t="s">
        <v>75</v>
      </c>
      <c r="O66" s="135" t="s">
        <v>76</v>
      </c>
      <c r="Q66" s="59" t="s">
        <v>85</v>
      </c>
    </row>
    <row r="67" spans="1:17">
      <c r="A67" s="133">
        <f t="shared" si="3"/>
        <v>59</v>
      </c>
      <c r="B67" s="180" t="s">
        <v>859</v>
      </c>
      <c r="C67" s="181"/>
      <c r="D67" s="53"/>
      <c r="E67" s="53"/>
      <c r="F67" s="53"/>
      <c r="G67" s="53"/>
      <c r="H67" s="53"/>
      <c r="I67" s="53"/>
    </row>
    <row r="68" spans="1:17">
      <c r="A68" s="133">
        <f t="shared" si="3"/>
        <v>60</v>
      </c>
      <c r="C68" s="65" t="s">
        <v>997</v>
      </c>
      <c r="D68" s="917"/>
      <c r="E68" s="141"/>
      <c r="F68" s="917"/>
      <c r="G68" s="141"/>
      <c r="H68" s="917"/>
      <c r="I68" s="920"/>
      <c r="K68" s="150"/>
      <c r="L68" s="141"/>
      <c r="M68" s="150">
        <v>0</v>
      </c>
      <c r="N68" s="141"/>
      <c r="O68" s="996">
        <v>0</v>
      </c>
      <c r="P68" s="84"/>
      <c r="Q68" s="66">
        <f t="shared" ref="Q68:Q80" si="5">SUM(K68:P68)</f>
        <v>0</v>
      </c>
    </row>
    <row r="69" spans="1:17">
      <c r="A69" s="133">
        <f t="shared" si="3"/>
        <v>61</v>
      </c>
      <c r="C69" s="65" t="s">
        <v>1110</v>
      </c>
      <c r="D69" s="141"/>
      <c r="E69" s="141"/>
      <c r="F69" s="141"/>
      <c r="G69" s="141"/>
      <c r="H69" s="141"/>
      <c r="I69" s="920"/>
      <c r="K69" s="141"/>
      <c r="L69" s="141"/>
      <c r="M69" s="141">
        <v>0</v>
      </c>
      <c r="N69" s="141"/>
      <c r="O69" s="1006">
        <v>0</v>
      </c>
      <c r="P69" s="84"/>
      <c r="Q69" s="71">
        <f t="shared" si="5"/>
        <v>0</v>
      </c>
    </row>
    <row r="70" spans="1:17">
      <c r="A70" s="133">
        <f t="shared" si="3"/>
        <v>62</v>
      </c>
      <c r="C70" s="65" t="s">
        <v>47</v>
      </c>
      <c r="D70" s="141"/>
      <c r="E70" s="141"/>
      <c r="F70" s="141"/>
      <c r="G70" s="141"/>
      <c r="H70" s="141"/>
      <c r="I70" s="920"/>
      <c r="K70" s="141"/>
      <c r="L70" s="141"/>
      <c r="M70" s="141">
        <v>0</v>
      </c>
      <c r="N70" s="141"/>
      <c r="O70" s="1006">
        <v>0</v>
      </c>
      <c r="P70" s="84"/>
      <c r="Q70" s="71">
        <f t="shared" si="5"/>
        <v>0</v>
      </c>
    </row>
    <row r="71" spans="1:17">
      <c r="A71" s="133">
        <f t="shared" si="3"/>
        <v>63</v>
      </c>
      <c r="C71" s="65" t="s">
        <v>48</v>
      </c>
      <c r="D71" s="141"/>
      <c r="E71" s="141"/>
      <c r="F71" s="141"/>
      <c r="G71" s="141"/>
      <c r="H71" s="141"/>
      <c r="I71" s="920"/>
      <c r="K71" s="141"/>
      <c r="L71" s="141"/>
      <c r="M71" s="141">
        <v>0</v>
      </c>
      <c r="N71" s="141"/>
      <c r="O71" s="1006">
        <v>0</v>
      </c>
      <c r="P71" s="84"/>
      <c r="Q71" s="71">
        <f t="shared" si="5"/>
        <v>0</v>
      </c>
    </row>
    <row r="72" spans="1:17">
      <c r="A72" s="133">
        <f t="shared" si="3"/>
        <v>64</v>
      </c>
      <c r="C72" s="65" t="s">
        <v>49</v>
      </c>
      <c r="D72" s="141"/>
      <c r="E72" s="141"/>
      <c r="F72" s="141"/>
      <c r="G72" s="141"/>
      <c r="H72" s="141"/>
      <c r="I72" s="920"/>
      <c r="K72" s="141"/>
      <c r="L72" s="141"/>
      <c r="M72" s="141">
        <v>0</v>
      </c>
      <c r="N72" s="141"/>
      <c r="O72" s="1006">
        <v>0</v>
      </c>
      <c r="P72" s="84"/>
      <c r="Q72" s="71">
        <f t="shared" si="5"/>
        <v>0</v>
      </c>
    </row>
    <row r="73" spans="1:17">
      <c r="A73" s="133">
        <f t="shared" si="3"/>
        <v>65</v>
      </c>
      <c r="C73" s="65" t="s">
        <v>21</v>
      </c>
      <c r="D73" s="141"/>
      <c r="E73" s="141"/>
      <c r="F73" s="141"/>
      <c r="G73" s="141"/>
      <c r="H73" s="141"/>
      <c r="I73" s="920"/>
      <c r="K73" s="141"/>
      <c r="L73" s="141"/>
      <c r="M73" s="141">
        <v>0</v>
      </c>
      <c r="N73" s="141"/>
      <c r="O73" s="1006">
        <v>0</v>
      </c>
      <c r="P73" s="84"/>
      <c r="Q73" s="71">
        <f t="shared" si="5"/>
        <v>0</v>
      </c>
    </row>
    <row r="74" spans="1:17">
      <c r="A74" s="133">
        <f t="shared" ref="A74:A82" si="6">+A73+1</f>
        <v>66</v>
      </c>
      <c r="C74" s="65" t="s">
        <v>50</v>
      </c>
      <c r="D74" s="141"/>
      <c r="E74" s="141"/>
      <c r="F74" s="141"/>
      <c r="G74" s="141"/>
      <c r="H74" s="141"/>
      <c r="I74" s="920"/>
      <c r="K74" s="141"/>
      <c r="L74" s="141"/>
      <c r="M74" s="141">
        <v>0</v>
      </c>
      <c r="N74" s="141"/>
      <c r="O74" s="1006">
        <v>0</v>
      </c>
      <c r="P74" s="84"/>
      <c r="Q74" s="71">
        <f t="shared" si="5"/>
        <v>0</v>
      </c>
    </row>
    <row r="75" spans="1:17">
      <c r="A75" s="133">
        <f t="shared" si="6"/>
        <v>67</v>
      </c>
      <c r="C75" s="65" t="s">
        <v>51</v>
      </c>
      <c r="D75" s="141"/>
      <c r="E75" s="141"/>
      <c r="F75" s="141"/>
      <c r="G75" s="141"/>
      <c r="H75" s="141"/>
      <c r="I75" s="920"/>
      <c r="K75" s="141"/>
      <c r="L75" s="141"/>
      <c r="M75" s="141">
        <v>0</v>
      </c>
      <c r="N75" s="141"/>
      <c r="O75" s="1006">
        <v>0</v>
      </c>
      <c r="P75" s="84"/>
      <c r="Q75" s="71">
        <f t="shared" si="5"/>
        <v>0</v>
      </c>
    </row>
    <row r="76" spans="1:17">
      <c r="A76" s="133">
        <f t="shared" si="6"/>
        <v>68</v>
      </c>
      <c r="C76" s="65" t="s">
        <v>52</v>
      </c>
      <c r="D76" s="141"/>
      <c r="E76" s="141"/>
      <c r="F76" s="141"/>
      <c r="G76" s="141"/>
      <c r="H76" s="141"/>
      <c r="I76" s="920"/>
      <c r="K76" s="141"/>
      <c r="L76" s="141"/>
      <c r="M76" s="141">
        <v>0</v>
      </c>
      <c r="N76" s="141"/>
      <c r="O76" s="1006">
        <v>0</v>
      </c>
      <c r="P76" s="84"/>
      <c r="Q76" s="71">
        <f t="shared" si="5"/>
        <v>0</v>
      </c>
    </row>
    <row r="77" spans="1:17">
      <c r="A77" s="133">
        <f t="shared" si="6"/>
        <v>69</v>
      </c>
      <c r="C77" s="65" t="s">
        <v>53</v>
      </c>
      <c r="D77" s="141"/>
      <c r="E77" s="141"/>
      <c r="F77" s="141"/>
      <c r="G77" s="141"/>
      <c r="H77" s="141"/>
      <c r="I77" s="920"/>
      <c r="K77" s="141"/>
      <c r="L77" s="141"/>
      <c r="M77" s="141">
        <v>0</v>
      </c>
      <c r="N77" s="141"/>
      <c r="O77" s="1006">
        <v>0</v>
      </c>
      <c r="P77" s="84"/>
      <c r="Q77" s="71">
        <f t="shared" si="5"/>
        <v>0</v>
      </c>
    </row>
    <row r="78" spans="1:17">
      <c r="A78" s="133">
        <f t="shared" si="6"/>
        <v>70</v>
      </c>
      <c r="C78" s="65" t="s">
        <v>54</v>
      </c>
      <c r="D78" s="141"/>
      <c r="E78" s="141"/>
      <c r="F78" s="141"/>
      <c r="G78" s="141"/>
      <c r="H78" s="141"/>
      <c r="I78" s="920"/>
      <c r="K78" s="141"/>
      <c r="L78" s="141"/>
      <c r="M78" s="141">
        <v>0</v>
      </c>
      <c r="N78" s="141"/>
      <c r="O78" s="1006">
        <v>0</v>
      </c>
      <c r="P78" s="84"/>
      <c r="Q78" s="71">
        <f t="shared" si="5"/>
        <v>0</v>
      </c>
    </row>
    <row r="79" spans="1:17">
      <c r="A79" s="133">
        <f t="shared" si="6"/>
        <v>71</v>
      </c>
      <c r="C79" s="65" t="s">
        <v>55</v>
      </c>
      <c r="D79" s="141"/>
      <c r="E79" s="141"/>
      <c r="F79" s="141"/>
      <c r="G79" s="141"/>
      <c r="H79" s="141"/>
      <c r="I79" s="920"/>
      <c r="K79" s="141"/>
      <c r="L79" s="141"/>
      <c r="M79" s="141">
        <v>0</v>
      </c>
      <c r="N79" s="141"/>
      <c r="O79" s="1006">
        <v>0</v>
      </c>
      <c r="P79" s="84"/>
      <c r="Q79" s="71">
        <f t="shared" si="5"/>
        <v>0</v>
      </c>
    </row>
    <row r="80" spans="1:17">
      <c r="A80" s="133">
        <f t="shared" si="6"/>
        <v>72</v>
      </c>
      <c r="C80" s="65" t="s">
        <v>1111</v>
      </c>
      <c r="D80" s="141"/>
      <c r="E80" s="141"/>
      <c r="F80" s="141"/>
      <c r="G80" s="141"/>
      <c r="H80" s="141"/>
      <c r="I80" s="920"/>
      <c r="K80" s="141"/>
      <c r="L80" s="141"/>
      <c r="M80" s="141">
        <v>0</v>
      </c>
      <c r="N80" s="141"/>
      <c r="O80" s="1006">
        <v>0</v>
      </c>
      <c r="P80" s="84"/>
      <c r="Q80" s="71">
        <f t="shared" si="5"/>
        <v>0</v>
      </c>
    </row>
    <row r="81" spans="1:17">
      <c r="A81" s="133">
        <f t="shared" si="6"/>
        <v>73</v>
      </c>
      <c r="C81" s="65"/>
      <c r="D81" s="118"/>
      <c r="E81" s="53"/>
      <c r="F81" s="118"/>
      <c r="G81" s="118"/>
      <c r="H81" s="118"/>
      <c r="I81" s="118"/>
      <c r="K81" s="72"/>
      <c r="M81" s="72"/>
      <c r="N81" s="73"/>
      <c r="O81" s="72"/>
      <c r="P81" s="73"/>
      <c r="Q81" s="76"/>
    </row>
    <row r="82" spans="1:17" ht="12.75" thickBot="1">
      <c r="A82" s="133">
        <f t="shared" si="6"/>
        <v>74</v>
      </c>
      <c r="C82" s="77" t="s">
        <v>29</v>
      </c>
      <c r="D82" s="120"/>
      <c r="E82" s="126"/>
      <c r="F82" s="120"/>
      <c r="G82" s="127"/>
      <c r="H82" s="120"/>
      <c r="I82" s="125"/>
      <c r="K82" s="78">
        <f>SUM(K68:K80)/13</f>
        <v>0</v>
      </c>
      <c r="L82" s="47"/>
      <c r="M82" s="78">
        <f>SUM(M68:M80)/13</f>
        <v>0</v>
      </c>
      <c r="N82" s="79"/>
      <c r="O82" s="78">
        <f>SUM(O68:O80)/13</f>
        <v>0</v>
      </c>
      <c r="P82" s="80"/>
      <c r="Q82" s="82">
        <f>SUM(Q68:Q80)/13</f>
        <v>0</v>
      </c>
    </row>
    <row r="83" spans="1:17" ht="12.75" thickTop="1"/>
    <row r="86" spans="1:17" ht="15.75" customHeight="1">
      <c r="A86" s="1201"/>
      <c r="B86" s="1201"/>
      <c r="C86" s="1201"/>
      <c r="D86" s="1201"/>
      <c r="E86" s="1201"/>
      <c r="F86" s="1201"/>
      <c r="G86" s="1201"/>
      <c r="H86" s="1201"/>
      <c r="I86" s="1201"/>
      <c r="J86" s="1201"/>
      <c r="K86" s="1201"/>
      <c r="L86" s="1201"/>
      <c r="M86" s="1201"/>
      <c r="N86" s="1201"/>
      <c r="O86" s="1201"/>
      <c r="P86" s="1201"/>
      <c r="Q86" s="1201"/>
    </row>
  </sheetData>
  <mergeCells count="7">
    <mergeCell ref="A86:Q86"/>
    <mergeCell ref="K20:Q20"/>
    <mergeCell ref="K42:Q42"/>
    <mergeCell ref="K64:Q64"/>
    <mergeCell ref="D20:I20"/>
    <mergeCell ref="D42:I42"/>
    <mergeCell ref="D64:I64"/>
  </mergeCells>
  <phoneticPr fontId="10" type="noConversion"/>
  <pageMargins left="0.5" right="0.25" top="0.5" bottom="0.25" header="0.75" footer="0.5"/>
  <pageSetup scale="71" orientation="portrait" r:id="rId1"/>
  <headerFooter alignWithMargins="0">
    <oddFooter>&amp;CPage  &amp;P  of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rgb="FF00FFCC"/>
    <pageSetUpPr autoPageBreaks="0" fitToPage="1"/>
  </sheetPr>
  <dimension ref="A1:T83"/>
  <sheetViews>
    <sheetView showGridLines="0" zoomScaleNormal="75" workbookViewId="0">
      <selection activeCell="A4" sqref="A4"/>
    </sheetView>
  </sheetViews>
  <sheetFormatPr defaultColWidth="14.44140625" defaultRowHeight="12"/>
  <cols>
    <col min="1" max="1" width="4.77734375" style="51" customWidth="1"/>
    <col min="2" max="2" width="1.77734375" style="49" customWidth="1"/>
    <col min="3" max="3" width="26" style="49" customWidth="1"/>
    <col min="4" max="4" width="13.77734375" style="49" customWidth="1"/>
    <col min="5" max="5" width="0.88671875" style="49" customWidth="1"/>
    <col min="6" max="6" width="14.77734375" style="49" customWidth="1"/>
    <col min="7" max="7" width="0.88671875" style="49" customWidth="1"/>
    <col min="8" max="8" width="12.77734375" style="49" customWidth="1"/>
    <col min="9" max="9" width="0.88671875" style="49" customWidth="1"/>
    <col min="10" max="10" width="14" style="49" bestFit="1" customWidth="1"/>
    <col min="11" max="11" width="0.88671875" style="87" hidden="1" customWidth="1"/>
    <col min="12" max="12" width="14" style="87" hidden="1" customWidth="1"/>
    <col min="13" max="13" width="0.88671875" style="49" customWidth="1"/>
    <col min="14" max="14" width="9.88671875" style="49" bestFit="1" customWidth="1"/>
    <col min="15" max="15" width="0.88671875" style="49" customWidth="1"/>
    <col min="16" max="16" width="12.6640625" style="49" bestFit="1" customWidth="1"/>
    <col min="17" max="17" width="0.6640625" style="49" customWidth="1"/>
    <col min="18" max="18" width="12.5546875" style="49" bestFit="1" customWidth="1"/>
    <col min="19" max="19" width="0.6640625" style="49" customWidth="1"/>
    <col min="20" max="20" width="15.44140625" style="49" bestFit="1" customWidth="1"/>
    <col min="21" max="16384" width="14.44140625" style="49"/>
  </cols>
  <sheetData>
    <row r="1" spans="1:20">
      <c r="A1" s="6" t="s">
        <v>855</v>
      </c>
      <c r="B1" s="47"/>
      <c r="C1" s="47"/>
      <c r="D1" s="47"/>
      <c r="E1" s="47"/>
      <c r="F1" s="47"/>
      <c r="G1" s="47"/>
      <c r="H1" s="47"/>
      <c r="I1" s="47"/>
      <c r="J1" s="47"/>
      <c r="K1" s="140"/>
      <c r="L1" s="140"/>
      <c r="M1" s="47"/>
      <c r="N1" s="47"/>
      <c r="O1" s="47"/>
      <c r="P1" s="47"/>
      <c r="Q1" s="47"/>
      <c r="R1" s="47"/>
      <c r="S1" s="47"/>
      <c r="T1" s="48" t="str">
        <f>Cover!C1</f>
        <v>2018 Workpapers</v>
      </c>
    </row>
    <row r="2" spans="1:20">
      <c r="A2" s="6" t="s">
        <v>862</v>
      </c>
      <c r="B2" s="47"/>
      <c r="C2" s="47"/>
      <c r="D2" s="47"/>
      <c r="E2" s="47"/>
      <c r="F2" s="47"/>
      <c r="G2" s="47"/>
      <c r="H2" s="393"/>
      <c r="I2" s="47"/>
      <c r="J2" s="47"/>
      <c r="K2" s="140"/>
      <c r="L2" s="140"/>
      <c r="M2" s="47"/>
      <c r="N2" s="47"/>
      <c r="O2" s="47"/>
      <c r="P2" s="47"/>
      <c r="Q2" s="47"/>
      <c r="R2" s="47"/>
      <c r="S2" s="47"/>
      <c r="T2" s="50"/>
    </row>
    <row r="3" spans="1:20">
      <c r="A3" s="6" t="s">
        <v>1109</v>
      </c>
      <c r="B3" s="47"/>
      <c r="C3" s="47"/>
      <c r="D3" s="47" t="s">
        <v>5</v>
      </c>
      <c r="E3" s="47"/>
      <c r="G3" s="47"/>
      <c r="H3" s="900"/>
      <c r="I3" s="140"/>
      <c r="J3" s="173"/>
      <c r="K3" s="140"/>
      <c r="L3" s="173"/>
      <c r="M3" s="140"/>
      <c r="N3" s="140"/>
      <c r="O3" s="47"/>
      <c r="P3" s="47"/>
      <c r="Q3" s="47"/>
      <c r="R3" s="47"/>
      <c r="S3" s="47"/>
    </row>
    <row r="4" spans="1:20">
      <c r="A4" s="418"/>
      <c r="H4" s="87"/>
      <c r="I4" s="87"/>
      <c r="J4" s="87"/>
      <c r="M4" s="87"/>
      <c r="N4" s="87"/>
    </row>
    <row r="5" spans="1:20">
      <c r="B5" s="52"/>
    </row>
    <row r="6" spans="1:20">
      <c r="B6" s="52"/>
    </row>
    <row r="7" spans="1:20">
      <c r="A7" s="19"/>
      <c r="B7" s="19"/>
      <c r="C7" s="19"/>
      <c r="D7" s="1204" t="s">
        <v>863</v>
      </c>
      <c r="E7" s="1204"/>
      <c r="F7" s="1204"/>
      <c r="G7" s="1204"/>
      <c r="H7" s="1204"/>
      <c r="I7" s="1204"/>
      <c r="J7" s="1204"/>
      <c r="K7" s="353"/>
      <c r="L7" s="354" t="s">
        <v>109</v>
      </c>
      <c r="M7" s="54"/>
      <c r="N7" s="1202" t="s">
        <v>864</v>
      </c>
      <c r="O7" s="1202"/>
      <c r="P7" s="1202"/>
      <c r="Q7" s="1202"/>
      <c r="R7" s="1202"/>
      <c r="S7" s="54"/>
      <c r="T7" s="55"/>
    </row>
    <row r="8" spans="1:20">
      <c r="D8" s="69"/>
      <c r="E8" s="67"/>
      <c r="F8" s="69"/>
      <c r="G8" s="67"/>
      <c r="H8" s="69"/>
      <c r="I8" s="69"/>
      <c r="J8" s="69"/>
      <c r="K8" s="353"/>
      <c r="L8" s="355"/>
      <c r="M8" s="54"/>
      <c r="N8" s="69"/>
      <c r="O8" s="69"/>
      <c r="P8" s="69"/>
      <c r="Q8" s="54"/>
      <c r="R8" s="57" t="s">
        <v>868</v>
      </c>
      <c r="S8" s="54"/>
      <c r="T8" s="55" t="s">
        <v>23</v>
      </c>
    </row>
    <row r="9" spans="1:20">
      <c r="A9" s="51" t="s">
        <v>46</v>
      </c>
      <c r="D9" s="54" t="s">
        <v>56</v>
      </c>
      <c r="E9" s="57"/>
      <c r="F9" s="54" t="s">
        <v>56</v>
      </c>
      <c r="G9" s="57"/>
      <c r="H9" s="57" t="s">
        <v>56</v>
      </c>
      <c r="I9" s="57"/>
      <c r="J9" s="54" t="s">
        <v>56</v>
      </c>
      <c r="L9" s="353" t="s">
        <v>56</v>
      </c>
      <c r="N9" s="57" t="s">
        <v>866</v>
      </c>
      <c r="O9" s="57"/>
      <c r="P9" s="57" t="s">
        <v>96</v>
      </c>
      <c r="R9" s="55" t="s">
        <v>869</v>
      </c>
      <c r="T9" s="55" t="s">
        <v>42</v>
      </c>
    </row>
    <row r="10" spans="1:20">
      <c r="A10" s="58" t="s">
        <v>22</v>
      </c>
      <c r="D10" s="54">
        <v>281</v>
      </c>
      <c r="E10" s="57"/>
      <c r="F10" s="55">
        <v>282</v>
      </c>
      <c r="G10" s="57"/>
      <c r="H10" s="54">
        <v>283</v>
      </c>
      <c r="J10" s="54">
        <v>190</v>
      </c>
      <c r="L10" s="353">
        <v>255</v>
      </c>
      <c r="N10" s="54" t="s">
        <v>867</v>
      </c>
      <c r="P10" s="59" t="s">
        <v>869</v>
      </c>
      <c r="Q10" s="55"/>
      <c r="R10" s="59" t="s">
        <v>94</v>
      </c>
      <c r="S10" s="55"/>
      <c r="T10" s="59" t="s">
        <v>865</v>
      </c>
    </row>
    <row r="11" spans="1:20">
      <c r="A11" s="60" t="s">
        <v>27</v>
      </c>
      <c r="B11" s="61" t="s">
        <v>856</v>
      </c>
      <c r="C11" s="62"/>
      <c r="D11" s="63"/>
      <c r="F11" s="63"/>
      <c r="H11" s="63"/>
      <c r="J11" s="63"/>
      <c r="L11" s="356"/>
      <c r="N11" s="63"/>
      <c r="T11" s="63"/>
    </row>
    <row r="12" spans="1:20">
      <c r="A12" s="64">
        <f t="shared" ref="A12:A77" si="0">+A11+1</f>
        <v>2</v>
      </c>
      <c r="C12" s="65" t="s">
        <v>997</v>
      </c>
      <c r="D12" s="66">
        <f t="shared" ref="D12:D24" si="1">+D38+D64</f>
        <v>0</v>
      </c>
      <c r="E12" s="67"/>
      <c r="F12" s="66">
        <f t="shared" ref="F12:F24" si="2">+F38+F64</f>
        <v>0</v>
      </c>
      <c r="G12" s="67"/>
      <c r="H12" s="66">
        <f t="shared" ref="H12:Q24" si="3">+H38+H64</f>
        <v>0</v>
      </c>
      <c r="I12" s="66">
        <f t="shared" si="3"/>
        <v>0</v>
      </c>
      <c r="J12" s="66">
        <f t="shared" si="3"/>
        <v>0</v>
      </c>
      <c r="K12" s="163">
        <f t="shared" si="3"/>
        <v>0</v>
      </c>
      <c r="L12" s="163">
        <f t="shared" ref="L12:L24" si="4">+L38+L64</f>
        <v>0</v>
      </c>
      <c r="M12" s="66"/>
      <c r="N12" s="66">
        <f t="shared" si="3"/>
        <v>0</v>
      </c>
      <c r="O12" s="66">
        <f t="shared" si="3"/>
        <v>0</v>
      </c>
      <c r="P12" s="66">
        <f t="shared" si="3"/>
        <v>0</v>
      </c>
      <c r="Q12" s="66">
        <f t="shared" si="3"/>
        <v>0</v>
      </c>
      <c r="R12" s="66">
        <f t="shared" ref="R12:R24" si="5">+R38+R64</f>
        <v>-63932043.778967731</v>
      </c>
      <c r="S12" s="66">
        <f t="shared" ref="S12:S24" si="6">+S38+S64</f>
        <v>0</v>
      </c>
      <c r="T12" s="66"/>
    </row>
    <row r="13" spans="1:20">
      <c r="A13" s="64">
        <f t="shared" si="0"/>
        <v>3</v>
      </c>
      <c r="C13" s="65" t="s">
        <v>1110</v>
      </c>
      <c r="D13" s="69">
        <f t="shared" si="1"/>
        <v>0</v>
      </c>
      <c r="E13" s="67"/>
      <c r="F13" s="69">
        <f t="shared" si="2"/>
        <v>0</v>
      </c>
      <c r="G13" s="67"/>
      <c r="H13" s="69">
        <f t="shared" si="3"/>
        <v>0</v>
      </c>
      <c r="I13" s="69">
        <f t="shared" si="3"/>
        <v>0</v>
      </c>
      <c r="J13" s="69">
        <f t="shared" si="3"/>
        <v>0</v>
      </c>
      <c r="K13" s="355">
        <f t="shared" si="3"/>
        <v>0</v>
      </c>
      <c r="L13" s="355">
        <f t="shared" si="4"/>
        <v>0</v>
      </c>
      <c r="M13" s="69"/>
      <c r="N13" s="69">
        <f t="shared" si="3"/>
        <v>0</v>
      </c>
      <c r="O13" s="69">
        <f t="shared" si="3"/>
        <v>0</v>
      </c>
      <c r="P13" s="69">
        <f t="shared" si="3"/>
        <v>0</v>
      </c>
      <c r="Q13" s="69">
        <f t="shared" si="3"/>
        <v>0</v>
      </c>
      <c r="R13" s="188">
        <f t="shared" si="5"/>
        <v>-63840325.948967725</v>
      </c>
      <c r="S13" s="69">
        <f t="shared" si="6"/>
        <v>0</v>
      </c>
      <c r="T13" s="66"/>
    </row>
    <row r="14" spans="1:20">
      <c r="A14" s="64">
        <f t="shared" si="0"/>
        <v>4</v>
      </c>
      <c r="C14" s="65" t="s">
        <v>47</v>
      </c>
      <c r="D14" s="69">
        <f t="shared" si="1"/>
        <v>0</v>
      </c>
      <c r="E14" s="67"/>
      <c r="F14" s="69">
        <f t="shared" si="2"/>
        <v>0</v>
      </c>
      <c r="G14" s="67"/>
      <c r="H14" s="69">
        <f t="shared" si="3"/>
        <v>0</v>
      </c>
      <c r="I14" s="69">
        <f t="shared" si="3"/>
        <v>0</v>
      </c>
      <c r="J14" s="69">
        <f t="shared" si="3"/>
        <v>0</v>
      </c>
      <c r="K14" s="355">
        <f t="shared" si="3"/>
        <v>0</v>
      </c>
      <c r="L14" s="355">
        <f t="shared" si="4"/>
        <v>0</v>
      </c>
      <c r="M14" s="69"/>
      <c r="N14" s="69">
        <f t="shared" si="3"/>
        <v>0</v>
      </c>
      <c r="O14" s="69">
        <f t="shared" si="3"/>
        <v>0</v>
      </c>
      <c r="P14" s="69">
        <f t="shared" si="3"/>
        <v>0</v>
      </c>
      <c r="Q14" s="69">
        <f t="shared" si="3"/>
        <v>0</v>
      </c>
      <c r="R14" s="188">
        <f t="shared" si="5"/>
        <v>-63748608.118967727</v>
      </c>
      <c r="S14" s="69">
        <f t="shared" si="6"/>
        <v>0</v>
      </c>
      <c r="T14" s="66"/>
    </row>
    <row r="15" spans="1:20">
      <c r="A15" s="64">
        <f t="shared" si="0"/>
        <v>5</v>
      </c>
      <c r="C15" s="65" t="s">
        <v>48</v>
      </c>
      <c r="D15" s="69">
        <f t="shared" si="1"/>
        <v>0</v>
      </c>
      <c r="E15" s="67"/>
      <c r="F15" s="69">
        <f t="shared" si="2"/>
        <v>0</v>
      </c>
      <c r="G15" s="67"/>
      <c r="H15" s="69">
        <f t="shared" si="3"/>
        <v>0</v>
      </c>
      <c r="I15" s="69">
        <f t="shared" si="3"/>
        <v>0</v>
      </c>
      <c r="J15" s="69">
        <f t="shared" si="3"/>
        <v>0</v>
      </c>
      <c r="K15" s="355">
        <f t="shared" si="3"/>
        <v>0</v>
      </c>
      <c r="L15" s="355">
        <f t="shared" si="4"/>
        <v>0</v>
      </c>
      <c r="M15" s="69"/>
      <c r="N15" s="69">
        <f t="shared" si="3"/>
        <v>0</v>
      </c>
      <c r="O15" s="69">
        <f t="shared" si="3"/>
        <v>0</v>
      </c>
      <c r="P15" s="69">
        <f t="shared" si="3"/>
        <v>0</v>
      </c>
      <c r="Q15" s="69">
        <f t="shared" si="3"/>
        <v>0</v>
      </c>
      <c r="R15" s="188">
        <f t="shared" si="5"/>
        <v>-63656890.288967729</v>
      </c>
      <c r="S15" s="69">
        <f t="shared" si="6"/>
        <v>0</v>
      </c>
      <c r="T15" s="66"/>
    </row>
    <row r="16" spans="1:20">
      <c r="A16" s="64">
        <f t="shared" si="0"/>
        <v>6</v>
      </c>
      <c r="C16" s="65" t="s">
        <v>49</v>
      </c>
      <c r="D16" s="69">
        <f t="shared" si="1"/>
        <v>0</v>
      </c>
      <c r="E16" s="67"/>
      <c r="F16" s="69">
        <f t="shared" si="2"/>
        <v>0</v>
      </c>
      <c r="G16" s="67"/>
      <c r="H16" s="69">
        <f t="shared" si="3"/>
        <v>0</v>
      </c>
      <c r="I16" s="69">
        <f t="shared" si="3"/>
        <v>0</v>
      </c>
      <c r="J16" s="69">
        <f t="shared" si="3"/>
        <v>0</v>
      </c>
      <c r="K16" s="355">
        <f t="shared" si="3"/>
        <v>0</v>
      </c>
      <c r="L16" s="355">
        <f t="shared" si="4"/>
        <v>0</v>
      </c>
      <c r="M16" s="69"/>
      <c r="N16" s="69">
        <f t="shared" si="3"/>
        <v>0</v>
      </c>
      <c r="O16" s="69">
        <f t="shared" si="3"/>
        <v>0</v>
      </c>
      <c r="P16" s="69">
        <f t="shared" si="3"/>
        <v>0</v>
      </c>
      <c r="Q16" s="69">
        <f t="shared" si="3"/>
        <v>0</v>
      </c>
      <c r="R16" s="188">
        <f t="shared" si="5"/>
        <v>-63565172.458967723</v>
      </c>
      <c r="S16" s="69">
        <f t="shared" si="6"/>
        <v>0</v>
      </c>
      <c r="T16" s="66"/>
    </row>
    <row r="17" spans="1:20">
      <c r="A17" s="64">
        <f t="shared" si="0"/>
        <v>7</v>
      </c>
      <c r="C17" s="65" t="s">
        <v>21</v>
      </c>
      <c r="D17" s="69">
        <f t="shared" si="1"/>
        <v>0</v>
      </c>
      <c r="E17" s="67"/>
      <c r="F17" s="69">
        <f t="shared" si="2"/>
        <v>0</v>
      </c>
      <c r="G17" s="67"/>
      <c r="H17" s="69">
        <f t="shared" si="3"/>
        <v>0</v>
      </c>
      <c r="I17" s="69">
        <f t="shared" si="3"/>
        <v>0</v>
      </c>
      <c r="J17" s="69">
        <f t="shared" si="3"/>
        <v>0</v>
      </c>
      <c r="K17" s="355">
        <f t="shared" si="3"/>
        <v>0</v>
      </c>
      <c r="L17" s="355">
        <f t="shared" si="4"/>
        <v>0</v>
      </c>
      <c r="M17" s="69"/>
      <c r="N17" s="69">
        <f t="shared" si="3"/>
        <v>0</v>
      </c>
      <c r="O17" s="69">
        <f t="shared" si="3"/>
        <v>0</v>
      </c>
      <c r="P17" s="69">
        <f t="shared" si="3"/>
        <v>0</v>
      </c>
      <c r="Q17" s="69">
        <f t="shared" si="3"/>
        <v>0</v>
      </c>
      <c r="R17" s="188">
        <f t="shared" si="5"/>
        <v>-63473454.628967725</v>
      </c>
      <c r="S17" s="69">
        <f t="shared" si="6"/>
        <v>0</v>
      </c>
      <c r="T17" s="66"/>
    </row>
    <row r="18" spans="1:20">
      <c r="A18" s="64">
        <f t="shared" si="0"/>
        <v>8</v>
      </c>
      <c r="C18" s="65" t="s">
        <v>50</v>
      </c>
      <c r="D18" s="69">
        <f t="shared" si="1"/>
        <v>0</v>
      </c>
      <c r="E18" s="67"/>
      <c r="F18" s="69">
        <f t="shared" si="2"/>
        <v>0</v>
      </c>
      <c r="G18" s="67"/>
      <c r="H18" s="69">
        <f t="shared" si="3"/>
        <v>0</v>
      </c>
      <c r="I18" s="69">
        <f t="shared" si="3"/>
        <v>0</v>
      </c>
      <c r="J18" s="69">
        <f t="shared" si="3"/>
        <v>0</v>
      </c>
      <c r="K18" s="355">
        <f t="shared" si="3"/>
        <v>0</v>
      </c>
      <c r="L18" s="355">
        <f t="shared" si="4"/>
        <v>0</v>
      </c>
      <c r="M18" s="69"/>
      <c r="N18" s="69">
        <f t="shared" si="3"/>
        <v>0</v>
      </c>
      <c r="O18" s="69">
        <f t="shared" si="3"/>
        <v>0</v>
      </c>
      <c r="P18" s="69">
        <f t="shared" si="3"/>
        <v>0</v>
      </c>
      <c r="Q18" s="69">
        <f t="shared" si="3"/>
        <v>0</v>
      </c>
      <c r="R18" s="188">
        <f t="shared" si="5"/>
        <v>-63381736.798967727</v>
      </c>
      <c r="S18" s="69">
        <f t="shared" si="6"/>
        <v>0</v>
      </c>
      <c r="T18" s="66"/>
    </row>
    <row r="19" spans="1:20">
      <c r="A19" s="64">
        <f t="shared" si="0"/>
        <v>9</v>
      </c>
      <c r="C19" s="65" t="s">
        <v>51</v>
      </c>
      <c r="D19" s="69">
        <f t="shared" si="1"/>
        <v>0</v>
      </c>
      <c r="E19" s="67"/>
      <c r="F19" s="69">
        <f t="shared" si="2"/>
        <v>0</v>
      </c>
      <c r="G19" s="67"/>
      <c r="H19" s="69">
        <f t="shared" si="3"/>
        <v>0</v>
      </c>
      <c r="I19" s="69">
        <f t="shared" si="3"/>
        <v>0</v>
      </c>
      <c r="J19" s="69">
        <f t="shared" si="3"/>
        <v>0</v>
      </c>
      <c r="K19" s="355">
        <f t="shared" si="3"/>
        <v>0</v>
      </c>
      <c r="L19" s="355">
        <f t="shared" si="4"/>
        <v>0</v>
      </c>
      <c r="M19" s="69"/>
      <c r="N19" s="69">
        <f t="shared" si="3"/>
        <v>0</v>
      </c>
      <c r="O19" s="69">
        <f t="shared" si="3"/>
        <v>0</v>
      </c>
      <c r="P19" s="69">
        <f t="shared" si="3"/>
        <v>0</v>
      </c>
      <c r="Q19" s="69">
        <f t="shared" si="3"/>
        <v>0</v>
      </c>
      <c r="R19" s="188">
        <f t="shared" si="5"/>
        <v>-63290018.968967728</v>
      </c>
      <c r="S19" s="69">
        <f t="shared" si="6"/>
        <v>0</v>
      </c>
      <c r="T19" s="66"/>
    </row>
    <row r="20" spans="1:20">
      <c r="A20" s="64">
        <f t="shared" si="0"/>
        <v>10</v>
      </c>
      <c r="C20" s="65" t="s">
        <v>52</v>
      </c>
      <c r="D20" s="69">
        <f t="shared" si="1"/>
        <v>0</v>
      </c>
      <c r="E20" s="67"/>
      <c r="F20" s="69">
        <f t="shared" si="2"/>
        <v>0</v>
      </c>
      <c r="G20" s="67"/>
      <c r="H20" s="69">
        <f t="shared" si="3"/>
        <v>0</v>
      </c>
      <c r="I20" s="69">
        <f t="shared" si="3"/>
        <v>0</v>
      </c>
      <c r="J20" s="69">
        <f t="shared" si="3"/>
        <v>0</v>
      </c>
      <c r="K20" s="355">
        <f t="shared" si="3"/>
        <v>0</v>
      </c>
      <c r="L20" s="355">
        <f t="shared" si="4"/>
        <v>0</v>
      </c>
      <c r="M20" s="69"/>
      <c r="N20" s="69">
        <f t="shared" si="3"/>
        <v>0</v>
      </c>
      <c r="O20" s="69">
        <f t="shared" si="3"/>
        <v>0</v>
      </c>
      <c r="P20" s="69">
        <f t="shared" si="3"/>
        <v>0</v>
      </c>
      <c r="Q20" s="69">
        <f t="shared" si="3"/>
        <v>0</v>
      </c>
      <c r="R20" s="188">
        <f t="shared" si="5"/>
        <v>-63198301.13896773</v>
      </c>
      <c r="S20" s="69">
        <f t="shared" si="6"/>
        <v>0</v>
      </c>
      <c r="T20" s="66"/>
    </row>
    <row r="21" spans="1:20">
      <c r="A21" s="64">
        <f t="shared" si="0"/>
        <v>11</v>
      </c>
      <c r="C21" s="65" t="s">
        <v>53</v>
      </c>
      <c r="D21" s="69">
        <f t="shared" si="1"/>
        <v>0</v>
      </c>
      <c r="E21" s="67"/>
      <c r="F21" s="69">
        <f t="shared" si="2"/>
        <v>0</v>
      </c>
      <c r="G21" s="67"/>
      <c r="H21" s="69">
        <f t="shared" si="3"/>
        <v>0</v>
      </c>
      <c r="I21" s="69">
        <f t="shared" si="3"/>
        <v>0</v>
      </c>
      <c r="J21" s="69">
        <f t="shared" si="3"/>
        <v>0</v>
      </c>
      <c r="K21" s="355">
        <f t="shared" si="3"/>
        <v>0</v>
      </c>
      <c r="L21" s="355">
        <f t="shared" si="4"/>
        <v>0</v>
      </c>
      <c r="M21" s="69"/>
      <c r="N21" s="69">
        <f t="shared" si="3"/>
        <v>0</v>
      </c>
      <c r="O21" s="69">
        <f t="shared" si="3"/>
        <v>0</v>
      </c>
      <c r="P21" s="69">
        <f t="shared" si="3"/>
        <v>0</v>
      </c>
      <c r="Q21" s="69">
        <f t="shared" si="3"/>
        <v>0</v>
      </c>
      <c r="R21" s="188">
        <f t="shared" si="5"/>
        <v>-63106583.308967724</v>
      </c>
      <c r="S21" s="69">
        <f t="shared" si="6"/>
        <v>0</v>
      </c>
      <c r="T21" s="66"/>
    </row>
    <row r="22" spans="1:20">
      <c r="A22" s="64">
        <f t="shared" si="0"/>
        <v>12</v>
      </c>
      <c r="C22" s="65" t="s">
        <v>54</v>
      </c>
      <c r="D22" s="69">
        <f t="shared" si="1"/>
        <v>0</v>
      </c>
      <c r="E22" s="67"/>
      <c r="F22" s="69">
        <f t="shared" si="2"/>
        <v>0</v>
      </c>
      <c r="G22" s="67"/>
      <c r="H22" s="69">
        <f t="shared" si="3"/>
        <v>0</v>
      </c>
      <c r="I22" s="69">
        <f t="shared" si="3"/>
        <v>0</v>
      </c>
      <c r="J22" s="69">
        <f t="shared" si="3"/>
        <v>0</v>
      </c>
      <c r="K22" s="355">
        <f t="shared" si="3"/>
        <v>0</v>
      </c>
      <c r="L22" s="355">
        <f t="shared" si="4"/>
        <v>0</v>
      </c>
      <c r="M22" s="69"/>
      <c r="N22" s="69">
        <f t="shared" si="3"/>
        <v>0</v>
      </c>
      <c r="O22" s="69">
        <f t="shared" si="3"/>
        <v>0</v>
      </c>
      <c r="P22" s="69">
        <f t="shared" si="3"/>
        <v>0</v>
      </c>
      <c r="Q22" s="69">
        <f t="shared" si="3"/>
        <v>0</v>
      </c>
      <c r="R22" s="188">
        <f t="shared" si="5"/>
        <v>-63014865.478967726</v>
      </c>
      <c r="S22" s="69">
        <f t="shared" si="6"/>
        <v>0</v>
      </c>
      <c r="T22" s="66"/>
    </row>
    <row r="23" spans="1:20">
      <c r="A23" s="64">
        <f t="shared" si="0"/>
        <v>13</v>
      </c>
      <c r="C23" s="65" t="s">
        <v>55</v>
      </c>
      <c r="D23" s="69">
        <f t="shared" si="1"/>
        <v>0</v>
      </c>
      <c r="E23" s="67"/>
      <c r="F23" s="69">
        <f t="shared" si="2"/>
        <v>0</v>
      </c>
      <c r="G23" s="67"/>
      <c r="H23" s="69">
        <f t="shared" si="3"/>
        <v>0</v>
      </c>
      <c r="I23" s="69">
        <f t="shared" si="3"/>
        <v>0</v>
      </c>
      <c r="J23" s="69">
        <f t="shared" si="3"/>
        <v>0</v>
      </c>
      <c r="K23" s="355">
        <f t="shared" si="3"/>
        <v>0</v>
      </c>
      <c r="L23" s="355">
        <f t="shared" si="4"/>
        <v>0</v>
      </c>
      <c r="M23" s="69"/>
      <c r="N23" s="69">
        <f t="shared" si="3"/>
        <v>0</v>
      </c>
      <c r="O23" s="69">
        <f t="shared" si="3"/>
        <v>0</v>
      </c>
      <c r="P23" s="69">
        <f t="shared" si="3"/>
        <v>0</v>
      </c>
      <c r="Q23" s="69">
        <f t="shared" si="3"/>
        <v>0</v>
      </c>
      <c r="R23" s="188">
        <f t="shared" si="5"/>
        <v>-62923147.648967721</v>
      </c>
      <c r="S23" s="69">
        <f t="shared" si="6"/>
        <v>0</v>
      </c>
      <c r="T23" s="66"/>
    </row>
    <row r="24" spans="1:20">
      <c r="A24" s="64">
        <f t="shared" si="0"/>
        <v>14</v>
      </c>
      <c r="C24" s="65" t="s">
        <v>1111</v>
      </c>
      <c r="D24" s="66">
        <f t="shared" si="1"/>
        <v>0</v>
      </c>
      <c r="E24" s="67"/>
      <c r="F24" s="66">
        <f t="shared" si="2"/>
        <v>0</v>
      </c>
      <c r="G24" s="67"/>
      <c r="H24" s="66">
        <f t="shared" si="3"/>
        <v>0</v>
      </c>
      <c r="I24" s="69">
        <f t="shared" si="3"/>
        <v>0</v>
      </c>
      <c r="J24" s="69">
        <f t="shared" si="3"/>
        <v>0</v>
      </c>
      <c r="K24" s="355">
        <f t="shared" si="3"/>
        <v>0</v>
      </c>
      <c r="L24" s="163">
        <f t="shared" si="4"/>
        <v>0</v>
      </c>
      <c r="M24" s="69"/>
      <c r="N24" s="69">
        <f t="shared" si="3"/>
        <v>0</v>
      </c>
      <c r="O24" s="69">
        <f t="shared" si="3"/>
        <v>0</v>
      </c>
      <c r="P24" s="69">
        <f t="shared" si="3"/>
        <v>0</v>
      </c>
      <c r="Q24" s="69">
        <f t="shared" si="3"/>
        <v>0</v>
      </c>
      <c r="R24" s="188">
        <f t="shared" si="5"/>
        <v>-62831429.81896773</v>
      </c>
      <c r="S24" s="69">
        <f t="shared" si="6"/>
        <v>0</v>
      </c>
      <c r="T24" s="66"/>
    </row>
    <row r="25" spans="1:20">
      <c r="A25" s="64">
        <f t="shared" si="0"/>
        <v>15</v>
      </c>
      <c r="C25" s="65"/>
      <c r="D25" s="72"/>
      <c r="E25" s="73"/>
      <c r="F25" s="72"/>
      <c r="H25" s="72"/>
      <c r="J25" s="72"/>
      <c r="K25" s="142"/>
      <c r="L25" s="159"/>
      <c r="M25" s="73"/>
      <c r="N25" s="72"/>
      <c r="O25" s="73"/>
      <c r="P25" s="74"/>
      <c r="Q25" s="75"/>
      <c r="R25" s="74"/>
      <c r="S25" s="75"/>
      <c r="T25" s="76"/>
    </row>
    <row r="26" spans="1:20">
      <c r="A26" s="64">
        <f t="shared" si="0"/>
        <v>16</v>
      </c>
      <c r="C26" s="121" t="s">
        <v>90</v>
      </c>
      <c r="D26" s="120">
        <f>D52+D78</f>
        <v>-33326002.384332277</v>
      </c>
      <c r="E26" s="118"/>
      <c r="F26" s="120">
        <f>F52+F78</f>
        <v>-3737382806.7134914</v>
      </c>
      <c r="G26" s="53"/>
      <c r="H26" s="120">
        <f>H52+H78</f>
        <v>-239377684.67396876</v>
      </c>
      <c r="I26" s="126"/>
      <c r="J26" s="120">
        <f>J52+J78</f>
        <v>1057101863.6529257</v>
      </c>
      <c r="K26" s="154"/>
      <c r="L26" s="270">
        <f>L52+L78</f>
        <v>0</v>
      </c>
      <c r="M26" s="127"/>
      <c r="N26" s="120">
        <f>N52+N78</f>
        <v>0</v>
      </c>
      <c r="O26" s="125"/>
      <c r="P26" s="120">
        <f>P52+P78</f>
        <v>0</v>
      </c>
      <c r="Q26" s="81"/>
      <c r="R26" s="120">
        <f>R52+R78</f>
        <v>-63381736.798967719</v>
      </c>
      <c r="S26" s="81"/>
      <c r="T26" s="120">
        <f>T52+T78</f>
        <v>-3016366366.9178343</v>
      </c>
    </row>
    <row r="27" spans="1:20">
      <c r="A27" s="64">
        <f t="shared" si="0"/>
        <v>17</v>
      </c>
      <c r="C27" s="121" t="s">
        <v>874</v>
      </c>
      <c r="D27" s="69">
        <f t="shared" ref="D27:F28" si="7">D53+D79</f>
        <v>0</v>
      </c>
      <c r="E27" s="118"/>
      <c r="F27" s="69">
        <f t="shared" si="7"/>
        <v>0</v>
      </c>
      <c r="G27" s="53"/>
      <c r="H27" s="69">
        <f>H53+H79</f>
        <v>0</v>
      </c>
      <c r="I27" s="126"/>
      <c r="J27" s="69">
        <f>J53+J79</f>
        <v>21167981.55296731</v>
      </c>
      <c r="K27" s="154"/>
      <c r="L27" s="355">
        <f>L53+L79</f>
        <v>0</v>
      </c>
      <c r="M27" s="127"/>
      <c r="N27" s="69">
        <f>N53+N79</f>
        <v>0</v>
      </c>
      <c r="O27" s="125"/>
      <c r="P27" s="69">
        <f>P53+P79</f>
        <v>0</v>
      </c>
      <c r="Q27" s="81"/>
      <c r="R27" s="69">
        <f>R53+R79</f>
        <v>0</v>
      </c>
      <c r="S27" s="81"/>
      <c r="T27" s="69">
        <f>T53+T79</f>
        <v>21167981.55296731</v>
      </c>
    </row>
    <row r="28" spans="1:20">
      <c r="A28" s="64">
        <f t="shared" si="0"/>
        <v>18</v>
      </c>
      <c r="C28" s="121" t="s">
        <v>875</v>
      </c>
      <c r="D28" s="116">
        <f t="shared" si="7"/>
        <v>0</v>
      </c>
      <c r="E28" s="118"/>
      <c r="F28" s="116">
        <f t="shared" si="7"/>
        <v>0</v>
      </c>
      <c r="G28" s="53"/>
      <c r="H28" s="116">
        <f>H54+H80</f>
        <v>0</v>
      </c>
      <c r="I28" s="126"/>
      <c r="J28" s="116">
        <f>J54+J80</f>
        <v>0</v>
      </c>
      <c r="K28" s="154"/>
      <c r="L28" s="357">
        <f>L54+L80</f>
        <v>0</v>
      </c>
      <c r="M28" s="127"/>
      <c r="N28" s="116">
        <f>N54+N80</f>
        <v>0</v>
      </c>
      <c r="O28" s="125"/>
      <c r="P28" s="116">
        <f>P54+P80</f>
        <v>0</v>
      </c>
      <c r="Q28" s="81"/>
      <c r="R28" s="116">
        <f>R54+R80</f>
        <v>0</v>
      </c>
      <c r="S28" s="81"/>
      <c r="T28" s="116">
        <f>T54+T80</f>
        <v>0</v>
      </c>
    </row>
    <row r="29" spans="1:20">
      <c r="A29" s="64">
        <f t="shared" si="0"/>
        <v>19</v>
      </c>
      <c r="C29" s="121"/>
      <c r="D29" s="120"/>
      <c r="E29" s="118"/>
      <c r="F29" s="120"/>
      <c r="G29" s="53"/>
      <c r="H29" s="120"/>
      <c r="I29" s="126"/>
      <c r="J29" s="120"/>
      <c r="K29" s="154"/>
      <c r="L29" s="270"/>
      <c r="M29" s="127"/>
      <c r="N29" s="120"/>
      <c r="O29" s="125"/>
      <c r="P29" s="270"/>
      <c r="Q29" s="175"/>
      <c r="R29" s="176" t="s">
        <v>29</v>
      </c>
      <c r="S29" s="81"/>
      <c r="T29" s="120"/>
    </row>
    <row r="30" spans="1:20" ht="12.75" thickBot="1">
      <c r="A30" s="64">
        <f t="shared" si="0"/>
        <v>20</v>
      </c>
      <c r="C30" s="121" t="s">
        <v>91</v>
      </c>
      <c r="D30" s="78">
        <f>+D26-D27-D28</f>
        <v>-33326002.384332277</v>
      </c>
      <c r="E30" s="118"/>
      <c r="F30" s="78">
        <f>+F26-F27-F28</f>
        <v>-3737382806.7134914</v>
      </c>
      <c r="G30" s="53"/>
      <c r="H30" s="78">
        <f>+H26-H27-H28</f>
        <v>-239377684.67396876</v>
      </c>
      <c r="I30" s="126"/>
      <c r="J30" s="78">
        <f>+J26-J27-J28</f>
        <v>1035933882.0999584</v>
      </c>
      <c r="K30" s="154"/>
      <c r="L30" s="86">
        <f>+L26-L27-L28</f>
        <v>0</v>
      </c>
      <c r="M30" s="127"/>
      <c r="N30" s="78">
        <f>+N26-N27-N28</f>
        <v>0</v>
      </c>
      <c r="O30" s="125"/>
      <c r="P30" s="86">
        <f>+P26-P27-P28</f>
        <v>0</v>
      </c>
      <c r="Q30" s="175"/>
      <c r="R30" s="270">
        <f>+R26-R27-R28</f>
        <v>-63381736.798967719</v>
      </c>
      <c r="S30" s="81"/>
      <c r="T30" s="78">
        <f>+T26-T27-T28</f>
        <v>-3037534348.4708014</v>
      </c>
    </row>
    <row r="31" spans="1:20" ht="13.5" customHeight="1" thickTop="1">
      <c r="A31" s="64">
        <f t="shared" si="0"/>
        <v>21</v>
      </c>
      <c r="D31" s="73"/>
      <c r="E31" s="73"/>
      <c r="F31" s="73"/>
      <c r="H31" s="73"/>
      <c r="J31" s="73"/>
      <c r="K31" s="142"/>
      <c r="L31" s="142"/>
      <c r="M31" s="73"/>
      <c r="N31" s="73"/>
      <c r="O31" s="73"/>
      <c r="P31" s="270"/>
      <c r="Q31" s="175"/>
      <c r="R31" s="271">
        <f>SUM(P30:R30)</f>
        <v>-63381736.798967719</v>
      </c>
      <c r="S31" s="73"/>
      <c r="T31" s="71"/>
    </row>
    <row r="32" spans="1:20">
      <c r="A32" s="64">
        <f t="shared" si="0"/>
        <v>22</v>
      </c>
      <c r="D32" s="19"/>
      <c r="E32" s="19"/>
      <c r="F32" s="19"/>
      <c r="G32" s="19"/>
      <c r="K32" s="353"/>
      <c r="M32" s="54"/>
      <c r="O32" s="54"/>
      <c r="P32" s="54"/>
      <c r="Q32" s="54"/>
      <c r="R32" s="54"/>
      <c r="S32" s="54"/>
      <c r="T32" s="55"/>
    </row>
    <row r="33" spans="1:20">
      <c r="A33" s="19"/>
      <c r="B33" s="19"/>
      <c r="C33" s="19"/>
      <c r="D33" s="1204" t="s">
        <v>863</v>
      </c>
      <c r="E33" s="1204"/>
      <c r="F33" s="1204"/>
      <c r="G33" s="1204"/>
      <c r="H33" s="1204"/>
      <c r="I33" s="1204"/>
      <c r="J33" s="1204"/>
      <c r="K33" s="353"/>
      <c r="L33" s="354" t="s">
        <v>109</v>
      </c>
      <c r="M33" s="54"/>
      <c r="N33" s="1202" t="s">
        <v>864</v>
      </c>
      <c r="O33" s="1202"/>
      <c r="P33" s="1202"/>
      <c r="Q33" s="1202"/>
      <c r="R33" s="1202"/>
      <c r="S33" s="54"/>
      <c r="T33" s="55"/>
    </row>
    <row r="34" spans="1:20">
      <c r="A34" s="64">
        <f>+A32+1</f>
        <v>23</v>
      </c>
      <c r="D34" s="69"/>
      <c r="E34" s="67"/>
      <c r="F34" s="69"/>
      <c r="G34" s="67"/>
      <c r="H34" s="69"/>
      <c r="I34" s="69"/>
      <c r="J34" s="69"/>
      <c r="K34" s="353"/>
      <c r="L34" s="355"/>
      <c r="M34" s="54"/>
      <c r="N34" s="69"/>
      <c r="O34" s="69"/>
      <c r="P34" s="69"/>
      <c r="Q34" s="54"/>
      <c r="R34" s="57" t="s">
        <v>868</v>
      </c>
      <c r="S34" s="54"/>
      <c r="T34" s="55" t="s">
        <v>23</v>
      </c>
    </row>
    <row r="35" spans="1:20">
      <c r="A35" s="64">
        <f t="shared" si="0"/>
        <v>24</v>
      </c>
      <c r="D35" s="54" t="s">
        <v>56</v>
      </c>
      <c r="E35" s="57"/>
      <c r="F35" s="54" t="s">
        <v>56</v>
      </c>
      <c r="G35" s="57"/>
      <c r="H35" s="57" t="s">
        <v>56</v>
      </c>
      <c r="I35" s="57"/>
      <c r="J35" s="54" t="s">
        <v>56</v>
      </c>
      <c r="L35" s="353" t="s">
        <v>56</v>
      </c>
      <c r="N35" s="57" t="s">
        <v>866</v>
      </c>
      <c r="O35" s="57"/>
      <c r="P35" s="57" t="s">
        <v>96</v>
      </c>
      <c r="R35" s="55" t="s">
        <v>869</v>
      </c>
      <c r="T35" s="55" t="s">
        <v>42</v>
      </c>
    </row>
    <row r="36" spans="1:20">
      <c r="A36" s="64">
        <f t="shared" si="0"/>
        <v>25</v>
      </c>
      <c r="C36" s="19"/>
      <c r="D36" s="54">
        <v>281</v>
      </c>
      <c r="E36" s="57"/>
      <c r="F36" s="55">
        <v>282</v>
      </c>
      <c r="G36" s="57"/>
      <c r="H36" s="54">
        <v>283</v>
      </c>
      <c r="J36" s="54">
        <v>190</v>
      </c>
      <c r="L36" s="353">
        <v>255</v>
      </c>
      <c r="N36" s="54" t="s">
        <v>867</v>
      </c>
      <c r="P36" s="59" t="s">
        <v>869</v>
      </c>
      <c r="Q36" s="55"/>
      <c r="R36" s="59" t="s">
        <v>94</v>
      </c>
      <c r="S36" s="55"/>
      <c r="T36" s="59" t="s">
        <v>865</v>
      </c>
    </row>
    <row r="37" spans="1:20">
      <c r="A37" s="64">
        <f t="shared" si="0"/>
        <v>26</v>
      </c>
      <c r="B37" s="180" t="s">
        <v>110</v>
      </c>
      <c r="C37" s="181"/>
      <c r="D37" s="63"/>
      <c r="F37" s="63"/>
      <c r="H37" s="63"/>
      <c r="J37" s="63"/>
      <c r="L37" s="356"/>
      <c r="N37" s="63"/>
      <c r="T37" s="83"/>
    </row>
    <row r="38" spans="1:20">
      <c r="A38" s="64">
        <f t="shared" si="0"/>
        <v>27</v>
      </c>
      <c r="C38" s="65" t="s">
        <v>997</v>
      </c>
      <c r="D38" s="150"/>
      <c r="E38" s="141"/>
      <c r="F38" s="150"/>
      <c r="G38" s="141"/>
      <c r="H38" s="150"/>
      <c r="I38" s="141"/>
      <c r="J38" s="150"/>
      <c r="K38" s="141"/>
      <c r="L38" s="150">
        <v>0</v>
      </c>
      <c r="M38" s="141"/>
      <c r="N38" s="150">
        <v>0</v>
      </c>
      <c r="O38" s="151"/>
      <c r="P38" s="150">
        <v>0</v>
      </c>
      <c r="Q38" s="68"/>
      <c r="R38" s="150">
        <f>'Prefunded AFUDC'!H5</f>
        <v>-63932043.778967731</v>
      </c>
      <c r="S38" s="68"/>
      <c r="T38" s="66"/>
    </row>
    <row r="39" spans="1:20">
      <c r="A39" s="64">
        <f t="shared" si="0"/>
        <v>28</v>
      </c>
      <c r="C39" s="65" t="s">
        <v>1110</v>
      </c>
      <c r="D39" s="67"/>
      <c r="E39" s="141"/>
      <c r="F39" s="67"/>
      <c r="G39" s="141"/>
      <c r="H39" s="141"/>
      <c r="I39" s="141"/>
      <c r="J39" s="141"/>
      <c r="K39" s="141"/>
      <c r="L39" s="141"/>
      <c r="M39" s="141"/>
      <c r="N39" s="141"/>
      <c r="O39" s="151"/>
      <c r="P39" s="67"/>
      <c r="Q39" s="70"/>
      <c r="R39" s="152">
        <f>'Prefunded AFUDC'!H6</f>
        <v>-63840325.948967725</v>
      </c>
      <c r="S39" s="70"/>
      <c r="T39" s="66"/>
    </row>
    <row r="40" spans="1:20">
      <c r="A40" s="64">
        <f t="shared" si="0"/>
        <v>29</v>
      </c>
      <c r="C40" s="65" t="s">
        <v>47</v>
      </c>
      <c r="D40" s="67"/>
      <c r="E40" s="141"/>
      <c r="F40" s="67"/>
      <c r="G40" s="141"/>
      <c r="H40" s="141"/>
      <c r="I40" s="141"/>
      <c r="J40" s="141"/>
      <c r="K40" s="141"/>
      <c r="L40" s="141"/>
      <c r="M40" s="141"/>
      <c r="N40" s="141"/>
      <c r="O40" s="151"/>
      <c r="P40" s="67"/>
      <c r="Q40" s="70"/>
      <c r="R40" s="152">
        <f>'Prefunded AFUDC'!H7</f>
        <v>-63748608.118967727</v>
      </c>
      <c r="S40" s="70"/>
      <c r="T40" s="66"/>
    </row>
    <row r="41" spans="1:20">
      <c r="A41" s="64">
        <f t="shared" si="0"/>
        <v>30</v>
      </c>
      <c r="C41" s="65" t="s">
        <v>48</v>
      </c>
      <c r="D41" s="67"/>
      <c r="E41" s="141"/>
      <c r="F41" s="67"/>
      <c r="G41" s="141"/>
      <c r="H41" s="141"/>
      <c r="I41" s="141"/>
      <c r="J41" s="141"/>
      <c r="K41" s="141"/>
      <c r="L41" s="141"/>
      <c r="M41" s="141"/>
      <c r="N41" s="141"/>
      <c r="O41" s="151"/>
      <c r="P41" s="67"/>
      <c r="Q41" s="70"/>
      <c r="R41" s="152">
        <f>'Prefunded AFUDC'!H8</f>
        <v>-63656890.288967729</v>
      </c>
      <c r="S41" s="70"/>
      <c r="T41" s="66"/>
    </row>
    <row r="42" spans="1:20">
      <c r="A42" s="64">
        <f t="shared" si="0"/>
        <v>31</v>
      </c>
      <c r="C42" s="65" t="s">
        <v>49</v>
      </c>
      <c r="D42" s="67"/>
      <c r="E42" s="141"/>
      <c r="F42" s="67"/>
      <c r="G42" s="141"/>
      <c r="H42" s="141"/>
      <c r="I42" s="141"/>
      <c r="J42" s="141"/>
      <c r="K42" s="141"/>
      <c r="L42" s="141"/>
      <c r="M42" s="141"/>
      <c r="N42" s="141"/>
      <c r="O42" s="151"/>
      <c r="P42" s="67"/>
      <c r="Q42" s="70"/>
      <c r="R42" s="152">
        <f>'Prefunded AFUDC'!H9</f>
        <v>-63565172.458967723</v>
      </c>
      <c r="S42" s="70"/>
      <c r="T42" s="66"/>
    </row>
    <row r="43" spans="1:20">
      <c r="A43" s="64">
        <f t="shared" si="0"/>
        <v>32</v>
      </c>
      <c r="C43" s="65" t="s">
        <v>21</v>
      </c>
      <c r="D43" s="67"/>
      <c r="E43" s="141"/>
      <c r="F43" s="67"/>
      <c r="G43" s="141"/>
      <c r="H43" s="141"/>
      <c r="I43" s="141"/>
      <c r="J43" s="141"/>
      <c r="K43" s="141"/>
      <c r="L43" s="141"/>
      <c r="M43" s="141"/>
      <c r="N43" s="141"/>
      <c r="O43" s="151"/>
      <c r="P43" s="67"/>
      <c r="Q43" s="70"/>
      <c r="R43" s="152">
        <f>'Prefunded AFUDC'!H10</f>
        <v>-63473454.628967725</v>
      </c>
      <c r="S43" s="70"/>
      <c r="T43" s="66"/>
    </row>
    <row r="44" spans="1:20">
      <c r="A44" s="64">
        <f t="shared" si="0"/>
        <v>33</v>
      </c>
      <c r="C44" s="65" t="s">
        <v>50</v>
      </c>
      <c r="D44" s="67"/>
      <c r="E44" s="141"/>
      <c r="F44" s="67"/>
      <c r="G44" s="141"/>
      <c r="H44" s="141"/>
      <c r="I44" s="141"/>
      <c r="J44" s="141"/>
      <c r="K44" s="141"/>
      <c r="L44" s="141"/>
      <c r="M44" s="141"/>
      <c r="N44" s="141"/>
      <c r="O44" s="151"/>
      <c r="P44" s="67"/>
      <c r="Q44" s="70"/>
      <c r="R44" s="152">
        <f>'Prefunded AFUDC'!H11</f>
        <v>-63381736.798967727</v>
      </c>
      <c r="S44" s="70"/>
      <c r="T44" s="66"/>
    </row>
    <row r="45" spans="1:20">
      <c r="A45" s="64">
        <f t="shared" si="0"/>
        <v>34</v>
      </c>
      <c r="C45" s="65" t="s">
        <v>51</v>
      </c>
      <c r="D45" s="67"/>
      <c r="E45" s="141"/>
      <c r="F45" s="67"/>
      <c r="G45" s="141"/>
      <c r="H45" s="141"/>
      <c r="I45" s="141"/>
      <c r="J45" s="141"/>
      <c r="K45" s="141"/>
      <c r="L45" s="141"/>
      <c r="M45" s="141"/>
      <c r="N45" s="141"/>
      <c r="O45" s="151"/>
      <c r="P45" s="67"/>
      <c r="Q45" s="70"/>
      <c r="R45" s="152">
        <f>'Prefunded AFUDC'!H12</f>
        <v>-63290018.968967728</v>
      </c>
      <c r="S45" s="70"/>
      <c r="T45" s="66"/>
    </row>
    <row r="46" spans="1:20">
      <c r="A46" s="64">
        <f t="shared" si="0"/>
        <v>35</v>
      </c>
      <c r="C46" s="65" t="s">
        <v>52</v>
      </c>
      <c r="D46" s="67"/>
      <c r="E46" s="141"/>
      <c r="F46" s="67"/>
      <c r="G46" s="141"/>
      <c r="H46" s="141"/>
      <c r="I46" s="141"/>
      <c r="J46" s="141"/>
      <c r="K46" s="141"/>
      <c r="L46" s="141"/>
      <c r="M46" s="141"/>
      <c r="N46" s="141"/>
      <c r="O46" s="151"/>
      <c r="P46" s="67"/>
      <c r="Q46" s="70"/>
      <c r="R46" s="152">
        <f>'Prefunded AFUDC'!H13</f>
        <v>-63198301.13896773</v>
      </c>
      <c r="S46" s="70"/>
      <c r="T46" s="66"/>
    </row>
    <row r="47" spans="1:20">
      <c r="A47" s="64">
        <f t="shared" si="0"/>
        <v>36</v>
      </c>
      <c r="C47" s="65" t="s">
        <v>53</v>
      </c>
      <c r="D47" s="67"/>
      <c r="E47" s="141"/>
      <c r="F47" s="67"/>
      <c r="G47" s="141"/>
      <c r="H47" s="141"/>
      <c r="I47" s="141"/>
      <c r="J47" s="141"/>
      <c r="K47" s="141"/>
      <c r="L47" s="141"/>
      <c r="M47" s="141"/>
      <c r="N47" s="141"/>
      <c r="O47" s="151"/>
      <c r="P47" s="67"/>
      <c r="Q47" s="70"/>
      <c r="R47" s="152">
        <f>'Prefunded AFUDC'!H14</f>
        <v>-63106583.308967724</v>
      </c>
      <c r="S47" s="70"/>
      <c r="T47" s="66"/>
    </row>
    <row r="48" spans="1:20">
      <c r="A48" s="64">
        <f t="shared" si="0"/>
        <v>37</v>
      </c>
      <c r="C48" s="65" t="s">
        <v>54</v>
      </c>
      <c r="D48" s="67"/>
      <c r="E48" s="141"/>
      <c r="F48" s="67"/>
      <c r="G48" s="141"/>
      <c r="H48" s="141"/>
      <c r="I48" s="141"/>
      <c r="J48" s="141"/>
      <c r="K48" s="141"/>
      <c r="L48" s="141"/>
      <c r="M48" s="141"/>
      <c r="N48" s="141"/>
      <c r="O48" s="151"/>
      <c r="P48" s="67"/>
      <c r="Q48" s="70"/>
      <c r="R48" s="152">
        <f>'Prefunded AFUDC'!H15</f>
        <v>-63014865.478967726</v>
      </c>
      <c r="S48" s="70"/>
      <c r="T48" s="66"/>
    </row>
    <row r="49" spans="1:20">
      <c r="A49" s="64">
        <f t="shared" si="0"/>
        <v>38</v>
      </c>
      <c r="C49" s="65" t="s">
        <v>55</v>
      </c>
      <c r="D49" s="67"/>
      <c r="E49" s="141"/>
      <c r="F49" s="67"/>
      <c r="G49" s="141"/>
      <c r="H49" s="141"/>
      <c r="I49" s="141"/>
      <c r="J49" s="141"/>
      <c r="K49" s="141"/>
      <c r="L49" s="141"/>
      <c r="M49" s="141"/>
      <c r="N49" s="141"/>
      <c r="O49" s="151"/>
      <c r="P49" s="67"/>
      <c r="Q49" s="70"/>
      <c r="R49" s="152">
        <f>'Prefunded AFUDC'!H16</f>
        <v>-62923147.648967721</v>
      </c>
      <c r="S49" s="70"/>
      <c r="T49" s="66"/>
    </row>
    <row r="50" spans="1:20">
      <c r="A50" s="64">
        <f t="shared" si="0"/>
        <v>39</v>
      </c>
      <c r="C50" s="65" t="s">
        <v>1111</v>
      </c>
      <c r="D50" s="150"/>
      <c r="E50" s="141"/>
      <c r="F50" s="150"/>
      <c r="G50" s="141"/>
      <c r="H50" s="152"/>
      <c r="I50" s="141"/>
      <c r="J50" s="152"/>
      <c r="K50" s="141"/>
      <c r="L50" s="152">
        <v>0</v>
      </c>
      <c r="M50" s="141"/>
      <c r="N50" s="141">
        <v>0</v>
      </c>
      <c r="O50" s="151"/>
      <c r="P50" s="141"/>
      <c r="Q50" s="70"/>
      <c r="R50" s="152">
        <f>'Prefunded AFUDC'!H17</f>
        <v>-62831429.81896773</v>
      </c>
      <c r="S50" s="70"/>
      <c r="T50" s="66"/>
    </row>
    <row r="51" spans="1:20">
      <c r="A51" s="64">
        <f t="shared" si="0"/>
        <v>40</v>
      </c>
      <c r="C51" s="65"/>
      <c r="D51" s="72"/>
      <c r="E51" s="73"/>
      <c r="F51" s="72"/>
      <c r="H51" s="72"/>
      <c r="J51" s="72"/>
      <c r="K51" s="142"/>
      <c r="L51" s="159"/>
      <c r="M51" s="73"/>
      <c r="N51" s="72"/>
      <c r="O51" s="73"/>
      <c r="P51" s="74"/>
      <c r="Q51" s="75"/>
      <c r="R51" s="74"/>
      <c r="S51" s="75"/>
      <c r="T51" s="76"/>
    </row>
    <row r="52" spans="1:20">
      <c r="A52" s="64">
        <f t="shared" si="0"/>
        <v>41</v>
      </c>
      <c r="C52" s="121" t="s">
        <v>998</v>
      </c>
      <c r="D52" s="120">
        <f>'ADIT Pro-Rate'!J63</f>
        <v>-30187602.851023536</v>
      </c>
      <c r="E52" s="118"/>
      <c r="F52" s="120">
        <f>'ADIT Pro-Rate'!J94</f>
        <v>-3312199536.1252742</v>
      </c>
      <c r="G52" s="53"/>
      <c r="H52" s="120">
        <f>'ADIT Pro-Rate'!J125</f>
        <v>-198799113.78190762</v>
      </c>
      <c r="I52" s="126"/>
      <c r="J52" s="120">
        <f>'ADIT Pro-Rate'!J32</f>
        <v>989199009.3047967</v>
      </c>
      <c r="K52" s="154"/>
      <c r="L52" s="270">
        <f>SUM(L38:L50)/2</f>
        <v>0</v>
      </c>
      <c r="M52" s="127"/>
      <c r="N52" s="120">
        <f>SUM(N38:N50)/2</f>
        <v>0</v>
      </c>
      <c r="O52" s="125"/>
      <c r="P52" s="120">
        <f>SUM(P38:P50)/2</f>
        <v>0</v>
      </c>
      <c r="Q52" s="81"/>
      <c r="R52" s="120">
        <f>SUM(R38:R50)/13</f>
        <v>-63381736.798967719</v>
      </c>
      <c r="S52" s="81"/>
      <c r="T52" s="120">
        <f>SUM(D52:R52)</f>
        <v>-2615368980.2523766</v>
      </c>
    </row>
    <row r="53" spans="1:20">
      <c r="A53" s="64">
        <f>+A52+1</f>
        <v>42</v>
      </c>
      <c r="C53" s="174" t="s">
        <v>1192</v>
      </c>
      <c r="D53" s="67"/>
      <c r="E53" s="118"/>
      <c r="F53" s="67"/>
      <c r="G53" s="53"/>
      <c r="I53" s="153"/>
      <c r="J53" s="152">
        <f>'ADIT Pro-Rate'!J33</f>
        <v>19054288.55296731</v>
      </c>
      <c r="K53" s="154"/>
      <c r="L53" s="152"/>
      <c r="M53" s="127"/>
      <c r="N53" s="67"/>
      <c r="O53" s="125"/>
      <c r="P53" s="67"/>
      <c r="Q53" s="81"/>
      <c r="R53" s="67"/>
      <c r="S53" s="81"/>
      <c r="T53" s="125">
        <f>SUM(D53:R53)</f>
        <v>19054288.55296731</v>
      </c>
    </row>
    <row r="54" spans="1:20">
      <c r="A54" s="64">
        <f>+A53+1</f>
        <v>43</v>
      </c>
      <c r="C54" s="174"/>
      <c r="D54" s="124"/>
      <c r="E54" s="73"/>
      <c r="F54" s="156"/>
      <c r="G54" s="87"/>
      <c r="H54" s="156"/>
      <c r="I54" s="140"/>
      <c r="J54" s="156"/>
      <c r="K54" s="157"/>
      <c r="L54" s="156"/>
      <c r="M54" s="79"/>
      <c r="N54" s="124"/>
      <c r="O54" s="80"/>
      <c r="P54" s="124"/>
      <c r="Q54" s="81"/>
      <c r="R54" s="124"/>
      <c r="S54" s="81"/>
      <c r="T54" s="279">
        <f>SUM(D54:R54)</f>
        <v>0</v>
      </c>
    </row>
    <row r="55" spans="1:20">
      <c r="A55" s="64">
        <f t="shared" si="0"/>
        <v>44</v>
      </c>
      <c r="C55" s="121"/>
      <c r="D55" s="120"/>
      <c r="E55" s="73"/>
      <c r="F55" s="120"/>
      <c r="H55" s="120"/>
      <c r="I55" s="47"/>
      <c r="J55" s="120"/>
      <c r="K55" s="157"/>
      <c r="L55" s="270"/>
      <c r="M55" s="79"/>
      <c r="N55" s="120"/>
      <c r="O55" s="80"/>
      <c r="P55" s="120"/>
      <c r="Q55" s="81"/>
      <c r="R55" s="176" t="s">
        <v>29</v>
      </c>
      <c r="S55" s="81"/>
      <c r="T55" s="120"/>
    </row>
    <row r="56" spans="1:20" ht="12.75" thickBot="1">
      <c r="A56" s="64">
        <f t="shared" si="0"/>
        <v>45</v>
      </c>
      <c r="C56" s="121" t="s">
        <v>91</v>
      </c>
      <c r="D56" s="78">
        <f>+D52-D53-D54</f>
        <v>-30187602.851023536</v>
      </c>
      <c r="E56" s="73"/>
      <c r="F56" s="78">
        <f>+F52-F53-F54</f>
        <v>-3312199536.1252742</v>
      </c>
      <c r="H56" s="78">
        <f>+H52-H53-H54</f>
        <v>-198799113.78190762</v>
      </c>
      <c r="I56" s="47"/>
      <c r="J56" s="78">
        <f>+J52-J53-J54</f>
        <v>970144720.75182939</v>
      </c>
      <c r="K56" s="157"/>
      <c r="L56" s="86">
        <f>+L52-L53-L54</f>
        <v>0</v>
      </c>
      <c r="M56" s="79"/>
      <c r="N56" s="78">
        <f>+N52-N53-N54</f>
        <v>0</v>
      </c>
      <c r="O56" s="80"/>
      <c r="P56" s="86">
        <f>+P52-P53-P54</f>
        <v>0</v>
      </c>
      <c r="Q56" s="175"/>
      <c r="R56" s="178">
        <f>+R52-R53-R54</f>
        <v>-63381736.798967719</v>
      </c>
      <c r="S56" s="81"/>
      <c r="T56" s="78">
        <f>SUM(D56:R56)</f>
        <v>-2634423268.8053441</v>
      </c>
    </row>
    <row r="57" spans="1:20" ht="12.75" thickTop="1">
      <c r="A57" s="64">
        <f t="shared" si="0"/>
        <v>46</v>
      </c>
      <c r="C57" s="77"/>
      <c r="D57" s="120">
        <f>'ADIT Pro-Rate'!J65</f>
        <v>-30187602.851023536</v>
      </c>
      <c r="E57" s="73"/>
      <c r="F57" s="120">
        <f>'ADIT Pro-Rate'!J96</f>
        <v>-3312199536.1252742</v>
      </c>
      <c r="H57" s="120">
        <f>'ADIT Pro-Rate'!J127</f>
        <v>-198799113.78190762</v>
      </c>
      <c r="I57" s="47"/>
      <c r="J57" s="120">
        <f>'ADIT Pro-Rate'!J34</f>
        <v>970144720.75182939</v>
      </c>
      <c r="K57" s="157"/>
      <c r="L57" s="270"/>
      <c r="M57" s="79"/>
      <c r="N57" s="120"/>
      <c r="O57" s="80"/>
      <c r="P57" s="120"/>
      <c r="Q57" s="81"/>
      <c r="R57" s="177">
        <f>SUM(P56:R56)</f>
        <v>-63381736.798967719</v>
      </c>
      <c r="S57" s="81"/>
      <c r="T57" s="128"/>
    </row>
    <row r="58" spans="1:20">
      <c r="A58" s="64">
        <f t="shared" si="0"/>
        <v>47</v>
      </c>
      <c r="C58" s="129"/>
      <c r="D58" s="19"/>
      <c r="E58" s="19"/>
      <c r="F58" s="19"/>
      <c r="G58" s="19"/>
      <c r="H58" s="19"/>
      <c r="I58" s="19"/>
      <c r="J58" s="19"/>
      <c r="K58" s="144"/>
      <c r="L58" s="144"/>
      <c r="M58" s="19"/>
      <c r="N58" s="19"/>
      <c r="O58" s="19"/>
      <c r="P58" s="19"/>
      <c r="Q58" s="19"/>
      <c r="R58" s="19"/>
      <c r="S58" s="19"/>
      <c r="T58" s="19"/>
    </row>
    <row r="59" spans="1:20">
      <c r="A59" s="19"/>
      <c r="B59" s="19"/>
      <c r="C59" s="19"/>
      <c r="D59" s="1204" t="s">
        <v>863</v>
      </c>
      <c r="E59" s="1204"/>
      <c r="F59" s="1204"/>
      <c r="G59" s="1204"/>
      <c r="H59" s="1204"/>
      <c r="I59" s="1204"/>
      <c r="J59" s="1204"/>
      <c r="K59" s="353"/>
      <c r="L59" s="354" t="s">
        <v>109</v>
      </c>
      <c r="M59" s="54"/>
      <c r="N59" s="1202" t="s">
        <v>864</v>
      </c>
      <c r="O59" s="1202"/>
      <c r="P59" s="1202"/>
      <c r="Q59" s="1202"/>
      <c r="R59" s="1202"/>
      <c r="S59" s="54"/>
      <c r="T59" s="55"/>
    </row>
    <row r="60" spans="1:20">
      <c r="A60" s="64">
        <f>+A58+1</f>
        <v>48</v>
      </c>
      <c r="D60" s="69"/>
      <c r="E60" s="67"/>
      <c r="F60" s="69"/>
      <c r="G60" s="67"/>
      <c r="H60" s="69"/>
      <c r="I60" s="69"/>
      <c r="J60" s="69"/>
      <c r="K60" s="353"/>
      <c r="L60" s="355"/>
      <c r="M60" s="54"/>
      <c r="N60" s="69"/>
      <c r="O60" s="69"/>
      <c r="P60" s="69"/>
      <c r="Q60" s="54"/>
      <c r="R60" s="57" t="s">
        <v>868</v>
      </c>
      <c r="S60" s="54"/>
      <c r="T60" s="55" t="s">
        <v>23</v>
      </c>
    </row>
    <row r="61" spans="1:20">
      <c r="A61" s="64">
        <f t="shared" si="0"/>
        <v>49</v>
      </c>
      <c r="C61" s="19"/>
      <c r="D61" s="54" t="s">
        <v>56</v>
      </c>
      <c r="E61" s="57"/>
      <c r="F61" s="54" t="s">
        <v>56</v>
      </c>
      <c r="G61" s="57"/>
      <c r="H61" s="57" t="s">
        <v>56</v>
      </c>
      <c r="I61" s="57"/>
      <c r="J61" s="54" t="s">
        <v>56</v>
      </c>
      <c r="L61" s="353" t="s">
        <v>56</v>
      </c>
      <c r="N61" s="57" t="s">
        <v>866</v>
      </c>
      <c r="O61" s="57"/>
      <c r="P61" s="57" t="s">
        <v>96</v>
      </c>
      <c r="R61" s="55" t="s">
        <v>869</v>
      </c>
      <c r="T61" s="55" t="s">
        <v>42</v>
      </c>
    </row>
    <row r="62" spans="1:20">
      <c r="A62" s="64">
        <f t="shared" si="0"/>
        <v>50</v>
      </c>
      <c r="C62" s="19"/>
      <c r="D62" s="54">
        <v>281</v>
      </c>
      <c r="E62" s="57"/>
      <c r="F62" s="55">
        <v>282</v>
      </c>
      <c r="G62" s="57"/>
      <c r="H62" s="54">
        <v>283</v>
      </c>
      <c r="J62" s="54">
        <v>190</v>
      </c>
      <c r="L62" s="353">
        <v>255</v>
      </c>
      <c r="N62" s="54" t="s">
        <v>867</v>
      </c>
      <c r="P62" s="59" t="s">
        <v>869</v>
      </c>
      <c r="Q62" s="55"/>
      <c r="R62" s="59" t="s">
        <v>94</v>
      </c>
      <c r="S62" s="55"/>
      <c r="T62" s="59" t="s">
        <v>865</v>
      </c>
    </row>
    <row r="63" spans="1:20">
      <c r="A63" s="64">
        <f t="shared" si="0"/>
        <v>51</v>
      </c>
      <c r="B63" s="180" t="s">
        <v>859</v>
      </c>
      <c r="C63" s="181"/>
      <c r="D63" s="63"/>
      <c r="F63" s="63"/>
      <c r="H63" s="63"/>
      <c r="J63" s="63"/>
      <c r="L63" s="356"/>
      <c r="N63" s="63"/>
      <c r="T63" s="83"/>
    </row>
    <row r="64" spans="1:20">
      <c r="A64" s="64">
        <f t="shared" si="0"/>
        <v>52</v>
      </c>
      <c r="C64" s="65" t="s">
        <v>997</v>
      </c>
      <c r="D64" s="901"/>
      <c r="E64" s="896"/>
      <c r="F64" s="901"/>
      <c r="G64" s="896"/>
      <c r="H64" s="901"/>
      <c r="I64" s="896"/>
      <c r="J64" s="901"/>
      <c r="K64" s="141"/>
      <c r="L64" s="150"/>
      <c r="M64" s="141"/>
      <c r="N64" s="150"/>
      <c r="O64" s="151"/>
      <c r="P64" s="150"/>
      <c r="Q64" s="150"/>
      <c r="R64" s="150"/>
      <c r="S64" s="68"/>
      <c r="T64" s="66"/>
    </row>
    <row r="65" spans="1:20">
      <c r="A65" s="64">
        <f t="shared" si="0"/>
        <v>53</v>
      </c>
      <c r="C65" s="65" t="s">
        <v>1110</v>
      </c>
      <c r="D65" s="896"/>
      <c r="E65" s="896"/>
      <c r="F65" s="896"/>
      <c r="G65" s="896"/>
      <c r="H65" s="896"/>
      <c r="I65" s="896"/>
      <c r="J65" s="896"/>
      <c r="K65" s="141"/>
      <c r="L65" s="141"/>
      <c r="M65" s="141"/>
      <c r="N65" s="141"/>
      <c r="O65" s="151"/>
      <c r="P65" s="141"/>
      <c r="Q65" s="341"/>
      <c r="R65" s="141"/>
      <c r="S65" s="70"/>
      <c r="T65" s="66"/>
    </row>
    <row r="66" spans="1:20">
      <c r="A66" s="64">
        <f t="shared" si="0"/>
        <v>54</v>
      </c>
      <c r="C66" s="65" t="s">
        <v>47</v>
      </c>
      <c r="D66" s="896"/>
      <c r="E66" s="896"/>
      <c r="F66" s="896"/>
      <c r="G66" s="896"/>
      <c r="H66" s="896"/>
      <c r="I66" s="896"/>
      <c r="J66" s="896"/>
      <c r="K66" s="141"/>
      <c r="L66" s="141"/>
      <c r="M66" s="141"/>
      <c r="N66" s="141"/>
      <c r="O66" s="151"/>
      <c r="P66" s="141"/>
      <c r="Q66" s="341"/>
      <c r="R66" s="141"/>
      <c r="S66" s="70"/>
      <c r="T66" s="66"/>
    </row>
    <row r="67" spans="1:20">
      <c r="A67" s="64">
        <f t="shared" si="0"/>
        <v>55</v>
      </c>
      <c r="C67" s="65" t="s">
        <v>48</v>
      </c>
      <c r="D67" s="896"/>
      <c r="E67" s="896"/>
      <c r="F67" s="896"/>
      <c r="G67" s="896"/>
      <c r="H67" s="896"/>
      <c r="I67" s="896"/>
      <c r="J67" s="896"/>
      <c r="K67" s="141"/>
      <c r="L67" s="141"/>
      <c r="M67" s="141"/>
      <c r="N67" s="141"/>
      <c r="O67" s="151"/>
      <c r="P67" s="141"/>
      <c r="Q67" s="341"/>
      <c r="R67" s="141"/>
      <c r="S67" s="70"/>
      <c r="T67" s="66"/>
    </row>
    <row r="68" spans="1:20">
      <c r="A68" s="64">
        <f t="shared" si="0"/>
        <v>56</v>
      </c>
      <c r="C68" s="65" t="s">
        <v>49</v>
      </c>
      <c r="D68" s="896"/>
      <c r="E68" s="896"/>
      <c r="F68" s="896"/>
      <c r="G68" s="896"/>
      <c r="H68" s="896"/>
      <c r="I68" s="896"/>
      <c r="J68" s="896"/>
      <c r="K68" s="141"/>
      <c r="L68" s="141"/>
      <c r="M68" s="141"/>
      <c r="N68" s="141"/>
      <c r="O68" s="151"/>
      <c r="P68" s="141"/>
      <c r="Q68" s="341"/>
      <c r="R68" s="141"/>
      <c r="S68" s="70"/>
      <c r="T68" s="66"/>
    </row>
    <row r="69" spans="1:20">
      <c r="A69" s="64">
        <f t="shared" si="0"/>
        <v>57</v>
      </c>
      <c r="C69" s="65" t="s">
        <v>21</v>
      </c>
      <c r="D69" s="896"/>
      <c r="E69" s="896"/>
      <c r="F69" s="896"/>
      <c r="G69" s="896"/>
      <c r="H69" s="896"/>
      <c r="I69" s="896"/>
      <c r="J69" s="896"/>
      <c r="K69" s="141"/>
      <c r="L69" s="141"/>
      <c r="M69" s="141"/>
      <c r="N69" s="141"/>
      <c r="O69" s="151"/>
      <c r="P69" s="141"/>
      <c r="Q69" s="341"/>
      <c r="R69" s="141"/>
      <c r="S69" s="70"/>
      <c r="T69" s="66"/>
    </row>
    <row r="70" spans="1:20">
      <c r="A70" s="64">
        <f t="shared" si="0"/>
        <v>58</v>
      </c>
      <c r="C70" s="65" t="s">
        <v>50</v>
      </c>
      <c r="D70" s="896"/>
      <c r="E70" s="896"/>
      <c r="F70" s="896"/>
      <c r="G70" s="896"/>
      <c r="H70" s="896"/>
      <c r="I70" s="896"/>
      <c r="J70" s="896"/>
      <c r="K70" s="141"/>
      <c r="L70" s="141"/>
      <c r="M70" s="141"/>
      <c r="N70" s="141"/>
      <c r="O70" s="151"/>
      <c r="P70" s="141"/>
      <c r="Q70" s="341"/>
      <c r="R70" s="141"/>
      <c r="S70" s="70"/>
      <c r="T70" s="66"/>
    </row>
    <row r="71" spans="1:20">
      <c r="A71" s="64">
        <f t="shared" si="0"/>
        <v>59</v>
      </c>
      <c r="C71" s="65" t="s">
        <v>51</v>
      </c>
      <c r="D71" s="896"/>
      <c r="E71" s="896"/>
      <c r="F71" s="896"/>
      <c r="G71" s="896"/>
      <c r="H71" s="896"/>
      <c r="I71" s="896"/>
      <c r="J71" s="896"/>
      <c r="K71" s="141"/>
      <c r="L71" s="141"/>
      <c r="M71" s="141"/>
      <c r="N71" s="141"/>
      <c r="O71" s="151"/>
      <c r="P71" s="141"/>
      <c r="Q71" s="341"/>
      <c r="R71" s="141"/>
      <c r="S71" s="70"/>
      <c r="T71" s="66"/>
    </row>
    <row r="72" spans="1:20">
      <c r="A72" s="64">
        <f t="shared" si="0"/>
        <v>60</v>
      </c>
      <c r="C72" s="65" t="s">
        <v>52</v>
      </c>
      <c r="D72" s="896"/>
      <c r="E72" s="896"/>
      <c r="F72" s="896"/>
      <c r="G72" s="896"/>
      <c r="H72" s="896"/>
      <c r="I72" s="896"/>
      <c r="J72" s="896"/>
      <c r="K72" s="141"/>
      <c r="L72" s="141"/>
      <c r="M72" s="141"/>
      <c r="N72" s="141"/>
      <c r="O72" s="151"/>
      <c r="P72" s="141"/>
      <c r="Q72" s="341"/>
      <c r="R72" s="141"/>
      <c r="S72" s="70"/>
      <c r="T72" s="66"/>
    </row>
    <row r="73" spans="1:20">
      <c r="A73" s="64">
        <f t="shared" si="0"/>
        <v>61</v>
      </c>
      <c r="C73" s="65" t="s">
        <v>53</v>
      </c>
      <c r="D73" s="896"/>
      <c r="E73" s="896"/>
      <c r="F73" s="896"/>
      <c r="G73" s="896"/>
      <c r="H73" s="896"/>
      <c r="I73" s="896"/>
      <c r="J73" s="896"/>
      <c r="K73" s="141"/>
      <c r="L73" s="141"/>
      <c r="M73" s="141"/>
      <c r="N73" s="141"/>
      <c r="O73" s="151"/>
      <c r="P73" s="141"/>
      <c r="Q73" s="341"/>
      <c r="R73" s="141"/>
      <c r="S73" s="70"/>
      <c r="T73" s="66"/>
    </row>
    <row r="74" spans="1:20">
      <c r="A74" s="64">
        <f t="shared" si="0"/>
        <v>62</v>
      </c>
      <c r="C74" s="65" t="s">
        <v>54</v>
      </c>
      <c r="D74" s="896"/>
      <c r="E74" s="896"/>
      <c r="F74" s="896"/>
      <c r="G74" s="896"/>
      <c r="H74" s="896"/>
      <c r="I74" s="896"/>
      <c r="J74" s="896"/>
      <c r="K74" s="141"/>
      <c r="L74" s="141"/>
      <c r="M74" s="141"/>
      <c r="N74" s="141"/>
      <c r="O74" s="151"/>
      <c r="P74" s="141"/>
      <c r="Q74" s="341"/>
      <c r="R74" s="141"/>
      <c r="S74" s="70"/>
      <c r="T74" s="66"/>
    </row>
    <row r="75" spans="1:20">
      <c r="A75" s="64">
        <f t="shared" si="0"/>
        <v>63</v>
      </c>
      <c r="C75" s="65" t="s">
        <v>55</v>
      </c>
      <c r="D75" s="896"/>
      <c r="E75" s="896"/>
      <c r="F75" s="896"/>
      <c r="G75" s="896"/>
      <c r="H75" s="896"/>
      <c r="I75" s="896"/>
      <c r="J75" s="896"/>
      <c r="K75" s="141"/>
      <c r="L75" s="141"/>
      <c r="M75" s="141"/>
      <c r="N75" s="141"/>
      <c r="O75" s="151"/>
      <c r="P75" s="141"/>
      <c r="Q75" s="341"/>
      <c r="R75" s="141"/>
      <c r="S75" s="70"/>
      <c r="T75" s="66"/>
    </row>
    <row r="76" spans="1:20">
      <c r="A76" s="64">
        <f t="shared" si="0"/>
        <v>64</v>
      </c>
      <c r="C76" s="65" t="s">
        <v>1111</v>
      </c>
      <c r="D76" s="902"/>
      <c r="E76" s="896"/>
      <c r="F76" s="902"/>
      <c r="G76" s="896"/>
      <c r="H76" s="902"/>
      <c r="I76" s="896"/>
      <c r="J76" s="902"/>
      <c r="K76" s="141"/>
      <c r="L76" s="152"/>
      <c r="M76" s="141"/>
      <c r="N76" s="141"/>
      <c r="O76" s="151"/>
      <c r="P76" s="141"/>
      <c r="Q76" s="341"/>
      <c r="R76" s="152"/>
      <c r="S76" s="70"/>
      <c r="T76" s="130"/>
    </row>
    <row r="77" spans="1:20">
      <c r="A77" s="64">
        <f t="shared" si="0"/>
        <v>65</v>
      </c>
      <c r="C77" s="65"/>
      <c r="D77" s="72"/>
      <c r="E77" s="73"/>
      <c r="F77" s="72"/>
      <c r="H77" s="72"/>
      <c r="J77" s="72"/>
      <c r="K77" s="142"/>
      <c r="L77" s="159"/>
      <c r="M77" s="73"/>
      <c r="N77" s="72"/>
      <c r="O77" s="73"/>
      <c r="P77" s="74"/>
      <c r="Q77" s="75"/>
      <c r="R77" s="74"/>
      <c r="S77" s="75"/>
      <c r="T77" s="76"/>
    </row>
    <row r="78" spans="1:20">
      <c r="A78" s="64">
        <f>+A77+1</f>
        <v>66</v>
      </c>
      <c r="C78" s="121" t="s">
        <v>998</v>
      </c>
      <c r="D78" s="120">
        <f>'ADIT Pro-Rate'!J187</f>
        <v>-3138399.5333087421</v>
      </c>
      <c r="E78" s="73"/>
      <c r="F78" s="120">
        <f>'ADIT Pro-Rate'!J218</f>
        <v>-425183270.58821714</v>
      </c>
      <c r="H78" s="120">
        <f>'ADIT Pro-Rate'!J249</f>
        <v>-40578570.892061144</v>
      </c>
      <c r="I78" s="47"/>
      <c r="J78" s="120">
        <f>'ADIT Pro-Rate'!J156</f>
        <v>67902854.348129004</v>
      </c>
      <c r="K78" s="157"/>
      <c r="L78" s="270">
        <f>SUM(L64:L76)/2</f>
        <v>0</v>
      </c>
      <c r="M78" s="79"/>
      <c r="N78" s="120">
        <f>SUM(N64:N76)/2</f>
        <v>0</v>
      </c>
      <c r="O78" s="80"/>
      <c r="P78" s="120">
        <f>SUM(P64:P76)/2</f>
        <v>0</v>
      </c>
      <c r="Q78" s="81"/>
      <c r="R78" s="120">
        <f>SUM(R64:R76)/13</f>
        <v>0</v>
      </c>
      <c r="S78" s="81"/>
      <c r="T78" s="120">
        <f>SUM(D78:R78)</f>
        <v>-400997386.66545796</v>
      </c>
    </row>
    <row r="79" spans="1:20">
      <c r="A79" s="64">
        <f>+A78+1</f>
        <v>67</v>
      </c>
      <c r="C79" s="174" t="s">
        <v>1192</v>
      </c>
      <c r="D79" s="141"/>
      <c r="E79" s="143"/>
      <c r="F79" s="141"/>
      <c r="G79" s="141"/>
      <c r="H79" s="141"/>
      <c r="I79" s="342"/>
      <c r="J79" s="141">
        <f>'ADIT Pro-Rate'!J157</f>
        <v>2113693</v>
      </c>
      <c r="K79" s="154"/>
      <c r="L79" s="141">
        <v>0</v>
      </c>
      <c r="M79" s="154"/>
      <c r="N79" s="141">
        <v>0</v>
      </c>
      <c r="O79" s="155"/>
      <c r="P79" s="141">
        <v>0</v>
      </c>
      <c r="Q79" s="81"/>
      <c r="R79" s="141">
        <v>0</v>
      </c>
      <c r="S79" s="81"/>
      <c r="T79" s="67">
        <f>SUM(D79:R79)</f>
        <v>2113693</v>
      </c>
    </row>
    <row r="80" spans="1:20">
      <c r="A80" s="64">
        <f>+A79+1</f>
        <v>68</v>
      </c>
      <c r="C80" s="174"/>
      <c r="D80" s="156"/>
      <c r="E80" s="142"/>
      <c r="F80" s="156"/>
      <c r="G80" s="343"/>
      <c r="H80" s="156"/>
      <c r="I80" s="344"/>
      <c r="J80" s="156"/>
      <c r="K80" s="157"/>
      <c r="L80" s="156">
        <v>0</v>
      </c>
      <c r="M80" s="157"/>
      <c r="N80" s="156">
        <v>0</v>
      </c>
      <c r="O80" s="158"/>
      <c r="P80" s="156">
        <v>0</v>
      </c>
      <c r="Q80" s="81"/>
      <c r="R80" s="156">
        <v>0</v>
      </c>
      <c r="S80" s="81"/>
      <c r="T80" s="124">
        <f>SUM(D80:R80)</f>
        <v>0</v>
      </c>
    </row>
    <row r="81" spans="1:20">
      <c r="A81" s="64">
        <f>+A80+1</f>
        <v>69</v>
      </c>
      <c r="C81" s="121"/>
      <c r="D81" s="120"/>
      <c r="E81" s="73"/>
      <c r="F81" s="120"/>
      <c r="H81" s="120"/>
      <c r="I81" s="47"/>
      <c r="J81" s="120"/>
      <c r="K81" s="157"/>
      <c r="L81" s="270"/>
      <c r="M81" s="79"/>
      <c r="N81" s="120"/>
      <c r="O81" s="80"/>
      <c r="P81" s="120"/>
      <c r="Q81" s="81"/>
      <c r="R81" s="120"/>
      <c r="S81" s="81"/>
      <c r="T81" s="120"/>
    </row>
    <row r="82" spans="1:20" ht="12.75" thickBot="1">
      <c r="A82" s="64">
        <f>+A81+1</f>
        <v>70</v>
      </c>
      <c r="C82" s="121" t="s">
        <v>91</v>
      </c>
      <c r="D82" s="78">
        <f>+D78-D79-D80</f>
        <v>-3138399.5333087421</v>
      </c>
      <c r="E82" s="73"/>
      <c r="F82" s="86">
        <f>+F78-F79-F80</f>
        <v>-425183270.58821714</v>
      </c>
      <c r="G82" s="87"/>
      <c r="H82" s="86">
        <f>+H78-H79-H80</f>
        <v>-40578570.892061144</v>
      </c>
      <c r="I82" s="140"/>
      <c r="J82" s="86">
        <f>+J78-J79-J80</f>
        <v>65789161.348129004</v>
      </c>
      <c r="K82" s="157"/>
      <c r="L82" s="86">
        <f>+L78-L79-L80</f>
        <v>0</v>
      </c>
      <c r="M82" s="79"/>
      <c r="N82" s="78">
        <f>+N78-N79-N80</f>
        <v>0</v>
      </c>
      <c r="O82" s="80"/>
      <c r="P82" s="78">
        <f>+P78-P79-P80</f>
        <v>0</v>
      </c>
      <c r="Q82" s="81"/>
      <c r="R82" s="78">
        <f>+R78-R79-R80</f>
        <v>0</v>
      </c>
      <c r="S82" s="81"/>
      <c r="T82" s="78">
        <f>SUM(D82:R82)</f>
        <v>-403111079.66545796</v>
      </c>
    </row>
    <row r="83" spans="1:20" ht="12.75" thickTop="1">
      <c r="D83" s="120">
        <f>'ADIT Pro-Rate'!J189</f>
        <v>-3138399.5333087421</v>
      </c>
      <c r="E83" s="73"/>
      <c r="F83" s="120">
        <f>'ADIT Pro-Rate'!J220</f>
        <v>-425183270.58821714</v>
      </c>
      <c r="H83" s="120">
        <f>'ADIT Pro-Rate'!J251</f>
        <v>-40578570.892061144</v>
      </c>
      <c r="I83" s="47"/>
      <c r="J83" s="120">
        <f>'ADIT Pro-Rate'!J158</f>
        <v>65789161.348129004</v>
      </c>
    </row>
  </sheetData>
  <mergeCells count="6">
    <mergeCell ref="D59:J59"/>
    <mergeCell ref="N59:R59"/>
    <mergeCell ref="D7:J7"/>
    <mergeCell ref="N7:R7"/>
    <mergeCell ref="D33:J33"/>
    <mergeCell ref="N33:R33"/>
  </mergeCells>
  <phoneticPr fontId="10" type="noConversion"/>
  <pageMargins left="0.5" right="0.25" top="0.5" bottom="0.25" header="0.75" footer="0.5"/>
  <pageSetup scale="57" orientation="portrait" r:id="rId1"/>
  <headerFooter alignWithMargins="0">
    <oddFooter>&amp;CPage  &amp;P  of  &amp;N</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Q268"/>
  <sheetViews>
    <sheetView showGridLines="0" zoomScaleNormal="100" workbookViewId="0">
      <selection activeCell="L26" sqref="L26"/>
    </sheetView>
  </sheetViews>
  <sheetFormatPr defaultRowHeight="15.75"/>
  <cols>
    <col min="1" max="1" width="5.21875" style="1108" customWidth="1"/>
    <col min="2" max="2" width="9.109375" style="1107" customWidth="1"/>
    <col min="3" max="4" width="7.5546875" style="1107" customWidth="1"/>
    <col min="5" max="5" width="8.33203125" style="1107" customWidth="1"/>
    <col min="6" max="6" width="9.21875" style="1107" customWidth="1"/>
    <col min="7" max="7" width="2.88671875" style="1107" customWidth="1"/>
    <col min="8" max="8" width="13.109375" style="1107" customWidth="1"/>
    <col min="9" max="9" width="13.44140625" style="1107" customWidth="1"/>
    <col min="10" max="10" width="19.5546875" style="1107" customWidth="1"/>
    <col min="11" max="11" width="2.109375" style="1107" customWidth="1"/>
    <col min="12" max="12" width="14.21875" style="1107" customWidth="1"/>
    <col min="13" max="13" width="15.109375" style="1107" customWidth="1"/>
    <col min="14" max="14" width="14.6640625" style="1107" customWidth="1"/>
    <col min="15" max="15" width="13.109375" style="1107" customWidth="1"/>
    <col min="16" max="16" width="12.33203125" style="1107" customWidth="1"/>
    <col min="17" max="17" width="19.44140625" style="1107" customWidth="1"/>
    <col min="18" max="16384" width="8.88671875" style="1107"/>
  </cols>
  <sheetData>
    <row r="1" spans="1:17" s="1169" customFormat="1">
      <c r="A1" s="1168"/>
      <c r="B1" s="1211" t="s">
        <v>1141</v>
      </c>
      <c r="C1" s="1211"/>
      <c r="D1" s="1211"/>
      <c r="E1" s="1211"/>
      <c r="F1" s="1211"/>
      <c r="G1" s="1211"/>
      <c r="H1" s="1211"/>
      <c r="I1" s="1211"/>
      <c r="J1" s="1211"/>
      <c r="K1" s="1137"/>
    </row>
    <row r="2" spans="1:17" s="1169" customFormat="1">
      <c r="A2" s="1168"/>
      <c r="B2" s="1212" t="s">
        <v>863</v>
      </c>
      <c r="C2" s="1212"/>
      <c r="D2" s="1212"/>
      <c r="E2" s="1212"/>
      <c r="F2" s="1212"/>
      <c r="G2" s="1212"/>
      <c r="H2" s="1212"/>
      <c r="I2" s="1212"/>
      <c r="J2" s="1212"/>
      <c r="K2" s="1212"/>
    </row>
    <row r="3" spans="1:17" s="1169" customFormat="1">
      <c r="A3" s="1168"/>
      <c r="B3" s="1212" t="s">
        <v>1191</v>
      </c>
      <c r="C3" s="1212"/>
      <c r="D3" s="1212"/>
      <c r="E3" s="1212"/>
      <c r="F3" s="1212"/>
      <c r="G3" s="1212"/>
      <c r="H3" s="1212"/>
      <c r="I3" s="1212"/>
      <c r="J3" s="1212"/>
      <c r="K3" s="1212"/>
    </row>
    <row r="4" spans="1:17" s="1169" customFormat="1">
      <c r="A4" s="1168"/>
      <c r="B4" s="1110" t="s">
        <v>1142</v>
      </c>
      <c r="C4" s="1109" t="s">
        <v>1190</v>
      </c>
      <c r="D4" s="1109"/>
      <c r="E4" s="1168"/>
      <c r="F4" s="1168"/>
      <c r="G4" s="1168"/>
      <c r="H4" s="1168"/>
      <c r="I4" s="1168"/>
      <c r="J4" s="1168"/>
      <c r="K4" s="1168"/>
    </row>
    <row r="5" spans="1:17">
      <c r="B5" s="1213" t="s">
        <v>1143</v>
      </c>
      <c r="C5" s="1213"/>
      <c r="D5" s="1213"/>
      <c r="E5" s="1213"/>
      <c r="F5" s="1213"/>
      <c r="G5" s="1213"/>
      <c r="H5" s="1213"/>
      <c r="I5" s="1213"/>
      <c r="J5" s="1213"/>
      <c r="K5" s="1168"/>
      <c r="L5" s="1213" t="s">
        <v>1144</v>
      </c>
      <c r="M5" s="1213"/>
      <c r="N5" s="1213"/>
      <c r="O5" s="1213"/>
      <c r="P5" s="1213"/>
      <c r="Q5" s="1213"/>
    </row>
    <row r="6" spans="1:17">
      <c r="A6" s="1108">
        <v>1</v>
      </c>
      <c r="B6" s="1106" t="s">
        <v>1145</v>
      </c>
      <c r="H6" s="1137"/>
      <c r="I6" s="1137"/>
      <c r="J6" s="1137"/>
      <c r="K6" s="1137"/>
    </row>
    <row r="7" spans="1:17">
      <c r="A7" s="1108">
        <f>+A6+1</f>
        <v>2</v>
      </c>
      <c r="B7" s="1205" t="s">
        <v>1146</v>
      </c>
      <c r="C7" s="1206"/>
      <c r="D7" s="1206"/>
      <c r="E7" s="1206"/>
      <c r="F7" s="1207"/>
      <c r="G7" s="1105"/>
      <c r="H7" s="1208" t="s">
        <v>1147</v>
      </c>
      <c r="I7" s="1209"/>
      <c r="J7" s="1210"/>
      <c r="K7" s="1137"/>
      <c r="L7" s="1208" t="s">
        <v>1148</v>
      </c>
      <c r="M7" s="1209"/>
      <c r="N7" s="1209"/>
      <c r="O7" s="1209"/>
      <c r="P7" s="1209"/>
      <c r="Q7" s="1209"/>
    </row>
    <row r="8" spans="1:17">
      <c r="B8" s="1113" t="s">
        <v>247</v>
      </c>
      <c r="C8" s="1113" t="s">
        <v>248</v>
      </c>
      <c r="D8" s="1113" t="s">
        <v>570</v>
      </c>
      <c r="E8" s="1113" t="s">
        <v>572</v>
      </c>
      <c r="F8" s="1113" t="s">
        <v>574</v>
      </c>
      <c r="G8" s="1105"/>
      <c r="H8" s="1113" t="s">
        <v>575</v>
      </c>
      <c r="I8" s="1113" t="s">
        <v>576</v>
      </c>
      <c r="J8" s="1113" t="s">
        <v>578</v>
      </c>
      <c r="K8" s="1114"/>
      <c r="L8" s="1113" t="s">
        <v>579</v>
      </c>
      <c r="M8" s="1113" t="s">
        <v>580</v>
      </c>
      <c r="N8" s="1113" t="s">
        <v>581</v>
      </c>
      <c r="O8" s="1113" t="s">
        <v>588</v>
      </c>
      <c r="P8" s="1113" t="s">
        <v>589</v>
      </c>
      <c r="Q8" s="1113" t="s">
        <v>590</v>
      </c>
    </row>
    <row r="9" spans="1:17" s="1167" customFormat="1" ht="94.5">
      <c r="A9" s="1170">
        <f>+A7+1</f>
        <v>3</v>
      </c>
      <c r="B9" s="1171" t="s">
        <v>1149</v>
      </c>
      <c r="C9" s="1171" t="s">
        <v>1150</v>
      </c>
      <c r="D9" s="1171" t="s">
        <v>1151</v>
      </c>
      <c r="E9" s="1171" t="s">
        <v>1152</v>
      </c>
      <c r="F9" s="1171" t="s">
        <v>1153</v>
      </c>
      <c r="G9" s="1172"/>
      <c r="H9" s="1171" t="s">
        <v>1154</v>
      </c>
      <c r="I9" s="1171" t="s">
        <v>1155</v>
      </c>
      <c r="J9" s="1171" t="s">
        <v>1156</v>
      </c>
      <c r="K9" s="1172"/>
      <c r="L9" s="1171" t="s">
        <v>1157</v>
      </c>
      <c r="M9" s="1171" t="s">
        <v>1158</v>
      </c>
      <c r="N9" s="1171" t="s">
        <v>1159</v>
      </c>
      <c r="O9" s="1171" t="s">
        <v>1160</v>
      </c>
      <c r="P9" s="1171" t="s">
        <v>1161</v>
      </c>
      <c r="Q9" s="1171" t="s">
        <v>1162</v>
      </c>
    </row>
    <row r="10" spans="1:17">
      <c r="A10" s="1108">
        <f t="shared" ref="A10:A24" si="0">+A9+1</f>
        <v>4</v>
      </c>
      <c r="C10" s="1115"/>
      <c r="D10" s="1115"/>
      <c r="E10" s="1115"/>
      <c r="F10" s="1115"/>
      <c r="G10" s="1115"/>
      <c r="H10" s="1115"/>
      <c r="I10" s="1115"/>
      <c r="J10" s="1115"/>
      <c r="K10" s="1115"/>
    </row>
    <row r="11" spans="1:17">
      <c r="A11" s="1108">
        <f t="shared" si="0"/>
        <v>5</v>
      </c>
      <c r="B11" s="1116" t="s">
        <v>1163</v>
      </c>
      <c r="C11" s="1117"/>
      <c r="D11" s="1138"/>
      <c r="E11" s="1138"/>
      <c r="F11" s="1138"/>
      <c r="G11" s="1138"/>
      <c r="H11" s="1142"/>
      <c r="I11" s="1142"/>
      <c r="J11" s="1143">
        <v>291675695.94233698</v>
      </c>
      <c r="K11" s="1149"/>
      <c r="L11" s="1142"/>
      <c r="M11" s="1145"/>
      <c r="N11" s="1145"/>
      <c r="O11" s="1145"/>
      <c r="P11" s="1145"/>
      <c r="Q11" s="1146">
        <v>0</v>
      </c>
    </row>
    <row r="12" spans="1:17">
      <c r="A12" s="1108">
        <f t="shared" si="0"/>
        <v>6</v>
      </c>
      <c r="B12" s="1117" t="s">
        <v>1164</v>
      </c>
      <c r="C12" s="1139">
        <v>31</v>
      </c>
      <c r="D12" s="1140">
        <f t="shared" ref="D12:D22" si="1">(D13+C13)</f>
        <v>335</v>
      </c>
      <c r="E12" s="1140">
        <f>SUM(C12:C23)</f>
        <v>365</v>
      </c>
      <c r="F12" s="1112">
        <f>D12/E12</f>
        <v>0.9178082191780822</v>
      </c>
      <c r="G12" s="1138"/>
      <c r="H12" s="1143">
        <v>218969.62587600946</v>
      </c>
      <c r="I12" s="1142">
        <f>+H12*F12</f>
        <v>200972.12237935115</v>
      </c>
      <c r="J12" s="1142">
        <f t="shared" ref="J12:J23" si="2">+I12+J11</f>
        <v>291876668.06471634</v>
      </c>
      <c r="K12" s="1149"/>
      <c r="L12" s="1146">
        <v>0</v>
      </c>
      <c r="M12" s="1145">
        <f t="shared" ref="M12:M23" si="3">L12-H12</f>
        <v>-218969.62587600946</v>
      </c>
      <c r="N12" s="1145">
        <f>IF(M12&gt;=0,+M12,0)</f>
        <v>0</v>
      </c>
      <c r="O12" s="1145">
        <f>IF(N12&gt;0,0,IF(L12&lt;0,0,(-(M12)*(D12/E12))))</f>
        <v>200972.12237935115</v>
      </c>
      <c r="P12" s="1145">
        <f>IF(L12&lt;0,L12,0)</f>
        <v>0</v>
      </c>
      <c r="Q12" s="1145">
        <f>IF(L12&lt;0,Q11+P12,Q11+I12+N12-O12)</f>
        <v>0</v>
      </c>
    </row>
    <row r="13" spans="1:17">
      <c r="A13" s="1108">
        <f t="shared" si="0"/>
        <v>7</v>
      </c>
      <c r="B13" s="1117" t="s">
        <v>47</v>
      </c>
      <c r="C13" s="1141">
        <v>28</v>
      </c>
      <c r="D13" s="1140">
        <f t="shared" si="1"/>
        <v>307</v>
      </c>
      <c r="E13" s="1140">
        <f>E12</f>
        <v>365</v>
      </c>
      <c r="F13" s="1112">
        <f t="shared" ref="F13:F23" si="4">D13/E13</f>
        <v>0.84109589041095889</v>
      </c>
      <c r="G13" s="1138"/>
      <c r="H13" s="1143">
        <v>218969.62587600946</v>
      </c>
      <c r="I13" s="1142">
        <f t="shared" ref="I13:I23" si="5">+H13*F13</f>
        <v>184174.45244913673</v>
      </c>
      <c r="J13" s="1142">
        <f t="shared" si="2"/>
        <v>292060842.51716548</v>
      </c>
      <c r="K13" s="1149"/>
      <c r="L13" s="1146">
        <v>0</v>
      </c>
      <c r="M13" s="1145">
        <f t="shared" si="3"/>
        <v>-218969.62587600946</v>
      </c>
      <c r="N13" s="1145">
        <f t="shared" ref="N13:N23" si="6">IF(M13&gt;=0,+M13,0)</f>
        <v>0</v>
      </c>
      <c r="O13" s="1145">
        <f t="shared" ref="O13:O23" si="7">IF(N13&gt;0,0,IF(L13&lt;0,0,(-(M13)*(D13/E13))))</f>
        <v>184174.45244913673</v>
      </c>
      <c r="P13" s="1145">
        <f t="shared" ref="P13:P23" si="8">IF(L13&lt;0,L13,0)</f>
        <v>0</v>
      </c>
      <c r="Q13" s="1145">
        <f t="shared" ref="Q13:Q23" si="9">IF(L13&lt;0,Q12+P13,Q12+I13+N13-O13)</f>
        <v>0</v>
      </c>
    </row>
    <row r="14" spans="1:17">
      <c r="A14" s="1108">
        <f t="shared" si="0"/>
        <v>8</v>
      </c>
      <c r="B14" s="1117" t="s">
        <v>48</v>
      </c>
      <c r="C14" s="1139">
        <v>31</v>
      </c>
      <c r="D14" s="1140">
        <f t="shared" si="1"/>
        <v>276</v>
      </c>
      <c r="E14" s="1140">
        <f t="shared" ref="E14:E23" si="10">E13</f>
        <v>365</v>
      </c>
      <c r="F14" s="1112">
        <f t="shared" si="4"/>
        <v>0.75616438356164384</v>
      </c>
      <c r="G14" s="1138"/>
      <c r="H14" s="1143">
        <v>218969.62587600946</v>
      </c>
      <c r="I14" s="1142">
        <f t="shared" si="5"/>
        <v>165577.03216925648</v>
      </c>
      <c r="J14" s="1142">
        <f t="shared" si="2"/>
        <v>292226419.54933476</v>
      </c>
      <c r="K14" s="1149"/>
      <c r="L14" s="1146">
        <v>0</v>
      </c>
      <c r="M14" s="1145">
        <f t="shared" si="3"/>
        <v>-218969.62587600946</v>
      </c>
      <c r="N14" s="1145">
        <f t="shared" si="6"/>
        <v>0</v>
      </c>
      <c r="O14" s="1145">
        <f t="shared" si="7"/>
        <v>165577.03216925648</v>
      </c>
      <c r="P14" s="1145">
        <f t="shared" si="8"/>
        <v>0</v>
      </c>
      <c r="Q14" s="1145">
        <f t="shared" si="9"/>
        <v>0</v>
      </c>
    </row>
    <row r="15" spans="1:17">
      <c r="A15" s="1108">
        <f t="shared" si="0"/>
        <v>9</v>
      </c>
      <c r="B15" s="1117" t="s">
        <v>49</v>
      </c>
      <c r="C15" s="1139">
        <v>30</v>
      </c>
      <c r="D15" s="1140">
        <f t="shared" si="1"/>
        <v>246</v>
      </c>
      <c r="E15" s="1140">
        <f t="shared" si="10"/>
        <v>365</v>
      </c>
      <c r="F15" s="1112">
        <f t="shared" si="4"/>
        <v>0.67397260273972603</v>
      </c>
      <c r="G15" s="1138"/>
      <c r="H15" s="1143">
        <v>218969.62587600946</v>
      </c>
      <c r="I15" s="1142">
        <f t="shared" si="5"/>
        <v>147579.52867259816</v>
      </c>
      <c r="J15" s="1142">
        <f t="shared" si="2"/>
        <v>292373999.07800734</v>
      </c>
      <c r="K15" s="1149"/>
      <c r="L15" s="1146">
        <v>0</v>
      </c>
      <c r="M15" s="1145">
        <f t="shared" si="3"/>
        <v>-218969.62587600946</v>
      </c>
      <c r="N15" s="1145">
        <f t="shared" si="6"/>
        <v>0</v>
      </c>
      <c r="O15" s="1145">
        <f t="shared" si="7"/>
        <v>147579.52867259816</v>
      </c>
      <c r="P15" s="1145">
        <f t="shared" si="8"/>
        <v>0</v>
      </c>
      <c r="Q15" s="1145">
        <f t="shared" si="9"/>
        <v>0</v>
      </c>
    </row>
    <row r="16" spans="1:17">
      <c r="A16" s="1108">
        <f t="shared" si="0"/>
        <v>10</v>
      </c>
      <c r="B16" s="1117" t="s">
        <v>21</v>
      </c>
      <c r="C16" s="1139">
        <v>31</v>
      </c>
      <c r="D16" s="1140">
        <f t="shared" si="1"/>
        <v>215</v>
      </c>
      <c r="E16" s="1140">
        <f t="shared" si="10"/>
        <v>365</v>
      </c>
      <c r="F16" s="1112">
        <f t="shared" si="4"/>
        <v>0.58904109589041098</v>
      </c>
      <c r="G16" s="1138"/>
      <c r="H16" s="1143">
        <v>218969.62587600946</v>
      </c>
      <c r="I16" s="1142">
        <f t="shared" si="5"/>
        <v>128982.10839271791</v>
      </c>
      <c r="J16" s="1142">
        <f t="shared" si="2"/>
        <v>292502981.18640006</v>
      </c>
      <c r="K16" s="1149"/>
      <c r="L16" s="1146">
        <v>0</v>
      </c>
      <c r="M16" s="1145">
        <f t="shared" si="3"/>
        <v>-218969.62587600946</v>
      </c>
      <c r="N16" s="1145">
        <f t="shared" si="6"/>
        <v>0</v>
      </c>
      <c r="O16" s="1145">
        <f t="shared" si="7"/>
        <v>128982.10839271791</v>
      </c>
      <c r="P16" s="1145">
        <f t="shared" si="8"/>
        <v>0</v>
      </c>
      <c r="Q16" s="1145">
        <f t="shared" si="9"/>
        <v>0</v>
      </c>
    </row>
    <row r="17" spans="1:17">
      <c r="A17" s="1108">
        <f t="shared" si="0"/>
        <v>11</v>
      </c>
      <c r="B17" s="1117" t="s">
        <v>50</v>
      </c>
      <c r="C17" s="1139">
        <v>30</v>
      </c>
      <c r="D17" s="1140">
        <f t="shared" si="1"/>
        <v>185</v>
      </c>
      <c r="E17" s="1140">
        <f t="shared" si="10"/>
        <v>365</v>
      </c>
      <c r="F17" s="1112">
        <f t="shared" si="4"/>
        <v>0.50684931506849318</v>
      </c>
      <c r="G17" s="1138"/>
      <c r="H17" s="1143">
        <v>218969.62587594986</v>
      </c>
      <c r="I17" s="1142">
        <f t="shared" si="5"/>
        <v>110984.60489602938</v>
      </c>
      <c r="J17" s="1142">
        <f t="shared" si="2"/>
        <v>292613965.79129606</v>
      </c>
      <c r="K17" s="1149"/>
      <c r="L17" s="1146">
        <v>0</v>
      </c>
      <c r="M17" s="1145">
        <f t="shared" si="3"/>
        <v>-218969.62587594986</v>
      </c>
      <c r="N17" s="1145">
        <f t="shared" si="6"/>
        <v>0</v>
      </c>
      <c r="O17" s="1145">
        <f t="shared" si="7"/>
        <v>110984.60489602938</v>
      </c>
      <c r="P17" s="1145">
        <f t="shared" si="8"/>
        <v>0</v>
      </c>
      <c r="Q17" s="1145">
        <f t="shared" si="9"/>
        <v>0</v>
      </c>
    </row>
    <row r="18" spans="1:17">
      <c r="A18" s="1108">
        <f t="shared" si="0"/>
        <v>12</v>
      </c>
      <c r="B18" s="1117" t="s">
        <v>51</v>
      </c>
      <c r="C18" s="1139">
        <v>31</v>
      </c>
      <c r="D18" s="1140">
        <f t="shared" si="1"/>
        <v>154</v>
      </c>
      <c r="E18" s="1140">
        <f t="shared" si="10"/>
        <v>365</v>
      </c>
      <c r="F18" s="1112">
        <f t="shared" si="4"/>
        <v>0.42191780821917807</v>
      </c>
      <c r="G18" s="1138"/>
      <c r="H18" s="1143">
        <v>218969.62587600946</v>
      </c>
      <c r="I18" s="1142">
        <f t="shared" si="5"/>
        <v>92387.184616179336</v>
      </c>
      <c r="J18" s="1142">
        <f t="shared" si="2"/>
        <v>292706352.97591227</v>
      </c>
      <c r="K18" s="1149"/>
      <c r="L18" s="1146">
        <v>0</v>
      </c>
      <c r="M18" s="1145">
        <f t="shared" si="3"/>
        <v>-218969.62587600946</v>
      </c>
      <c r="N18" s="1145">
        <f t="shared" si="6"/>
        <v>0</v>
      </c>
      <c r="O18" s="1145">
        <f t="shared" si="7"/>
        <v>92387.184616179336</v>
      </c>
      <c r="P18" s="1145">
        <f t="shared" si="8"/>
        <v>0</v>
      </c>
      <c r="Q18" s="1145">
        <f t="shared" si="9"/>
        <v>0</v>
      </c>
    </row>
    <row r="19" spans="1:17">
      <c r="A19" s="1108">
        <f t="shared" si="0"/>
        <v>13</v>
      </c>
      <c r="B19" s="1117" t="s">
        <v>52</v>
      </c>
      <c r="C19" s="1139">
        <v>31</v>
      </c>
      <c r="D19" s="1140">
        <f t="shared" si="1"/>
        <v>123</v>
      </c>
      <c r="E19" s="1140">
        <f t="shared" si="10"/>
        <v>365</v>
      </c>
      <c r="F19" s="1112">
        <f t="shared" si="4"/>
        <v>0.33698630136986302</v>
      </c>
      <c r="G19" s="1138"/>
      <c r="H19" s="1143">
        <v>218969.62587600946</v>
      </c>
      <c r="I19" s="1142">
        <f t="shared" si="5"/>
        <v>73789.764336299078</v>
      </c>
      <c r="J19" s="1142">
        <f t="shared" si="2"/>
        <v>292780142.74024856</v>
      </c>
      <c r="K19" s="1149"/>
      <c r="L19" s="1146">
        <v>0</v>
      </c>
      <c r="M19" s="1145">
        <f t="shared" si="3"/>
        <v>-218969.62587600946</v>
      </c>
      <c r="N19" s="1145">
        <f t="shared" si="6"/>
        <v>0</v>
      </c>
      <c r="O19" s="1145">
        <f t="shared" si="7"/>
        <v>73789.764336299078</v>
      </c>
      <c r="P19" s="1145">
        <f t="shared" si="8"/>
        <v>0</v>
      </c>
      <c r="Q19" s="1145">
        <f t="shared" si="9"/>
        <v>0</v>
      </c>
    </row>
    <row r="20" spans="1:17">
      <c r="A20" s="1108">
        <f t="shared" si="0"/>
        <v>14</v>
      </c>
      <c r="B20" s="1117" t="s">
        <v>53</v>
      </c>
      <c r="C20" s="1139">
        <v>30</v>
      </c>
      <c r="D20" s="1140">
        <f t="shared" si="1"/>
        <v>93</v>
      </c>
      <c r="E20" s="1140">
        <f t="shared" si="10"/>
        <v>365</v>
      </c>
      <c r="F20" s="1112">
        <f t="shared" si="4"/>
        <v>0.25479452054794521</v>
      </c>
      <c r="G20" s="1138"/>
      <c r="H20" s="1143">
        <v>218969.62587600946</v>
      </c>
      <c r="I20" s="1142">
        <f t="shared" si="5"/>
        <v>55792.260839640767</v>
      </c>
      <c r="J20" s="1142">
        <f t="shared" si="2"/>
        <v>292835935.0010882</v>
      </c>
      <c r="K20" s="1149"/>
      <c r="L20" s="1146">
        <v>0</v>
      </c>
      <c r="M20" s="1145">
        <f t="shared" si="3"/>
        <v>-218969.62587600946</v>
      </c>
      <c r="N20" s="1145">
        <f t="shared" si="6"/>
        <v>0</v>
      </c>
      <c r="O20" s="1145">
        <f t="shared" si="7"/>
        <v>55792.260839640767</v>
      </c>
      <c r="P20" s="1145">
        <f t="shared" si="8"/>
        <v>0</v>
      </c>
      <c r="Q20" s="1145">
        <f t="shared" si="9"/>
        <v>0</v>
      </c>
    </row>
    <row r="21" spans="1:17">
      <c r="A21" s="1108">
        <f t="shared" si="0"/>
        <v>15</v>
      </c>
      <c r="B21" s="1117" t="s">
        <v>54</v>
      </c>
      <c r="C21" s="1139">
        <v>31</v>
      </c>
      <c r="D21" s="1140">
        <f t="shared" si="1"/>
        <v>62</v>
      </c>
      <c r="E21" s="1140">
        <f t="shared" si="10"/>
        <v>365</v>
      </c>
      <c r="F21" s="1112">
        <f t="shared" si="4"/>
        <v>0.16986301369863013</v>
      </c>
      <c r="G21" s="1138"/>
      <c r="H21" s="1143">
        <v>218969.62587600946</v>
      </c>
      <c r="I21" s="1142">
        <f t="shared" si="5"/>
        <v>37194.840559760509</v>
      </c>
      <c r="J21" s="1142">
        <f t="shared" si="2"/>
        <v>292873129.84164798</v>
      </c>
      <c r="K21" s="1149"/>
      <c r="L21" s="1146">
        <v>0</v>
      </c>
      <c r="M21" s="1145">
        <f t="shared" si="3"/>
        <v>-218969.62587600946</v>
      </c>
      <c r="N21" s="1145">
        <f t="shared" si="6"/>
        <v>0</v>
      </c>
      <c r="O21" s="1145">
        <f t="shared" si="7"/>
        <v>37194.840559760509</v>
      </c>
      <c r="P21" s="1145">
        <f t="shared" si="8"/>
        <v>0</v>
      </c>
      <c r="Q21" s="1145">
        <f t="shared" si="9"/>
        <v>0</v>
      </c>
    </row>
    <row r="22" spans="1:17">
      <c r="A22" s="1108">
        <f t="shared" si="0"/>
        <v>16</v>
      </c>
      <c r="B22" s="1117" t="s">
        <v>55</v>
      </c>
      <c r="C22" s="1139">
        <v>30</v>
      </c>
      <c r="D22" s="1140">
        <f t="shared" si="1"/>
        <v>32</v>
      </c>
      <c r="E22" s="1140">
        <f t="shared" si="10"/>
        <v>365</v>
      </c>
      <c r="F22" s="1112">
        <f t="shared" si="4"/>
        <v>8.7671232876712329E-2</v>
      </c>
      <c r="G22" s="1138"/>
      <c r="H22" s="1143">
        <v>218969.62587600946</v>
      </c>
      <c r="I22" s="1142">
        <f t="shared" si="5"/>
        <v>19197.337063102201</v>
      </c>
      <c r="J22" s="1142">
        <f t="shared" si="2"/>
        <v>292892327.17871106</v>
      </c>
      <c r="K22" s="1149"/>
      <c r="L22" s="1146">
        <v>0</v>
      </c>
      <c r="M22" s="1145">
        <f t="shared" si="3"/>
        <v>-218969.62587600946</v>
      </c>
      <c r="N22" s="1145">
        <f t="shared" si="6"/>
        <v>0</v>
      </c>
      <c r="O22" s="1145">
        <f t="shared" si="7"/>
        <v>19197.337063102201</v>
      </c>
      <c r="P22" s="1145">
        <f t="shared" si="8"/>
        <v>0</v>
      </c>
      <c r="Q22" s="1145">
        <f t="shared" si="9"/>
        <v>0</v>
      </c>
    </row>
    <row r="23" spans="1:17">
      <c r="A23" s="1108">
        <f t="shared" si="0"/>
        <v>17</v>
      </c>
      <c r="B23" s="1117" t="s">
        <v>1165</v>
      </c>
      <c r="C23" s="1139">
        <v>31</v>
      </c>
      <c r="D23" s="1140">
        <f>1</f>
        <v>1</v>
      </c>
      <c r="E23" s="1140">
        <f t="shared" si="10"/>
        <v>365</v>
      </c>
      <c r="F23" s="1112">
        <f t="shared" si="4"/>
        <v>2.7397260273972603E-3</v>
      </c>
      <c r="G23" s="1138"/>
      <c r="H23" s="1143">
        <v>218969.62587594986</v>
      </c>
      <c r="I23" s="1142">
        <f t="shared" si="5"/>
        <v>599.91678322178041</v>
      </c>
      <c r="J23" s="1142">
        <f t="shared" si="2"/>
        <v>292892927.09549427</v>
      </c>
      <c r="K23" s="1149"/>
      <c r="L23" s="1146">
        <v>0</v>
      </c>
      <c r="M23" s="1145">
        <f t="shared" si="3"/>
        <v>-218969.62587594986</v>
      </c>
      <c r="N23" s="1145">
        <f t="shared" si="6"/>
        <v>0</v>
      </c>
      <c r="O23" s="1145">
        <f t="shared" si="7"/>
        <v>599.91678322178041</v>
      </c>
      <c r="P23" s="1145">
        <f t="shared" si="8"/>
        <v>0</v>
      </c>
      <c r="Q23" s="1145">
        <f t="shared" si="9"/>
        <v>0</v>
      </c>
    </row>
    <row r="24" spans="1:17">
      <c r="A24" s="1108">
        <f t="shared" si="0"/>
        <v>18</v>
      </c>
      <c r="B24" s="1118"/>
      <c r="C24" s="1118" t="s">
        <v>23</v>
      </c>
      <c r="D24" s="1118"/>
      <c r="E24" s="1118"/>
      <c r="F24" s="1119"/>
      <c r="G24" s="1138"/>
      <c r="H24" s="1147">
        <f>SUM(H12:H23)</f>
        <v>2627635.5105119944</v>
      </c>
      <c r="I24" s="1147">
        <f>SUM(I12:I23)</f>
        <v>1217231.1531572938</v>
      </c>
      <c r="J24" s="1121"/>
      <c r="K24" s="1120"/>
      <c r="L24" s="1111">
        <f>SUM(L12:L23)</f>
        <v>0</v>
      </c>
      <c r="M24" s="1111">
        <f t="shared" ref="M24:P24" si="11">SUM(M12:M23)</f>
        <v>-2627635.5105119944</v>
      </c>
      <c r="N24" s="1111">
        <f t="shared" si="11"/>
        <v>0</v>
      </c>
      <c r="O24" s="1111">
        <f t="shared" si="11"/>
        <v>1217231.1531572938</v>
      </c>
      <c r="P24" s="1111">
        <f t="shared" si="11"/>
        <v>0</v>
      </c>
      <c r="Q24" s="1111"/>
    </row>
    <row r="25" spans="1:17">
      <c r="B25" s="1122"/>
      <c r="C25" s="1122"/>
      <c r="D25" s="1122"/>
      <c r="E25" s="1122"/>
      <c r="F25" s="1136"/>
      <c r="G25" s="1136"/>
      <c r="H25" s="1124"/>
      <c r="I25" s="1123"/>
      <c r="J25" s="1120"/>
      <c r="K25" s="1120"/>
      <c r="L25" s="1125"/>
      <c r="M25" s="1125"/>
      <c r="N25" s="1125"/>
      <c r="O25" s="1125"/>
      <c r="P25" s="1125"/>
      <c r="Q25" s="1125"/>
    </row>
    <row r="26" spans="1:17">
      <c r="A26" s="1108">
        <f>+A24+1</f>
        <v>19</v>
      </c>
      <c r="B26" s="1107" t="s">
        <v>1166</v>
      </c>
      <c r="F26" s="1166" t="s">
        <v>1167</v>
      </c>
      <c r="G26" s="1136"/>
      <c r="H26" s="1125"/>
      <c r="I26" s="1120"/>
      <c r="J26" s="1143">
        <f>291675695.942337+659657369</f>
        <v>951333064.94233704</v>
      </c>
      <c r="K26" s="1125"/>
      <c r="L26" s="1125"/>
      <c r="M26" s="1125"/>
      <c r="N26" s="1125"/>
      <c r="O26" s="1125"/>
      <c r="P26" s="1125"/>
      <c r="Q26" s="1146">
        <v>0</v>
      </c>
    </row>
    <row r="27" spans="1:17">
      <c r="A27" s="1108">
        <f>+A26+1</f>
        <v>20</v>
      </c>
      <c r="B27" s="1107" t="s">
        <v>1168</v>
      </c>
      <c r="F27" s="1167" t="str">
        <f>"(Line "&amp;A26&amp;" less line "&amp;A28&amp;")"</f>
        <v>(Line 19 less line 21)</v>
      </c>
      <c r="G27" s="1136"/>
      <c r="H27" s="1125"/>
      <c r="I27" s="1120"/>
      <c r="J27" s="1145">
        <f>+J26-J28</f>
        <v>659657369</v>
      </c>
      <c r="K27" s="1125"/>
      <c r="L27" s="1125"/>
      <c r="M27" s="1152"/>
      <c r="N27" s="1126"/>
      <c r="O27" s="1125"/>
      <c r="P27" s="1125"/>
      <c r="Q27" s="1145">
        <f>+Q26-Q28</f>
        <v>0</v>
      </c>
    </row>
    <row r="28" spans="1:17">
      <c r="A28" s="1108">
        <f t="shared" ref="A28:A34" si="12">+A27+1</f>
        <v>21</v>
      </c>
      <c r="B28" s="1107" t="s">
        <v>1169</v>
      </c>
      <c r="F28" s="1167" t="str">
        <f>"(Line "&amp;A11&amp;", Col H)"</f>
        <v>(Line 5, Col H)</v>
      </c>
      <c r="G28" s="1136"/>
      <c r="H28" s="1125"/>
      <c r="I28" s="1120"/>
      <c r="J28" s="1142">
        <f>+J11</f>
        <v>291675695.94233698</v>
      </c>
      <c r="K28" s="1125"/>
      <c r="L28" s="1125"/>
      <c r="M28" s="1173"/>
      <c r="N28" s="1173"/>
      <c r="O28" s="1173"/>
      <c r="P28" s="1125"/>
      <c r="Q28" s="1142">
        <f>+Q11</f>
        <v>0</v>
      </c>
    </row>
    <row r="29" spans="1:17">
      <c r="A29" s="1108">
        <f t="shared" si="12"/>
        <v>22</v>
      </c>
      <c r="B29" s="1107" t="s">
        <v>1170</v>
      </c>
      <c r="F29" s="1166" t="s">
        <v>395</v>
      </c>
      <c r="G29" s="1136"/>
      <c r="H29" s="1125"/>
      <c r="I29" s="1120"/>
      <c r="J29" s="1143">
        <f>292892927.095494+733769667</f>
        <v>1026662594.095494</v>
      </c>
      <c r="K29" s="1125"/>
      <c r="L29" s="1125"/>
      <c r="M29" s="1125"/>
      <c r="N29" s="1125"/>
      <c r="O29" s="1125"/>
      <c r="P29" s="1125"/>
      <c r="Q29" s="1146">
        <v>0</v>
      </c>
    </row>
    <row r="30" spans="1:17">
      <c r="A30" s="1108">
        <f t="shared" si="12"/>
        <v>23</v>
      </c>
      <c r="B30" s="1107" t="str">
        <f>+B27</f>
        <v>Less non Prorated Items</v>
      </c>
      <c r="F30" s="1167" t="str">
        <f>"(Line "&amp;A29&amp;" less line "&amp;A31&amp;")"</f>
        <v>(Line 22 less line 24)</v>
      </c>
      <c r="G30" s="1136"/>
      <c r="H30" s="1125"/>
      <c r="I30" s="1120"/>
      <c r="J30" s="1145">
        <f>+J29-J31</f>
        <v>733769666.99999976</v>
      </c>
      <c r="K30" s="1125"/>
      <c r="L30" s="1125"/>
      <c r="M30" s="1153"/>
      <c r="N30" s="1125"/>
      <c r="O30" s="1125"/>
      <c r="P30" s="1125"/>
      <c r="Q30" s="1145">
        <f>+Q29-Q31</f>
        <v>0</v>
      </c>
    </row>
    <row r="31" spans="1:17">
      <c r="A31" s="1108">
        <f t="shared" si="12"/>
        <v>24</v>
      </c>
      <c r="B31" s="1107" t="s">
        <v>1171</v>
      </c>
      <c r="F31" s="1167" t="str">
        <f>"(Line "&amp;A23&amp;", Col H)"</f>
        <v>(Line 17, Col H)</v>
      </c>
      <c r="G31" s="1136"/>
      <c r="H31" s="1125"/>
      <c r="I31" s="1120"/>
      <c r="J31" s="1142">
        <f>+J23</f>
        <v>292892927.09549427</v>
      </c>
      <c r="K31" s="1125"/>
      <c r="L31" s="1125"/>
      <c r="M31" s="1125"/>
      <c r="N31" s="1125"/>
      <c r="O31" s="1125"/>
      <c r="P31" s="1125"/>
      <c r="Q31" s="1142">
        <f>+Q23</f>
        <v>0</v>
      </c>
    </row>
    <row r="32" spans="1:17">
      <c r="A32" s="1108">
        <f t="shared" si="12"/>
        <v>25</v>
      </c>
      <c r="B32" s="1107" t="s">
        <v>1172</v>
      </c>
      <c r="F32" s="1167" t="str">
        <f>"([Sum Lines "&amp;A11&amp;" to "&amp;A23&amp;"] /13)+([Lines "&amp;A27&amp;" +"&amp;A30&amp;")/2])"</f>
        <v>([Sum Lines 5 to 17] /13)+([Lines 20 +23)/2])</v>
      </c>
      <c r="G32" s="1136"/>
      <c r="H32" s="1125"/>
      <c r="I32" s="1127"/>
      <c r="J32" s="1148">
        <f>(J11+J12+J13+J14+J15+J16+J17+J18+J19+J20+J21+J22+J23)/13+(J27+J30)/2</f>
        <v>989199009.3047967</v>
      </c>
      <c r="K32" s="1125"/>
      <c r="L32" s="1125"/>
      <c r="M32" s="1125"/>
      <c r="N32" s="1125"/>
      <c r="O32" s="1125"/>
      <c r="P32" s="1125"/>
      <c r="Q32" s="1148">
        <f>(Q11+Q12+Q13+Q14+Q15+Q16+Q17+Q18+Q19+Q20+Q21+Q22+Q23)/13+(Q27+Q30)/2</f>
        <v>0</v>
      </c>
    </row>
    <row r="33" spans="1:17">
      <c r="A33" s="1108">
        <f t="shared" si="12"/>
        <v>26</v>
      </c>
      <c r="B33" s="1107" t="s">
        <v>1173</v>
      </c>
      <c r="F33" s="1167" t="s">
        <v>1174</v>
      </c>
      <c r="G33" s="1136"/>
      <c r="H33" s="1125"/>
      <c r="I33" s="1127"/>
      <c r="J33" s="1143">
        <v>19054288.55296731</v>
      </c>
      <c r="K33" s="1125"/>
      <c r="L33" s="1125"/>
      <c r="M33" s="1125"/>
      <c r="N33" s="1125"/>
      <c r="O33" s="1125"/>
      <c r="P33" s="1125"/>
      <c r="Q33" s="1146">
        <v>0</v>
      </c>
    </row>
    <row r="34" spans="1:17">
      <c r="A34" s="1108">
        <f t="shared" si="12"/>
        <v>27</v>
      </c>
      <c r="B34" s="1107" t="s">
        <v>1175</v>
      </c>
      <c r="F34" s="1167" t="str">
        <f>"(Line "&amp;A32&amp;" less line "&amp;A33&amp;")"</f>
        <v>(Line 25 less line 26)</v>
      </c>
      <c r="H34" s="1125"/>
      <c r="I34" s="1125"/>
      <c r="J34" s="1128">
        <f>+J32-J33</f>
        <v>970144720.75182939</v>
      </c>
      <c r="K34" s="1125"/>
      <c r="L34" s="1125"/>
      <c r="M34" s="1125"/>
      <c r="N34" s="1125"/>
      <c r="O34" s="1125"/>
      <c r="P34" s="1125"/>
      <c r="Q34" s="1128">
        <f>+Q32-Q33</f>
        <v>0</v>
      </c>
    </row>
    <row r="35" spans="1:17">
      <c r="L35" s="1154"/>
      <c r="M35" s="1154"/>
      <c r="N35" s="1154"/>
    </row>
    <row r="36" spans="1:17">
      <c r="A36" s="1129"/>
      <c r="B36" s="1130"/>
      <c r="C36" s="1131"/>
      <c r="D36" s="1131"/>
      <c r="E36" s="1131"/>
      <c r="F36" s="1131"/>
      <c r="G36" s="1131"/>
      <c r="H36" s="1131"/>
      <c r="I36" s="1131"/>
      <c r="J36" s="1131"/>
    </row>
    <row r="37" spans="1:17">
      <c r="A37" s="1108">
        <f>+A34+1</f>
        <v>28</v>
      </c>
      <c r="B37" s="1106" t="s">
        <v>1176</v>
      </c>
      <c r="H37" s="1137"/>
      <c r="I37" s="1137"/>
      <c r="J37" s="1137"/>
      <c r="L37" s="1132"/>
      <c r="M37" s="1133"/>
      <c r="N37" s="1133"/>
      <c r="O37" s="1133"/>
      <c r="P37" s="1133"/>
      <c r="Q37" s="1133"/>
    </row>
    <row r="38" spans="1:17">
      <c r="A38" s="1108">
        <f>+A37+1</f>
        <v>29</v>
      </c>
      <c r="B38" s="1205" t="s">
        <v>1146</v>
      </c>
      <c r="C38" s="1206"/>
      <c r="D38" s="1206"/>
      <c r="E38" s="1206"/>
      <c r="F38" s="1207"/>
      <c r="G38" s="1105"/>
      <c r="H38" s="1208" t="s">
        <v>1147</v>
      </c>
      <c r="I38" s="1209"/>
      <c r="J38" s="1210"/>
      <c r="L38" s="1208" t="s">
        <v>1148</v>
      </c>
      <c r="M38" s="1209"/>
      <c r="N38" s="1209"/>
      <c r="O38" s="1209"/>
      <c r="P38" s="1209"/>
      <c r="Q38" s="1209"/>
    </row>
    <row r="39" spans="1:17">
      <c r="B39" s="1113" t="s">
        <v>247</v>
      </c>
      <c r="C39" s="1113" t="s">
        <v>248</v>
      </c>
      <c r="D39" s="1113" t="s">
        <v>570</v>
      </c>
      <c r="E39" s="1113" t="s">
        <v>572</v>
      </c>
      <c r="F39" s="1113" t="s">
        <v>574</v>
      </c>
      <c r="G39" s="1105"/>
      <c r="H39" s="1113" t="s">
        <v>575</v>
      </c>
      <c r="I39" s="1113" t="s">
        <v>576</v>
      </c>
      <c r="J39" s="1113" t="s">
        <v>578</v>
      </c>
      <c r="L39" s="1113" t="s">
        <v>579</v>
      </c>
      <c r="M39" s="1113" t="s">
        <v>580</v>
      </c>
      <c r="N39" s="1113" t="s">
        <v>581</v>
      </c>
      <c r="O39" s="1113" t="s">
        <v>588</v>
      </c>
      <c r="P39" s="1113" t="s">
        <v>589</v>
      </c>
      <c r="Q39" s="1113" t="s">
        <v>590</v>
      </c>
    </row>
    <row r="40" spans="1:17" s="1167" customFormat="1" ht="94.5">
      <c r="A40" s="1170">
        <f>+A38+1</f>
        <v>30</v>
      </c>
      <c r="B40" s="1171" t="s">
        <v>1149</v>
      </c>
      <c r="C40" s="1171" t="s">
        <v>1150</v>
      </c>
      <c r="D40" s="1171" t="s">
        <v>1151</v>
      </c>
      <c r="E40" s="1171" t="s">
        <v>1152</v>
      </c>
      <c r="F40" s="1171" t="s">
        <v>1153</v>
      </c>
      <c r="G40" s="1172"/>
      <c r="H40" s="1171" t="s">
        <v>1154</v>
      </c>
      <c r="I40" s="1171" t="s">
        <v>1155</v>
      </c>
      <c r="J40" s="1171" t="s">
        <v>1156</v>
      </c>
      <c r="K40" s="1172"/>
      <c r="L40" s="1171" t="s">
        <v>1157</v>
      </c>
      <c r="M40" s="1171" t="s">
        <v>1158</v>
      </c>
      <c r="N40" s="1171" t="s">
        <v>1159</v>
      </c>
      <c r="O40" s="1171" t="s">
        <v>1160</v>
      </c>
      <c r="P40" s="1171" t="s">
        <v>1161</v>
      </c>
      <c r="Q40" s="1171" t="s">
        <v>1162</v>
      </c>
    </row>
    <row r="41" spans="1:17">
      <c r="A41" s="1108">
        <f t="shared" ref="A41:A55" si="13">+A40+1</f>
        <v>31</v>
      </c>
      <c r="C41" s="1115"/>
      <c r="D41" s="1115"/>
      <c r="E41" s="1115"/>
      <c r="F41" s="1115"/>
      <c r="G41" s="1115"/>
      <c r="H41" s="1115"/>
      <c r="I41" s="1115"/>
      <c r="J41" s="1115"/>
    </row>
    <row r="42" spans="1:17">
      <c r="A42" s="1108">
        <f t="shared" si="13"/>
        <v>32</v>
      </c>
      <c r="B42" s="1116" t="s">
        <v>1163</v>
      </c>
      <c r="C42" s="1117"/>
      <c r="D42" s="1138"/>
      <c r="E42" s="1138"/>
      <c r="F42" s="1138"/>
      <c r="G42" s="1138"/>
      <c r="H42" s="1142"/>
      <c r="I42" s="1142"/>
      <c r="J42" s="1143">
        <v>-30846663.629999999</v>
      </c>
      <c r="K42" s="1144"/>
      <c r="L42" s="1142"/>
      <c r="M42" s="1145"/>
      <c r="N42" s="1145"/>
      <c r="O42" s="1145"/>
      <c r="P42" s="1145"/>
      <c r="Q42" s="1146">
        <v>0</v>
      </c>
    </row>
    <row r="43" spans="1:17">
      <c r="A43" s="1108">
        <f t="shared" si="13"/>
        <v>33</v>
      </c>
      <c r="B43" s="1117" t="s">
        <v>1164</v>
      </c>
      <c r="C43" s="1139">
        <v>31</v>
      </c>
      <c r="D43" s="1140">
        <f t="shared" ref="D43:D53" si="14">(D44+C44)</f>
        <v>335</v>
      </c>
      <c r="E43" s="1140">
        <f>SUM(C43:C54)</f>
        <v>365</v>
      </c>
      <c r="F43" s="1112">
        <f>D43/E43</f>
        <v>0.9178082191780822</v>
      </c>
      <c r="G43" s="1138"/>
      <c r="H43" s="1143">
        <v>178210.81583330035</v>
      </c>
      <c r="I43" s="1142">
        <f>+H43*F43</f>
        <v>163563.35151823456</v>
      </c>
      <c r="J43" s="1142">
        <f t="shared" ref="J43:J53" si="15">+I43+J42</f>
        <v>-30683100.278481763</v>
      </c>
      <c r="K43" s="1125"/>
      <c r="L43" s="1146">
        <v>0</v>
      </c>
      <c r="M43" s="1145">
        <f>L43-H43</f>
        <v>-178210.81583330035</v>
      </c>
      <c r="N43" s="1145">
        <f>IF(M43&lt;=0,+M43,0)</f>
        <v>-178210.81583330035</v>
      </c>
      <c r="O43" s="1145">
        <f>IF(N43&lt;0,0,IF(L43&gt;0,0,(-(M43)*(D43/E43))))</f>
        <v>0</v>
      </c>
      <c r="P43" s="1145">
        <f t="shared" ref="P43:P54" si="16">IF(L43&gt;0,L43,0)</f>
        <v>0</v>
      </c>
      <c r="Q43" s="1145">
        <f>IF(L43&gt;0,Q42+P43,Q42+I43+N43-O43)</f>
        <v>-14647.464315065794</v>
      </c>
    </row>
    <row r="44" spans="1:17">
      <c r="A44" s="1108">
        <f t="shared" si="13"/>
        <v>34</v>
      </c>
      <c r="B44" s="1117" t="s">
        <v>47</v>
      </c>
      <c r="C44" s="1141">
        <v>28</v>
      </c>
      <c r="D44" s="1140">
        <f t="shared" si="14"/>
        <v>307</v>
      </c>
      <c r="E44" s="1140">
        <f>E43</f>
        <v>365</v>
      </c>
      <c r="F44" s="1112">
        <f t="shared" ref="F44:F54" si="17">D44/E44</f>
        <v>0.84109589041095889</v>
      </c>
      <c r="G44" s="1138"/>
      <c r="H44" s="1143">
        <v>178210.81583339721</v>
      </c>
      <c r="I44" s="1142">
        <f t="shared" ref="I44:I54" si="18">+H44*F44</f>
        <v>149892.38482425464</v>
      </c>
      <c r="J44" s="1142">
        <f t="shared" si="15"/>
        <v>-30533207.893657509</v>
      </c>
      <c r="K44" s="1125"/>
      <c r="L44" s="1146">
        <v>0</v>
      </c>
      <c r="M44" s="1145">
        <f t="shared" ref="M44:M54" si="19">L44-H44</f>
        <v>-178210.81583339721</v>
      </c>
      <c r="N44" s="1145">
        <f t="shared" ref="N44:N54" si="20">IF(M44&lt;=0,+M44,0)</f>
        <v>-178210.81583339721</v>
      </c>
      <c r="O44" s="1145">
        <f t="shared" ref="O44:O54" si="21">IF(N44&lt;0,0,IF(L44&gt;0,0,(-(M44)*(D44/E44))))</f>
        <v>0</v>
      </c>
      <c r="P44" s="1145">
        <f t="shared" si="16"/>
        <v>0</v>
      </c>
      <c r="Q44" s="1145">
        <f t="shared" ref="Q44:Q54" si="22">IF(L44&gt;0,Q43+P44,Q43+I44+N44-O44)</f>
        <v>-42965.895324208366</v>
      </c>
    </row>
    <row r="45" spans="1:17">
      <c r="A45" s="1108">
        <f t="shared" si="13"/>
        <v>35</v>
      </c>
      <c r="B45" s="1117" t="s">
        <v>48</v>
      </c>
      <c r="C45" s="1139">
        <v>31</v>
      </c>
      <c r="D45" s="1140">
        <f t="shared" si="14"/>
        <v>276</v>
      </c>
      <c r="E45" s="1140">
        <f t="shared" ref="E45:E54" si="23">E44</f>
        <v>365</v>
      </c>
      <c r="F45" s="1112">
        <f t="shared" si="17"/>
        <v>0.75616438356164384</v>
      </c>
      <c r="G45" s="1138"/>
      <c r="H45" s="1143">
        <v>178210.81583330035</v>
      </c>
      <c r="I45" s="1142">
        <f t="shared" si="18"/>
        <v>134756.67169860521</v>
      </c>
      <c r="J45" s="1142">
        <f t="shared" si="15"/>
        <v>-30398451.221958905</v>
      </c>
      <c r="K45" s="1125"/>
      <c r="L45" s="1146">
        <v>0</v>
      </c>
      <c r="M45" s="1145">
        <f t="shared" si="19"/>
        <v>-178210.81583330035</v>
      </c>
      <c r="N45" s="1145">
        <f t="shared" si="20"/>
        <v>-178210.81583330035</v>
      </c>
      <c r="O45" s="1145">
        <f t="shared" si="21"/>
        <v>0</v>
      </c>
      <c r="P45" s="1145">
        <f t="shared" si="16"/>
        <v>0</v>
      </c>
      <c r="Q45" s="1145">
        <f t="shared" si="22"/>
        <v>-86420.039458903513</v>
      </c>
    </row>
    <row r="46" spans="1:17">
      <c r="A46" s="1108">
        <f t="shared" si="13"/>
        <v>36</v>
      </c>
      <c r="B46" s="1117" t="s">
        <v>49</v>
      </c>
      <c r="C46" s="1139">
        <v>30</v>
      </c>
      <c r="D46" s="1140">
        <f t="shared" si="14"/>
        <v>246</v>
      </c>
      <c r="E46" s="1140">
        <f t="shared" si="23"/>
        <v>365</v>
      </c>
      <c r="F46" s="1112">
        <f t="shared" si="17"/>
        <v>0.67397260273972603</v>
      </c>
      <c r="G46" s="1138"/>
      <c r="H46" s="1143">
        <v>178210.81583330035</v>
      </c>
      <c r="I46" s="1142">
        <f t="shared" si="18"/>
        <v>120109.20738353941</v>
      </c>
      <c r="J46" s="1142">
        <f t="shared" si="15"/>
        <v>-30278342.014575366</v>
      </c>
      <c r="K46" s="1125"/>
      <c r="L46" s="1146">
        <v>0</v>
      </c>
      <c r="M46" s="1145">
        <f t="shared" si="19"/>
        <v>-178210.81583330035</v>
      </c>
      <c r="N46" s="1145">
        <f t="shared" si="20"/>
        <v>-178210.81583330035</v>
      </c>
      <c r="O46" s="1145">
        <f t="shared" si="21"/>
        <v>0</v>
      </c>
      <c r="P46" s="1145">
        <f t="shared" si="16"/>
        <v>0</v>
      </c>
      <c r="Q46" s="1145">
        <f t="shared" si="22"/>
        <v>-144521.64790866445</v>
      </c>
    </row>
    <row r="47" spans="1:17">
      <c r="A47" s="1108">
        <f t="shared" si="13"/>
        <v>37</v>
      </c>
      <c r="B47" s="1117" t="s">
        <v>21</v>
      </c>
      <c r="C47" s="1139">
        <v>31</v>
      </c>
      <c r="D47" s="1140">
        <f t="shared" si="14"/>
        <v>215</v>
      </c>
      <c r="E47" s="1140">
        <f t="shared" si="23"/>
        <v>365</v>
      </c>
      <c r="F47" s="1112">
        <f t="shared" si="17"/>
        <v>0.58904109589041098</v>
      </c>
      <c r="G47" s="1138"/>
      <c r="H47" s="1143">
        <v>178210.81583340093</v>
      </c>
      <c r="I47" s="1142">
        <f t="shared" si="18"/>
        <v>104973.4942580307</v>
      </c>
      <c r="J47" s="1142">
        <f t="shared" si="15"/>
        <v>-30173368.520317335</v>
      </c>
      <c r="K47" s="1125"/>
      <c r="L47" s="1146">
        <v>0</v>
      </c>
      <c r="M47" s="1145">
        <f t="shared" si="19"/>
        <v>-178210.81583340093</v>
      </c>
      <c r="N47" s="1145">
        <f t="shared" si="20"/>
        <v>-178210.81583340093</v>
      </c>
      <c r="O47" s="1145">
        <f t="shared" si="21"/>
        <v>0</v>
      </c>
      <c r="P47" s="1145">
        <f t="shared" si="16"/>
        <v>0</v>
      </c>
      <c r="Q47" s="1145">
        <f t="shared" si="22"/>
        <v>-217758.96948403469</v>
      </c>
    </row>
    <row r="48" spans="1:17">
      <c r="A48" s="1108">
        <f t="shared" si="13"/>
        <v>38</v>
      </c>
      <c r="B48" s="1117" t="s">
        <v>50</v>
      </c>
      <c r="C48" s="1139">
        <v>30</v>
      </c>
      <c r="D48" s="1140">
        <f t="shared" si="14"/>
        <v>185</v>
      </c>
      <c r="E48" s="1140">
        <f t="shared" si="23"/>
        <v>365</v>
      </c>
      <c r="F48" s="1112">
        <f t="shared" si="17"/>
        <v>0.50684931506849318</v>
      </c>
      <c r="G48" s="1138"/>
      <c r="H48" s="1143">
        <v>178210.81583330035</v>
      </c>
      <c r="I48" s="1142">
        <f t="shared" si="18"/>
        <v>90326.029942905661</v>
      </c>
      <c r="J48" s="1142">
        <f t="shared" si="15"/>
        <v>-30083042.490374427</v>
      </c>
      <c r="K48" s="1125"/>
      <c r="L48" s="1146">
        <v>0</v>
      </c>
      <c r="M48" s="1145">
        <f t="shared" si="19"/>
        <v>-178210.81583330035</v>
      </c>
      <c r="N48" s="1145">
        <f t="shared" si="20"/>
        <v>-178210.81583330035</v>
      </c>
      <c r="O48" s="1145">
        <f t="shared" si="21"/>
        <v>0</v>
      </c>
      <c r="P48" s="1145">
        <f t="shared" si="16"/>
        <v>0</v>
      </c>
      <c r="Q48" s="1145">
        <f t="shared" si="22"/>
        <v>-305643.7553744294</v>
      </c>
    </row>
    <row r="49" spans="1:17">
      <c r="A49" s="1108">
        <f t="shared" si="13"/>
        <v>39</v>
      </c>
      <c r="B49" s="1117" t="s">
        <v>51</v>
      </c>
      <c r="C49" s="1139">
        <v>31</v>
      </c>
      <c r="D49" s="1140">
        <f t="shared" si="14"/>
        <v>154</v>
      </c>
      <c r="E49" s="1140">
        <f t="shared" si="23"/>
        <v>365</v>
      </c>
      <c r="F49" s="1112">
        <f t="shared" si="17"/>
        <v>0.42191780821917807</v>
      </c>
      <c r="G49" s="1138"/>
      <c r="H49" s="1143">
        <v>178210.81583330035</v>
      </c>
      <c r="I49" s="1142">
        <f t="shared" si="18"/>
        <v>75190.316817337676</v>
      </c>
      <c r="J49" s="1142">
        <f t="shared" si="15"/>
        <v>-30007852.173557088</v>
      </c>
      <c r="K49" s="1125"/>
      <c r="L49" s="1146">
        <v>0</v>
      </c>
      <c r="M49" s="1145">
        <f t="shared" si="19"/>
        <v>-178210.81583330035</v>
      </c>
      <c r="N49" s="1145">
        <f t="shared" si="20"/>
        <v>-178210.81583330035</v>
      </c>
      <c r="O49" s="1145">
        <f t="shared" si="21"/>
        <v>0</v>
      </c>
      <c r="P49" s="1145">
        <f t="shared" si="16"/>
        <v>0</v>
      </c>
      <c r="Q49" s="1145">
        <f t="shared" si="22"/>
        <v>-408664.2543903921</v>
      </c>
    </row>
    <row r="50" spans="1:17">
      <c r="A50" s="1108">
        <f t="shared" si="13"/>
        <v>40</v>
      </c>
      <c r="B50" s="1117" t="s">
        <v>52</v>
      </c>
      <c r="C50" s="1139">
        <v>31</v>
      </c>
      <c r="D50" s="1140">
        <f t="shared" si="14"/>
        <v>123</v>
      </c>
      <c r="E50" s="1140">
        <f t="shared" si="23"/>
        <v>365</v>
      </c>
      <c r="F50" s="1112">
        <f t="shared" si="17"/>
        <v>0.33698630136986302</v>
      </c>
      <c r="G50" s="1138"/>
      <c r="H50" s="1143">
        <v>178210.81583339721</v>
      </c>
      <c r="I50" s="1142">
        <f t="shared" si="18"/>
        <v>60054.603691802346</v>
      </c>
      <c r="J50" s="1142">
        <f t="shared" si="15"/>
        <v>-29947797.569865286</v>
      </c>
      <c r="K50" s="1125"/>
      <c r="L50" s="1146">
        <v>0</v>
      </c>
      <c r="M50" s="1145">
        <f t="shared" si="19"/>
        <v>-178210.81583339721</v>
      </c>
      <c r="N50" s="1145">
        <f t="shared" si="20"/>
        <v>-178210.81583339721</v>
      </c>
      <c r="O50" s="1145">
        <f t="shared" si="21"/>
        <v>0</v>
      </c>
      <c r="P50" s="1145">
        <f t="shared" si="16"/>
        <v>0</v>
      </c>
      <c r="Q50" s="1145">
        <f t="shared" si="22"/>
        <v>-526820.46653198695</v>
      </c>
    </row>
    <row r="51" spans="1:17">
      <c r="A51" s="1108">
        <f t="shared" si="13"/>
        <v>41</v>
      </c>
      <c r="B51" s="1117" t="s">
        <v>53</v>
      </c>
      <c r="C51" s="1139">
        <v>30</v>
      </c>
      <c r="D51" s="1140">
        <f t="shared" si="14"/>
        <v>93</v>
      </c>
      <c r="E51" s="1140">
        <f t="shared" si="23"/>
        <v>365</v>
      </c>
      <c r="F51" s="1112">
        <f t="shared" si="17"/>
        <v>0.25479452054794521</v>
      </c>
      <c r="G51" s="1138"/>
      <c r="H51" s="1143">
        <v>178210.81583330035</v>
      </c>
      <c r="I51" s="1142">
        <f t="shared" si="18"/>
        <v>45407.139376703926</v>
      </c>
      <c r="J51" s="1142">
        <f t="shared" si="15"/>
        <v>-29902390.430488583</v>
      </c>
      <c r="K51" s="1125"/>
      <c r="L51" s="1146">
        <v>0</v>
      </c>
      <c r="M51" s="1145">
        <f t="shared" si="19"/>
        <v>-178210.81583330035</v>
      </c>
      <c r="N51" s="1145">
        <f t="shared" si="20"/>
        <v>-178210.81583330035</v>
      </c>
      <c r="O51" s="1145">
        <f t="shared" si="21"/>
        <v>0</v>
      </c>
      <c r="P51" s="1145">
        <f t="shared" si="16"/>
        <v>0</v>
      </c>
      <c r="Q51" s="1145">
        <f t="shared" si="22"/>
        <v>-659624.14298858331</v>
      </c>
    </row>
    <row r="52" spans="1:17">
      <c r="A52" s="1108">
        <f t="shared" si="13"/>
        <v>42</v>
      </c>
      <c r="B52" s="1117" t="s">
        <v>54</v>
      </c>
      <c r="C52" s="1139">
        <v>31</v>
      </c>
      <c r="D52" s="1140">
        <f t="shared" si="14"/>
        <v>62</v>
      </c>
      <c r="E52" s="1140">
        <f t="shared" si="23"/>
        <v>365</v>
      </c>
      <c r="F52" s="1112">
        <f t="shared" si="17"/>
        <v>0.16986301369863013</v>
      </c>
      <c r="G52" s="1138"/>
      <c r="H52" s="1143">
        <v>178210.81583330035</v>
      </c>
      <c r="I52" s="1142">
        <f t="shared" si="18"/>
        <v>30271.426251135948</v>
      </c>
      <c r="J52" s="1142">
        <f t="shared" si="15"/>
        <v>-29872119.004237447</v>
      </c>
      <c r="K52" s="1125"/>
      <c r="L52" s="1146">
        <v>0</v>
      </c>
      <c r="M52" s="1145">
        <f t="shared" si="19"/>
        <v>-178210.81583330035</v>
      </c>
      <c r="N52" s="1145">
        <f t="shared" si="20"/>
        <v>-178210.81583330035</v>
      </c>
      <c r="O52" s="1145">
        <f t="shared" si="21"/>
        <v>0</v>
      </c>
      <c r="P52" s="1145">
        <f t="shared" si="16"/>
        <v>0</v>
      </c>
      <c r="Q52" s="1145">
        <f t="shared" si="22"/>
        <v>-807563.53257074766</v>
      </c>
    </row>
    <row r="53" spans="1:17">
      <c r="A53" s="1108">
        <f t="shared" si="13"/>
        <v>43</v>
      </c>
      <c r="B53" s="1117" t="s">
        <v>55</v>
      </c>
      <c r="C53" s="1139">
        <v>30</v>
      </c>
      <c r="D53" s="1140">
        <f t="shared" si="14"/>
        <v>32</v>
      </c>
      <c r="E53" s="1140">
        <f t="shared" si="23"/>
        <v>365</v>
      </c>
      <c r="F53" s="1112">
        <f t="shared" si="17"/>
        <v>8.7671232876712329E-2</v>
      </c>
      <c r="G53" s="1138"/>
      <c r="H53" s="1143">
        <v>178210.81583340093</v>
      </c>
      <c r="I53" s="1142">
        <f t="shared" si="18"/>
        <v>15623.961936078986</v>
      </c>
      <c r="J53" s="1142">
        <f t="shared" si="15"/>
        <v>-29856495.042301368</v>
      </c>
      <c r="K53" s="1125"/>
      <c r="L53" s="1146">
        <v>0</v>
      </c>
      <c r="M53" s="1145">
        <f t="shared" si="19"/>
        <v>-178210.81583340093</v>
      </c>
      <c r="N53" s="1145">
        <f t="shared" si="20"/>
        <v>-178210.81583340093</v>
      </c>
      <c r="O53" s="1145">
        <f t="shared" si="21"/>
        <v>0</v>
      </c>
      <c r="P53" s="1145">
        <f t="shared" si="16"/>
        <v>0</v>
      </c>
      <c r="Q53" s="1145">
        <f t="shared" si="22"/>
        <v>-970150.38646806963</v>
      </c>
    </row>
    <row r="54" spans="1:17">
      <c r="A54" s="1108">
        <f t="shared" si="13"/>
        <v>44</v>
      </c>
      <c r="B54" s="1117" t="s">
        <v>1165</v>
      </c>
      <c r="C54" s="1139">
        <v>31</v>
      </c>
      <c r="D54" s="1140">
        <f>1</f>
        <v>1</v>
      </c>
      <c r="E54" s="1140">
        <f t="shared" si="23"/>
        <v>365</v>
      </c>
      <c r="F54" s="1112">
        <f t="shared" si="17"/>
        <v>2.7397260273972603E-3</v>
      </c>
      <c r="G54" s="1138"/>
      <c r="H54" s="1143">
        <v>178210.81583330035</v>
      </c>
      <c r="I54" s="1142">
        <f t="shared" si="18"/>
        <v>488.24881050219273</v>
      </c>
      <c r="J54" s="1142">
        <f>+I54+J53</f>
        <v>-29856006.793490864</v>
      </c>
      <c r="K54" s="1125"/>
      <c r="L54" s="1146">
        <v>0</v>
      </c>
      <c r="M54" s="1145">
        <f t="shared" si="19"/>
        <v>-178210.81583330035</v>
      </c>
      <c r="N54" s="1145">
        <f t="shared" si="20"/>
        <v>-178210.81583330035</v>
      </c>
      <c r="O54" s="1145">
        <f t="shared" si="21"/>
        <v>0</v>
      </c>
      <c r="P54" s="1145">
        <f t="shared" si="16"/>
        <v>0</v>
      </c>
      <c r="Q54" s="1145">
        <f t="shared" si="22"/>
        <v>-1147872.9534908677</v>
      </c>
    </row>
    <row r="55" spans="1:17">
      <c r="A55" s="1108">
        <f t="shared" si="13"/>
        <v>45</v>
      </c>
      <c r="B55" s="1118"/>
      <c r="C55" s="1118" t="s">
        <v>23</v>
      </c>
      <c r="D55" s="1118"/>
      <c r="E55" s="1118"/>
      <c r="F55" s="1119"/>
      <c r="G55" s="1138"/>
      <c r="H55" s="1147">
        <f>SUM(H43:H54)</f>
        <v>2138529.7899999991</v>
      </c>
      <c r="I55" s="1147">
        <f>SUM(I43:I54)</f>
        <v>990656.83650913124</v>
      </c>
      <c r="J55" s="1134"/>
      <c r="K55" s="1125"/>
      <c r="L55" s="1111">
        <f>SUM(L43:L54)</f>
        <v>0</v>
      </c>
      <c r="M55" s="1111">
        <f t="shared" ref="M55:P55" si="24">SUM(M43:M54)</f>
        <v>-2138529.7899999991</v>
      </c>
      <c r="N55" s="1111">
        <f t="shared" si="24"/>
        <v>-2138529.7899999991</v>
      </c>
      <c r="O55" s="1111">
        <f t="shared" si="24"/>
        <v>0</v>
      </c>
      <c r="P55" s="1111">
        <f t="shared" si="24"/>
        <v>0</v>
      </c>
      <c r="Q55" s="1111"/>
    </row>
    <row r="56" spans="1:17">
      <c r="B56" s="1122"/>
      <c r="C56" s="1122"/>
      <c r="D56" s="1122"/>
      <c r="E56" s="1122"/>
      <c r="F56" s="1136"/>
      <c r="G56" s="1136"/>
      <c r="H56" s="1124"/>
      <c r="I56" s="1123"/>
      <c r="J56" s="1120"/>
      <c r="K56" s="1125"/>
      <c r="L56" s="1125"/>
      <c r="M56" s="1125"/>
      <c r="N56" s="1125"/>
      <c r="O56" s="1125"/>
      <c r="P56" s="1125"/>
      <c r="Q56" s="1125"/>
    </row>
    <row r="57" spans="1:17">
      <c r="A57" s="1108">
        <f>+A55+1</f>
        <v>46</v>
      </c>
      <c r="B57" s="1107" t="s">
        <v>1166</v>
      </c>
      <c r="F57" s="1166" t="s">
        <v>1177</v>
      </c>
      <c r="G57" s="1136"/>
      <c r="H57" s="1125"/>
      <c r="I57" s="1120"/>
      <c r="J57" s="1143">
        <v>-30846663.629999999</v>
      </c>
      <c r="K57" s="1125"/>
      <c r="L57" s="1125"/>
      <c r="M57" s="1125"/>
      <c r="N57" s="1125"/>
      <c r="O57" s="1125"/>
      <c r="P57" s="1125"/>
      <c r="Q57" s="1146">
        <v>0</v>
      </c>
    </row>
    <row r="58" spans="1:17">
      <c r="A58" s="1108">
        <f>+A57+1</f>
        <v>47</v>
      </c>
      <c r="B58" s="1107" t="s">
        <v>1168</v>
      </c>
      <c r="F58" s="1167" t="str">
        <f>"(Line "&amp;A57&amp;" less line "&amp;A59&amp;")"</f>
        <v>(Line 46 less line 48)</v>
      </c>
      <c r="G58" s="1136"/>
      <c r="H58" s="1125"/>
      <c r="I58" s="1120"/>
      <c r="J58" s="1145">
        <f>+J57-J59</f>
        <v>0</v>
      </c>
      <c r="K58" s="1125"/>
      <c r="L58" s="1125"/>
      <c r="M58" s="1125"/>
      <c r="N58" s="1125"/>
      <c r="O58" s="1125"/>
      <c r="P58" s="1125"/>
      <c r="Q58" s="1145">
        <f>+Q57-Q59</f>
        <v>0</v>
      </c>
    </row>
    <row r="59" spans="1:17">
      <c r="A59" s="1108">
        <f t="shared" ref="A59:A65" si="25">+A58+1</f>
        <v>48</v>
      </c>
      <c r="B59" s="1107" t="s">
        <v>1169</v>
      </c>
      <c r="F59" s="1167" t="str">
        <f>"(Line "&amp;A42&amp;", Col H)"</f>
        <v>(Line 32, Col H)</v>
      </c>
      <c r="G59" s="1136"/>
      <c r="H59" s="1125"/>
      <c r="I59" s="1120"/>
      <c r="J59" s="1142">
        <f>+J42</f>
        <v>-30846663.629999999</v>
      </c>
      <c r="K59" s="1125"/>
      <c r="L59" s="1125"/>
      <c r="M59" s="1125"/>
      <c r="N59" s="1125"/>
      <c r="O59" s="1125"/>
      <c r="P59" s="1125"/>
      <c r="Q59" s="1142">
        <f>+Q42</f>
        <v>0</v>
      </c>
    </row>
    <row r="60" spans="1:17">
      <c r="A60" s="1108">
        <f t="shared" si="25"/>
        <v>49</v>
      </c>
      <c r="B60" s="1107" t="s">
        <v>1170</v>
      </c>
      <c r="F60" s="1166" t="s">
        <v>1178</v>
      </c>
      <c r="G60" s="1136"/>
      <c r="H60" s="1125"/>
      <c r="I60" s="1120"/>
      <c r="J60" s="1143">
        <v>-29856006.793490864</v>
      </c>
      <c r="K60" s="1125"/>
      <c r="L60" s="1125"/>
      <c r="M60" s="1125"/>
      <c r="N60" s="1125"/>
      <c r="O60" s="1125"/>
      <c r="P60" s="1125"/>
      <c r="Q60" s="1146">
        <v>0</v>
      </c>
    </row>
    <row r="61" spans="1:17">
      <c r="A61" s="1108">
        <f t="shared" si="25"/>
        <v>50</v>
      </c>
      <c r="B61" s="1107" t="str">
        <f>+B58</f>
        <v>Less non Prorated Items</v>
      </c>
      <c r="F61" s="1167" t="str">
        <f>"(Line "&amp;A60&amp;" less line "&amp;A62&amp;")"</f>
        <v>(Line 49 less line 51)</v>
      </c>
      <c r="G61" s="1136"/>
      <c r="H61" s="1125"/>
      <c r="I61" s="1120"/>
      <c r="J61" s="1145">
        <f>+J60-J62</f>
        <v>0</v>
      </c>
      <c r="K61" s="1125"/>
      <c r="L61" s="1125"/>
      <c r="M61" s="1125"/>
      <c r="N61" s="1125"/>
      <c r="O61" s="1125"/>
      <c r="P61" s="1125"/>
      <c r="Q61" s="1145">
        <f>+Q60-Q62</f>
        <v>1147872.9534908677</v>
      </c>
    </row>
    <row r="62" spans="1:17">
      <c r="A62" s="1108">
        <f t="shared" si="25"/>
        <v>51</v>
      </c>
      <c r="B62" s="1107" t="s">
        <v>1171</v>
      </c>
      <c r="F62" s="1167" t="str">
        <f>"(Line "&amp;A54&amp;", Col H)"</f>
        <v>(Line 44, Col H)</v>
      </c>
      <c r="G62" s="1136"/>
      <c r="H62" s="1125"/>
      <c r="I62" s="1120"/>
      <c r="J62" s="1142">
        <f>+J54</f>
        <v>-29856006.793490864</v>
      </c>
      <c r="K62" s="1125"/>
      <c r="L62" s="1125"/>
      <c r="M62" s="1125"/>
      <c r="N62" s="1125"/>
      <c r="O62" s="1125"/>
      <c r="P62" s="1125"/>
      <c r="Q62" s="1142">
        <f>+Q54</f>
        <v>-1147872.9534908677</v>
      </c>
    </row>
    <row r="63" spans="1:17">
      <c r="A63" s="1108">
        <f t="shared" si="25"/>
        <v>52</v>
      </c>
      <c r="B63" s="1107" t="s">
        <v>1172</v>
      </c>
      <c r="F63" s="1167" t="str">
        <f>"([Sum Lines "&amp;A42&amp;" to "&amp;A54&amp;"] /13)+([Lines "&amp;A58&amp;" +"&amp;A61&amp;")/2])"</f>
        <v>([Sum Lines 32 to 44] /13)+([Lines 47 +50)/2])</v>
      </c>
      <c r="G63" s="1136"/>
      <c r="H63" s="1125"/>
      <c r="I63" s="1127"/>
      <c r="J63" s="1148">
        <f>(J42+J43+J44+J45+J46+J47+J48+J49+J50+J51+J52+J53+J54)/13+(J58+J61)/2</f>
        <v>-30187602.851023536</v>
      </c>
      <c r="K63" s="1125"/>
      <c r="L63" s="1125"/>
      <c r="M63" s="1125"/>
      <c r="N63" s="1125"/>
      <c r="O63" s="1125"/>
      <c r="P63" s="1125"/>
      <c r="Q63" s="1148">
        <f>(Q42+Q43+Q44+Q45+Q46+Q47+Q48+Q49+Q50+Q51+Q52+Q53+Q54)/13+(Q58+Q61)/2</f>
        <v>163732.36072189896</v>
      </c>
    </row>
    <row r="64" spans="1:17">
      <c r="A64" s="1108">
        <f t="shared" si="25"/>
        <v>53</v>
      </c>
      <c r="B64" s="1107" t="s">
        <v>1173</v>
      </c>
      <c r="F64" s="1167" t="s">
        <v>1174</v>
      </c>
      <c r="G64" s="1136"/>
      <c r="H64" s="1125"/>
      <c r="I64" s="1127"/>
      <c r="J64" s="1143">
        <v>0</v>
      </c>
      <c r="K64" s="1125"/>
      <c r="L64" s="1125"/>
      <c r="M64" s="1125"/>
      <c r="N64" s="1125"/>
      <c r="O64" s="1125"/>
      <c r="P64" s="1125"/>
      <c r="Q64" s="1146">
        <v>0</v>
      </c>
    </row>
    <row r="65" spans="1:17">
      <c r="A65" s="1108">
        <f t="shared" si="25"/>
        <v>54</v>
      </c>
      <c r="B65" s="1107" t="s">
        <v>1175</v>
      </c>
      <c r="F65" s="1167" t="str">
        <f>"(Line "&amp;A63&amp;" less line "&amp;A64&amp;")"</f>
        <v>(Line 52 less line 53)</v>
      </c>
      <c r="H65" s="1125"/>
      <c r="I65" s="1125"/>
      <c r="J65" s="1128">
        <f>+J63-J64</f>
        <v>-30187602.851023536</v>
      </c>
      <c r="K65" s="1125"/>
      <c r="L65" s="1125"/>
      <c r="M65" s="1125"/>
      <c r="N65" s="1125"/>
      <c r="O65" s="1125"/>
      <c r="P65" s="1125"/>
      <c r="Q65" s="1128">
        <f>+Q63-Q64</f>
        <v>163732.36072189896</v>
      </c>
    </row>
    <row r="66" spans="1:17">
      <c r="A66" s="1129"/>
      <c r="B66" s="1130"/>
      <c r="C66" s="1131"/>
      <c r="D66" s="1131"/>
      <c r="E66" s="1131"/>
      <c r="F66" s="1131"/>
      <c r="G66" s="1131"/>
      <c r="H66" s="1131"/>
      <c r="I66" s="1131"/>
      <c r="J66" s="1131"/>
    </row>
    <row r="67" spans="1:17">
      <c r="A67" s="1129"/>
      <c r="B67" s="1130"/>
      <c r="C67" s="1131"/>
      <c r="D67" s="1131"/>
      <c r="E67" s="1131"/>
      <c r="F67" s="1131"/>
      <c r="G67" s="1131"/>
      <c r="H67" s="1131"/>
      <c r="I67" s="1131"/>
      <c r="J67" s="1131"/>
    </row>
    <row r="68" spans="1:17">
      <c r="A68" s="1108">
        <f>+A65+1</f>
        <v>55</v>
      </c>
      <c r="B68" s="1106" t="s">
        <v>1179</v>
      </c>
      <c r="H68" s="1137"/>
      <c r="I68" s="1137"/>
      <c r="J68" s="1137"/>
      <c r="L68" s="1132"/>
      <c r="M68" s="1133"/>
      <c r="N68" s="1133"/>
      <c r="O68" s="1133"/>
      <c r="P68" s="1133"/>
      <c r="Q68" s="1133"/>
    </row>
    <row r="69" spans="1:17">
      <c r="A69" s="1108">
        <f>+A68+1</f>
        <v>56</v>
      </c>
      <c r="B69" s="1205" t="s">
        <v>1146</v>
      </c>
      <c r="C69" s="1206"/>
      <c r="D69" s="1206"/>
      <c r="E69" s="1206"/>
      <c r="F69" s="1207"/>
      <c r="G69" s="1105"/>
      <c r="H69" s="1208" t="s">
        <v>1147</v>
      </c>
      <c r="I69" s="1209"/>
      <c r="J69" s="1210"/>
      <c r="L69" s="1208" t="s">
        <v>1148</v>
      </c>
      <c r="M69" s="1209"/>
      <c r="N69" s="1209"/>
      <c r="O69" s="1209"/>
      <c r="P69" s="1209"/>
      <c r="Q69" s="1209"/>
    </row>
    <row r="70" spans="1:17">
      <c r="B70" s="1113" t="s">
        <v>247</v>
      </c>
      <c r="C70" s="1113" t="s">
        <v>248</v>
      </c>
      <c r="D70" s="1113" t="s">
        <v>570</v>
      </c>
      <c r="E70" s="1113" t="s">
        <v>572</v>
      </c>
      <c r="F70" s="1113" t="s">
        <v>574</v>
      </c>
      <c r="G70" s="1105"/>
      <c r="H70" s="1113" t="s">
        <v>575</v>
      </c>
      <c r="I70" s="1113" t="s">
        <v>576</v>
      </c>
      <c r="J70" s="1113" t="s">
        <v>578</v>
      </c>
      <c r="L70" s="1113" t="s">
        <v>579</v>
      </c>
      <c r="M70" s="1113" t="s">
        <v>580</v>
      </c>
      <c r="N70" s="1113" t="s">
        <v>581</v>
      </c>
      <c r="O70" s="1113" t="s">
        <v>588</v>
      </c>
      <c r="P70" s="1113" t="s">
        <v>589</v>
      </c>
      <c r="Q70" s="1113" t="s">
        <v>590</v>
      </c>
    </row>
    <row r="71" spans="1:17" s="1167" customFormat="1" ht="94.5">
      <c r="A71" s="1170">
        <f>+A69+1</f>
        <v>57</v>
      </c>
      <c r="B71" s="1171" t="s">
        <v>1149</v>
      </c>
      <c r="C71" s="1171" t="s">
        <v>1150</v>
      </c>
      <c r="D71" s="1171" t="s">
        <v>1151</v>
      </c>
      <c r="E71" s="1171" t="s">
        <v>1152</v>
      </c>
      <c r="F71" s="1171" t="s">
        <v>1180</v>
      </c>
      <c r="G71" s="1172"/>
      <c r="H71" s="1171" t="s">
        <v>1154</v>
      </c>
      <c r="I71" s="1171" t="s">
        <v>1155</v>
      </c>
      <c r="J71" s="1171" t="s">
        <v>1156</v>
      </c>
      <c r="K71" s="1172"/>
      <c r="L71" s="1171" t="s">
        <v>1157</v>
      </c>
      <c r="M71" s="1171" t="s">
        <v>1158</v>
      </c>
      <c r="N71" s="1171" t="s">
        <v>1159</v>
      </c>
      <c r="O71" s="1171" t="s">
        <v>1160</v>
      </c>
      <c r="P71" s="1171" t="s">
        <v>1161</v>
      </c>
      <c r="Q71" s="1171" t="s">
        <v>1162</v>
      </c>
    </row>
    <row r="72" spans="1:17">
      <c r="A72" s="1108">
        <f t="shared" ref="A72:A86" si="26">+A71+1</f>
        <v>58</v>
      </c>
      <c r="C72" s="1115"/>
      <c r="D72" s="1115"/>
      <c r="E72" s="1115"/>
      <c r="F72" s="1115"/>
      <c r="G72" s="1115"/>
      <c r="H72" s="1115"/>
      <c r="I72" s="1115"/>
      <c r="J72" s="1115"/>
    </row>
    <row r="73" spans="1:17">
      <c r="A73" s="1108">
        <f t="shared" si="26"/>
        <v>59</v>
      </c>
      <c r="B73" s="1116" t="s">
        <v>1163</v>
      </c>
      <c r="C73" s="1117"/>
      <c r="D73" s="1138"/>
      <c r="E73" s="1138"/>
      <c r="F73" s="1138"/>
      <c r="G73" s="1138"/>
      <c r="H73" s="1142"/>
      <c r="I73" s="1142"/>
      <c r="J73" s="1143">
        <v>-3266844115.78406</v>
      </c>
      <c r="K73" s="1144"/>
      <c r="L73" s="1142"/>
      <c r="M73" s="1145"/>
      <c r="N73" s="1145"/>
      <c r="O73" s="1145"/>
      <c r="P73" s="1145"/>
      <c r="Q73" s="1146">
        <v>0</v>
      </c>
    </row>
    <row r="74" spans="1:17">
      <c r="A74" s="1108">
        <f t="shared" si="26"/>
        <v>60</v>
      </c>
      <c r="B74" s="1117" t="s">
        <v>1164</v>
      </c>
      <c r="C74" s="1139">
        <v>31</v>
      </c>
      <c r="D74" s="1140">
        <f t="shared" ref="D74:D84" si="27">(D75+C75)</f>
        <v>335</v>
      </c>
      <c r="E74" s="1140">
        <f>SUM(C74:C85)</f>
        <v>365</v>
      </c>
      <c r="F74" s="1112">
        <f>D74/E74</f>
        <v>0.9178082191780822</v>
      </c>
      <c r="G74" s="1138"/>
      <c r="H74" s="1143">
        <v>-12264159.420959949</v>
      </c>
      <c r="I74" s="1142">
        <f>+H74*F74</f>
        <v>-11256146.317867352</v>
      </c>
      <c r="J74" s="1142">
        <f t="shared" ref="J74:J85" si="28">+I74+J73</f>
        <v>-3278100262.1019273</v>
      </c>
      <c r="K74" s="1125"/>
      <c r="L74" s="1146">
        <v>0</v>
      </c>
      <c r="M74" s="1145">
        <f>L74-H74</f>
        <v>12264159.420959949</v>
      </c>
      <c r="N74" s="1145">
        <f>IF(M74&lt;=0,+M74,0)</f>
        <v>0</v>
      </c>
      <c r="O74" s="1145">
        <f>IF(N74&lt;0,0,IF(L74&gt;0,0,(-(M74)*(D74/E74))))</f>
        <v>-11256146.317867352</v>
      </c>
      <c r="P74" s="1145">
        <f t="shared" ref="P74:P85" si="29">IF(L74&gt;0,L74,0)</f>
        <v>0</v>
      </c>
      <c r="Q74" s="1145">
        <f>IF(L74&gt;0,Q73+P74,Q73+I74+N74-O74)</f>
        <v>0</v>
      </c>
    </row>
    <row r="75" spans="1:17">
      <c r="A75" s="1108">
        <f t="shared" si="26"/>
        <v>61</v>
      </c>
      <c r="B75" s="1117" t="s">
        <v>47</v>
      </c>
      <c r="C75" s="1141">
        <v>28</v>
      </c>
      <c r="D75" s="1140">
        <f t="shared" si="27"/>
        <v>307</v>
      </c>
      <c r="E75" s="1140">
        <f>E74</f>
        <v>365</v>
      </c>
      <c r="F75" s="1112">
        <f t="shared" ref="F75:F85" si="30">D75/E75</f>
        <v>0.84109589041095889</v>
      </c>
      <c r="G75" s="1138"/>
      <c r="H75" s="1143">
        <v>-12264159.420969963</v>
      </c>
      <c r="I75" s="1142">
        <f t="shared" ref="I75:I85" si="31">+H75*F75</f>
        <v>-10315334.08832268</v>
      </c>
      <c r="J75" s="1142">
        <f t="shared" si="28"/>
        <v>-3288415596.1902499</v>
      </c>
      <c r="K75" s="1125"/>
      <c r="L75" s="1146">
        <v>0</v>
      </c>
      <c r="M75" s="1145">
        <f t="shared" ref="M75:M85" si="32">L75-H75</f>
        <v>12264159.420969963</v>
      </c>
      <c r="N75" s="1145">
        <f t="shared" ref="N75:N85" si="33">IF(M75&lt;=0,+M75,0)</f>
        <v>0</v>
      </c>
      <c r="O75" s="1145">
        <f t="shared" ref="O75:O85" si="34">IF(N75&lt;0,0,IF(L75&gt;0,0,(-(M75)*(D75/E75))))</f>
        <v>-10315334.08832268</v>
      </c>
      <c r="P75" s="1145">
        <f t="shared" si="29"/>
        <v>0</v>
      </c>
      <c r="Q75" s="1145">
        <f t="shared" ref="Q75:Q85" si="35">IF(L75&gt;0,Q74+P75,Q74+I75+N75-O75)</f>
        <v>0</v>
      </c>
    </row>
    <row r="76" spans="1:17">
      <c r="A76" s="1108">
        <f t="shared" si="26"/>
        <v>62</v>
      </c>
      <c r="B76" s="1117" t="s">
        <v>48</v>
      </c>
      <c r="C76" s="1139">
        <v>31</v>
      </c>
      <c r="D76" s="1140">
        <f t="shared" si="27"/>
        <v>276</v>
      </c>
      <c r="E76" s="1140">
        <f t="shared" ref="E76:E85" si="36">E75</f>
        <v>365</v>
      </c>
      <c r="F76" s="1112">
        <f t="shared" si="30"/>
        <v>0.75616438356164384</v>
      </c>
      <c r="G76" s="1138"/>
      <c r="H76" s="1143">
        <v>-12264159.420959949</v>
      </c>
      <c r="I76" s="1142">
        <f t="shared" si="31"/>
        <v>-9273720.5484519079</v>
      </c>
      <c r="J76" s="1142">
        <f t="shared" si="28"/>
        <v>-3297689316.7387018</v>
      </c>
      <c r="K76" s="1125"/>
      <c r="L76" s="1146">
        <v>0</v>
      </c>
      <c r="M76" s="1145">
        <f t="shared" si="32"/>
        <v>12264159.420959949</v>
      </c>
      <c r="N76" s="1145">
        <f t="shared" si="33"/>
        <v>0</v>
      </c>
      <c r="O76" s="1145">
        <f t="shared" si="34"/>
        <v>-9273720.5484519079</v>
      </c>
      <c r="P76" s="1145">
        <f t="shared" si="29"/>
        <v>0</v>
      </c>
      <c r="Q76" s="1145">
        <f t="shared" si="35"/>
        <v>0</v>
      </c>
    </row>
    <row r="77" spans="1:17">
      <c r="A77" s="1108">
        <f t="shared" si="26"/>
        <v>63</v>
      </c>
      <c r="B77" s="1117" t="s">
        <v>49</v>
      </c>
      <c r="C77" s="1139">
        <v>30</v>
      </c>
      <c r="D77" s="1140">
        <f t="shared" si="27"/>
        <v>246</v>
      </c>
      <c r="E77" s="1140">
        <f t="shared" si="36"/>
        <v>365</v>
      </c>
      <c r="F77" s="1112">
        <f t="shared" si="30"/>
        <v>0.67397260273972603</v>
      </c>
      <c r="G77" s="1138"/>
      <c r="H77" s="1143">
        <v>-12264159.420959949</v>
      </c>
      <c r="I77" s="1142">
        <f t="shared" si="31"/>
        <v>-8265707.4453593083</v>
      </c>
      <c r="J77" s="1142">
        <f t="shared" si="28"/>
        <v>-3305955024.1840611</v>
      </c>
      <c r="K77" s="1125"/>
      <c r="L77" s="1146">
        <v>0</v>
      </c>
      <c r="M77" s="1145">
        <f t="shared" si="32"/>
        <v>12264159.420959949</v>
      </c>
      <c r="N77" s="1145">
        <f t="shared" si="33"/>
        <v>0</v>
      </c>
      <c r="O77" s="1145">
        <f t="shared" si="34"/>
        <v>-8265707.4453593083</v>
      </c>
      <c r="P77" s="1145">
        <f t="shared" si="29"/>
        <v>0</v>
      </c>
      <c r="Q77" s="1145">
        <f t="shared" si="35"/>
        <v>0</v>
      </c>
    </row>
    <row r="78" spans="1:17">
      <c r="A78" s="1108">
        <f t="shared" si="26"/>
        <v>64</v>
      </c>
      <c r="B78" s="1117" t="s">
        <v>21</v>
      </c>
      <c r="C78" s="1139">
        <v>31</v>
      </c>
      <c r="D78" s="1140">
        <f t="shared" si="27"/>
        <v>215</v>
      </c>
      <c r="E78" s="1140">
        <f t="shared" si="36"/>
        <v>365</v>
      </c>
      <c r="F78" s="1112">
        <f t="shared" si="30"/>
        <v>0.58904109589041098</v>
      </c>
      <c r="G78" s="1138"/>
      <c r="H78" s="1143">
        <v>-12264159.420969963</v>
      </c>
      <c r="I78" s="1142">
        <f t="shared" si="31"/>
        <v>-7224093.9055028548</v>
      </c>
      <c r="J78" s="1142">
        <f t="shared" si="28"/>
        <v>-3313179118.0895638</v>
      </c>
      <c r="K78" s="1125"/>
      <c r="L78" s="1146">
        <v>0</v>
      </c>
      <c r="M78" s="1145">
        <f t="shared" si="32"/>
        <v>12264159.420969963</v>
      </c>
      <c r="N78" s="1145">
        <f t="shared" si="33"/>
        <v>0</v>
      </c>
      <c r="O78" s="1145">
        <f t="shared" si="34"/>
        <v>-7224093.9055028548</v>
      </c>
      <c r="P78" s="1145">
        <f t="shared" si="29"/>
        <v>0</v>
      </c>
      <c r="Q78" s="1145">
        <f t="shared" si="35"/>
        <v>0</v>
      </c>
    </row>
    <row r="79" spans="1:17">
      <c r="A79" s="1108">
        <f t="shared" si="26"/>
        <v>65</v>
      </c>
      <c r="B79" s="1117" t="s">
        <v>50</v>
      </c>
      <c r="C79" s="1139">
        <v>30</v>
      </c>
      <c r="D79" s="1140">
        <f t="shared" si="27"/>
        <v>185</v>
      </c>
      <c r="E79" s="1140">
        <f t="shared" si="36"/>
        <v>365</v>
      </c>
      <c r="F79" s="1112">
        <f t="shared" si="30"/>
        <v>0.50684931506849318</v>
      </c>
      <c r="G79" s="1138"/>
      <c r="H79" s="1143">
        <v>-12264159.420960426</v>
      </c>
      <c r="I79" s="1142">
        <f t="shared" si="31"/>
        <v>-6216080.8024046002</v>
      </c>
      <c r="J79" s="1142">
        <f t="shared" si="28"/>
        <v>-3319395198.8919683</v>
      </c>
      <c r="K79" s="1125"/>
      <c r="L79" s="1146">
        <v>0</v>
      </c>
      <c r="M79" s="1145">
        <f t="shared" si="32"/>
        <v>12264159.420960426</v>
      </c>
      <c r="N79" s="1145">
        <f t="shared" si="33"/>
        <v>0</v>
      </c>
      <c r="O79" s="1145">
        <f t="shared" si="34"/>
        <v>-6216080.8024046002</v>
      </c>
      <c r="P79" s="1145">
        <f t="shared" si="29"/>
        <v>0</v>
      </c>
      <c r="Q79" s="1145">
        <f t="shared" si="35"/>
        <v>0</v>
      </c>
    </row>
    <row r="80" spans="1:17">
      <c r="A80" s="1108">
        <f t="shared" si="26"/>
        <v>66</v>
      </c>
      <c r="B80" s="1117" t="s">
        <v>51</v>
      </c>
      <c r="C80" s="1139">
        <v>31</v>
      </c>
      <c r="D80" s="1140">
        <f t="shared" si="27"/>
        <v>154</v>
      </c>
      <c r="E80" s="1140">
        <f t="shared" si="36"/>
        <v>365</v>
      </c>
      <c r="F80" s="1112">
        <f t="shared" si="30"/>
        <v>0.42191780821917807</v>
      </c>
      <c r="G80" s="1138"/>
      <c r="H80" s="1143">
        <v>-12264159.420959949</v>
      </c>
      <c r="I80" s="1142">
        <f t="shared" si="31"/>
        <v>-5174467.2625420056</v>
      </c>
      <c r="J80" s="1142">
        <f t="shared" si="28"/>
        <v>-3324569666.15451</v>
      </c>
      <c r="K80" s="1125"/>
      <c r="L80" s="1146">
        <v>0</v>
      </c>
      <c r="M80" s="1145">
        <f t="shared" si="32"/>
        <v>12264159.420959949</v>
      </c>
      <c r="N80" s="1145">
        <f t="shared" si="33"/>
        <v>0</v>
      </c>
      <c r="O80" s="1145">
        <f t="shared" si="34"/>
        <v>-5174467.2625420056</v>
      </c>
      <c r="P80" s="1145">
        <f t="shared" si="29"/>
        <v>0</v>
      </c>
      <c r="Q80" s="1145">
        <f t="shared" si="35"/>
        <v>0</v>
      </c>
    </row>
    <row r="81" spans="1:17">
      <c r="A81" s="1108">
        <f t="shared" si="26"/>
        <v>67</v>
      </c>
      <c r="B81" s="1117" t="s">
        <v>52</v>
      </c>
      <c r="C81" s="1139">
        <v>31</v>
      </c>
      <c r="D81" s="1140">
        <f t="shared" si="27"/>
        <v>123</v>
      </c>
      <c r="E81" s="1140">
        <f t="shared" si="36"/>
        <v>365</v>
      </c>
      <c r="F81" s="1112">
        <f t="shared" si="30"/>
        <v>0.33698630136986302</v>
      </c>
      <c r="G81" s="1138"/>
      <c r="H81" s="1143">
        <v>-12264159.420959949</v>
      </c>
      <c r="I81" s="1142">
        <f t="shared" si="31"/>
        <v>-4132853.7226796541</v>
      </c>
      <c r="J81" s="1142">
        <f t="shared" si="28"/>
        <v>-3328702519.8771896</v>
      </c>
      <c r="K81" s="1125"/>
      <c r="L81" s="1146">
        <v>0</v>
      </c>
      <c r="M81" s="1145">
        <f t="shared" si="32"/>
        <v>12264159.420959949</v>
      </c>
      <c r="N81" s="1145">
        <f t="shared" si="33"/>
        <v>0</v>
      </c>
      <c r="O81" s="1145">
        <f t="shared" si="34"/>
        <v>-4132853.7226796541</v>
      </c>
      <c r="P81" s="1145">
        <f t="shared" si="29"/>
        <v>0</v>
      </c>
      <c r="Q81" s="1145">
        <f t="shared" si="35"/>
        <v>0</v>
      </c>
    </row>
    <row r="82" spans="1:17">
      <c r="A82" s="1108">
        <f t="shared" si="26"/>
        <v>68</v>
      </c>
      <c r="B82" s="1117" t="s">
        <v>53</v>
      </c>
      <c r="C82" s="1139">
        <v>30</v>
      </c>
      <c r="D82" s="1140">
        <f t="shared" si="27"/>
        <v>93</v>
      </c>
      <c r="E82" s="1140">
        <f t="shared" si="36"/>
        <v>365</v>
      </c>
      <c r="F82" s="1112">
        <f t="shared" si="30"/>
        <v>0.25479452054794521</v>
      </c>
      <c r="G82" s="1138"/>
      <c r="H82" s="1143">
        <v>-12264159.420969963</v>
      </c>
      <c r="I82" s="1142">
        <f t="shared" si="31"/>
        <v>-3124840.6195896072</v>
      </c>
      <c r="J82" s="1142">
        <f t="shared" si="28"/>
        <v>-3331827360.4967794</v>
      </c>
      <c r="K82" s="1125"/>
      <c r="L82" s="1146">
        <v>0</v>
      </c>
      <c r="M82" s="1145">
        <f t="shared" si="32"/>
        <v>12264159.420969963</v>
      </c>
      <c r="N82" s="1145">
        <f t="shared" si="33"/>
        <v>0</v>
      </c>
      <c r="O82" s="1145">
        <f t="shared" si="34"/>
        <v>-3124840.6195896072</v>
      </c>
      <c r="P82" s="1145">
        <f t="shared" si="29"/>
        <v>0</v>
      </c>
      <c r="Q82" s="1145">
        <f t="shared" si="35"/>
        <v>0</v>
      </c>
    </row>
    <row r="83" spans="1:17">
      <c r="A83" s="1108">
        <f t="shared" si="26"/>
        <v>69</v>
      </c>
      <c r="B83" s="1117" t="s">
        <v>54</v>
      </c>
      <c r="C83" s="1139">
        <v>31</v>
      </c>
      <c r="D83" s="1140">
        <f t="shared" si="27"/>
        <v>62</v>
      </c>
      <c r="E83" s="1140">
        <f t="shared" si="36"/>
        <v>365</v>
      </c>
      <c r="F83" s="1112">
        <f t="shared" si="30"/>
        <v>0.16986301369863013</v>
      </c>
      <c r="G83" s="1138"/>
      <c r="H83" s="1143">
        <v>-12264159.420959949</v>
      </c>
      <c r="I83" s="1142">
        <f t="shared" si="31"/>
        <v>-2083227.0797247037</v>
      </c>
      <c r="J83" s="1142">
        <f t="shared" si="28"/>
        <v>-3333910587.5765042</v>
      </c>
      <c r="K83" s="1125"/>
      <c r="L83" s="1146">
        <v>0</v>
      </c>
      <c r="M83" s="1145">
        <f t="shared" si="32"/>
        <v>12264159.420959949</v>
      </c>
      <c r="N83" s="1145">
        <f t="shared" si="33"/>
        <v>0</v>
      </c>
      <c r="O83" s="1145">
        <f t="shared" si="34"/>
        <v>-2083227.0797247037</v>
      </c>
      <c r="P83" s="1145">
        <f t="shared" si="29"/>
        <v>0</v>
      </c>
      <c r="Q83" s="1145">
        <f t="shared" si="35"/>
        <v>0</v>
      </c>
    </row>
    <row r="84" spans="1:17">
      <c r="A84" s="1108">
        <f t="shared" si="26"/>
        <v>70</v>
      </c>
      <c r="B84" s="1117" t="s">
        <v>55</v>
      </c>
      <c r="C84" s="1139">
        <v>30</v>
      </c>
      <c r="D84" s="1140">
        <f t="shared" si="27"/>
        <v>32</v>
      </c>
      <c r="E84" s="1140">
        <f t="shared" si="36"/>
        <v>365</v>
      </c>
      <c r="F84" s="1112">
        <f t="shared" si="30"/>
        <v>8.7671232876712329E-2</v>
      </c>
      <c r="G84" s="1138"/>
      <c r="H84" s="1143">
        <v>-12264159.420959949</v>
      </c>
      <c r="I84" s="1142">
        <f t="shared" si="31"/>
        <v>-1075213.9766321052</v>
      </c>
      <c r="J84" s="1142">
        <f t="shared" si="28"/>
        <v>-3334985801.5531363</v>
      </c>
      <c r="K84" s="1125"/>
      <c r="L84" s="1146">
        <v>0</v>
      </c>
      <c r="M84" s="1145">
        <f t="shared" si="32"/>
        <v>12264159.420959949</v>
      </c>
      <c r="N84" s="1145">
        <f t="shared" si="33"/>
        <v>0</v>
      </c>
      <c r="O84" s="1145">
        <f t="shared" si="34"/>
        <v>-1075213.9766321052</v>
      </c>
      <c r="P84" s="1145">
        <f t="shared" si="29"/>
        <v>0</v>
      </c>
      <c r="Q84" s="1145">
        <f t="shared" si="35"/>
        <v>0</v>
      </c>
    </row>
    <row r="85" spans="1:17">
      <c r="A85" s="1108">
        <f t="shared" si="26"/>
        <v>71</v>
      </c>
      <c r="B85" s="1117" t="s">
        <v>1165</v>
      </c>
      <c r="C85" s="1139">
        <v>31</v>
      </c>
      <c r="D85" s="1140">
        <f>1</f>
        <v>1</v>
      </c>
      <c r="E85" s="1140">
        <f t="shared" si="36"/>
        <v>365</v>
      </c>
      <c r="F85" s="1112">
        <f t="shared" si="30"/>
        <v>2.7397260273972603E-3</v>
      </c>
      <c r="G85" s="1138"/>
      <c r="H85" s="1143">
        <v>-12264159.420969963</v>
      </c>
      <c r="I85" s="1142">
        <f t="shared" si="31"/>
        <v>-33600.436769780717</v>
      </c>
      <c r="J85" s="1142">
        <f t="shared" si="28"/>
        <v>-3335019401.9899063</v>
      </c>
      <c r="K85" s="1125"/>
      <c r="L85" s="1146">
        <v>0</v>
      </c>
      <c r="M85" s="1145">
        <f t="shared" si="32"/>
        <v>12264159.420969963</v>
      </c>
      <c r="N85" s="1145">
        <f t="shared" si="33"/>
        <v>0</v>
      </c>
      <c r="O85" s="1145">
        <f t="shared" si="34"/>
        <v>-33600.436769780717</v>
      </c>
      <c r="P85" s="1145">
        <f t="shared" si="29"/>
        <v>0</v>
      </c>
      <c r="Q85" s="1145">
        <f t="shared" si="35"/>
        <v>0</v>
      </c>
    </row>
    <row r="86" spans="1:17">
      <c r="A86" s="1108">
        <f t="shared" si="26"/>
        <v>72</v>
      </c>
      <c r="B86" s="1118"/>
      <c r="C86" s="1118" t="s">
        <v>23</v>
      </c>
      <c r="D86" s="1118"/>
      <c r="E86" s="1118"/>
      <c r="F86" s="1119"/>
      <c r="G86" s="1138"/>
      <c r="H86" s="1147">
        <f>SUM(H74:H85)</f>
        <v>-147169913.05155993</v>
      </c>
      <c r="I86" s="1147">
        <f>SUM(I74:I85)</f>
        <v>-68175286.205846563</v>
      </c>
      <c r="J86" s="1121"/>
      <c r="K86" s="1125"/>
      <c r="L86" s="1111">
        <f>SUM(L74:L85)</f>
        <v>0</v>
      </c>
      <c r="M86" s="1111">
        <f t="shared" ref="M86:P86" si="37">SUM(M74:M85)</f>
        <v>147169913.05155993</v>
      </c>
      <c r="N86" s="1111">
        <f t="shared" si="37"/>
        <v>0</v>
      </c>
      <c r="O86" s="1111">
        <f t="shared" si="37"/>
        <v>-68175286.205846563</v>
      </c>
      <c r="P86" s="1111">
        <f t="shared" si="37"/>
        <v>0</v>
      </c>
      <c r="Q86" s="1111"/>
    </row>
    <row r="87" spans="1:17">
      <c r="B87" s="1122"/>
      <c r="C87" s="1122"/>
      <c r="D87" s="1122"/>
      <c r="E87" s="1122"/>
      <c r="F87" s="1136"/>
      <c r="G87" s="1136"/>
      <c r="H87" s="1124"/>
      <c r="I87" s="1123"/>
      <c r="J87" s="1120"/>
      <c r="K87" s="1125"/>
      <c r="L87" s="1125"/>
      <c r="M87" s="1125"/>
      <c r="N87" s="1125"/>
      <c r="O87" s="1125"/>
      <c r="P87" s="1125"/>
      <c r="Q87" s="1125"/>
    </row>
    <row r="88" spans="1:17">
      <c r="A88" s="1108">
        <f>+A86+1</f>
        <v>73</v>
      </c>
      <c r="B88" s="1107" t="s">
        <v>1166</v>
      </c>
      <c r="F88" s="1166" t="s">
        <v>1181</v>
      </c>
      <c r="G88" s="1136"/>
      <c r="H88" s="1125"/>
      <c r="I88" s="1120"/>
      <c r="J88" s="1143">
        <v>-3266844115.78406</v>
      </c>
      <c r="K88" s="1125"/>
      <c r="L88" s="1125"/>
      <c r="M88" s="1125"/>
      <c r="N88" s="1125"/>
      <c r="O88" s="1125"/>
      <c r="P88" s="1125"/>
      <c r="Q88" s="1146">
        <v>0</v>
      </c>
    </row>
    <row r="89" spans="1:17">
      <c r="A89" s="1108">
        <f>+A88+1</f>
        <v>74</v>
      </c>
      <c r="B89" s="1107" t="s">
        <v>1168</v>
      </c>
      <c r="F89" s="1167" t="str">
        <f>"(Line "&amp;A88&amp;" less line "&amp;A90&amp;")"</f>
        <v>(Line 73 less line 75)</v>
      </c>
      <c r="G89" s="1136"/>
      <c r="H89" s="1125"/>
      <c r="I89" s="1120"/>
      <c r="J89" s="1145">
        <f>+J88-J90</f>
        <v>0</v>
      </c>
      <c r="K89" s="1125"/>
      <c r="L89" s="1125"/>
      <c r="M89" s="1125"/>
      <c r="N89" s="1125"/>
      <c r="O89" s="1125"/>
      <c r="P89" s="1125"/>
      <c r="Q89" s="1145">
        <f>+Q88-Q90</f>
        <v>0</v>
      </c>
    </row>
    <row r="90" spans="1:17">
      <c r="A90" s="1108">
        <f t="shared" ref="A90:A96" si="38">+A89+1</f>
        <v>75</v>
      </c>
      <c r="B90" s="1107" t="s">
        <v>1169</v>
      </c>
      <c r="F90" s="1167" t="str">
        <f>"(Line "&amp;A73&amp;", Col H)"</f>
        <v>(Line 59, Col H)</v>
      </c>
      <c r="G90" s="1136"/>
      <c r="H90" s="1125"/>
      <c r="I90" s="1120"/>
      <c r="J90" s="1142">
        <f>+J73</f>
        <v>-3266844115.78406</v>
      </c>
      <c r="K90" s="1125"/>
      <c r="L90" s="1125"/>
      <c r="M90" s="1125"/>
      <c r="N90" s="1125"/>
      <c r="O90" s="1125"/>
      <c r="P90" s="1125"/>
      <c r="Q90" s="1142">
        <f>+Q73</f>
        <v>0</v>
      </c>
    </row>
    <row r="91" spans="1:17">
      <c r="A91" s="1108">
        <f t="shared" si="38"/>
        <v>76</v>
      </c>
      <c r="B91" s="1107" t="s">
        <v>1170</v>
      </c>
      <c r="F91" s="1166" t="s">
        <v>1182</v>
      </c>
      <c r="G91" s="1136"/>
      <c r="H91" s="1125"/>
      <c r="I91" s="1120"/>
      <c r="J91" s="1143">
        <v>-3335019401.9899063</v>
      </c>
      <c r="K91" s="1125"/>
      <c r="L91" s="1125"/>
      <c r="M91" s="1125"/>
      <c r="N91" s="1125"/>
      <c r="O91" s="1125"/>
      <c r="P91" s="1125"/>
      <c r="Q91" s="1146">
        <v>0</v>
      </c>
    </row>
    <row r="92" spans="1:17">
      <c r="A92" s="1108">
        <f t="shared" si="38"/>
        <v>77</v>
      </c>
      <c r="B92" s="1107" t="str">
        <f>+B89</f>
        <v>Less non Prorated Items</v>
      </c>
      <c r="F92" s="1167" t="str">
        <f>"(Line "&amp;A91&amp;" less line "&amp;A93&amp;")"</f>
        <v>(Line 76 less line 78)</v>
      </c>
      <c r="G92" s="1136"/>
      <c r="H92" s="1125"/>
      <c r="I92" s="1120"/>
      <c r="J92" s="1145">
        <f>+J91-J93</f>
        <v>0</v>
      </c>
      <c r="K92" s="1125"/>
      <c r="L92" s="1125"/>
      <c r="M92" s="1125"/>
      <c r="N92" s="1125"/>
      <c r="O92" s="1125"/>
      <c r="P92" s="1125"/>
      <c r="Q92" s="1145">
        <f>+Q91-Q93</f>
        <v>0</v>
      </c>
    </row>
    <row r="93" spans="1:17">
      <c r="A93" s="1108">
        <f t="shared" si="38"/>
        <v>78</v>
      </c>
      <c r="B93" s="1107" t="s">
        <v>1171</v>
      </c>
      <c r="F93" s="1167" t="str">
        <f>"(Line "&amp;A85&amp;", Col H)"</f>
        <v>(Line 71, Col H)</v>
      </c>
      <c r="G93" s="1136"/>
      <c r="H93" s="1125"/>
      <c r="I93" s="1120"/>
      <c r="J93" s="1142">
        <f>+J85</f>
        <v>-3335019401.9899063</v>
      </c>
      <c r="K93" s="1125"/>
      <c r="L93" s="1125"/>
      <c r="M93" s="1125"/>
      <c r="N93" s="1125"/>
      <c r="O93" s="1125"/>
      <c r="P93" s="1125"/>
      <c r="Q93" s="1142">
        <f>+Q85</f>
        <v>0</v>
      </c>
    </row>
    <row r="94" spans="1:17">
      <c r="A94" s="1108">
        <f t="shared" si="38"/>
        <v>79</v>
      </c>
      <c r="B94" s="1107" t="s">
        <v>1172</v>
      </c>
      <c r="F94" s="1167" t="str">
        <f>"([Sum Lines "&amp;A73&amp;" to "&amp;A85&amp;"] /13)+([Lines "&amp;A89&amp;" +"&amp;A92&amp;")/2])"</f>
        <v>([Sum Lines 59 to 71] /13)+([Lines 74 +77)/2])</v>
      </c>
      <c r="G94" s="1136"/>
      <c r="H94" s="1125"/>
      <c r="I94" s="1127"/>
      <c r="J94" s="1148">
        <f>(J73+J74+J75+J76+J77+J78+J79+J80+J81+J82+J83+J84+J85)/13+(J89+J92)/2</f>
        <v>-3312199536.1252742</v>
      </c>
      <c r="K94" s="1125"/>
      <c r="L94" s="1125"/>
      <c r="M94" s="1125"/>
      <c r="N94" s="1125"/>
      <c r="O94" s="1125"/>
      <c r="P94" s="1125"/>
      <c r="Q94" s="1148">
        <f>(Q73+Q74+Q75+Q76+Q77+Q78+Q79+Q80+Q81+Q82+Q83+Q84+Q85)/13+(Q89+Q92)/2</f>
        <v>0</v>
      </c>
    </row>
    <row r="95" spans="1:17">
      <c r="A95" s="1108">
        <f t="shared" si="38"/>
        <v>80</v>
      </c>
      <c r="B95" s="1107" t="s">
        <v>1173</v>
      </c>
      <c r="F95" s="1167" t="s">
        <v>1174</v>
      </c>
      <c r="G95" s="1136"/>
      <c r="H95" s="1125"/>
      <c r="I95" s="1127"/>
      <c r="J95" s="1143">
        <v>0</v>
      </c>
      <c r="K95" s="1125"/>
      <c r="L95" s="1125"/>
      <c r="M95" s="1125"/>
      <c r="N95" s="1125"/>
      <c r="O95" s="1125"/>
      <c r="P95" s="1125"/>
      <c r="Q95" s="1146">
        <v>0</v>
      </c>
    </row>
    <row r="96" spans="1:17">
      <c r="A96" s="1108">
        <f t="shared" si="38"/>
        <v>81</v>
      </c>
      <c r="B96" s="1107" t="s">
        <v>1175</v>
      </c>
      <c r="F96" s="1167" t="str">
        <f>"(Line "&amp;A94&amp;" less line "&amp;A95&amp;")"</f>
        <v>(Line 79 less line 80)</v>
      </c>
      <c r="H96" s="1125"/>
      <c r="I96" s="1125"/>
      <c r="J96" s="1128">
        <f>+J94-J95</f>
        <v>-3312199536.1252742</v>
      </c>
      <c r="K96" s="1125"/>
      <c r="L96" s="1153"/>
      <c r="M96" s="1153"/>
      <c r="N96" s="1153"/>
      <c r="O96" s="1125"/>
      <c r="P96" s="1125"/>
      <c r="Q96" s="1128">
        <f>+Q94-Q95</f>
        <v>0</v>
      </c>
    </row>
    <row r="99" spans="1:17">
      <c r="A99" s="1108">
        <f>+A96+1</f>
        <v>82</v>
      </c>
      <c r="B99" s="1106" t="s">
        <v>1183</v>
      </c>
      <c r="H99" s="1137"/>
      <c r="I99" s="1137"/>
      <c r="J99" s="1137"/>
    </row>
    <row r="100" spans="1:17">
      <c r="A100" s="1108">
        <f>+A99+1</f>
        <v>83</v>
      </c>
      <c r="B100" s="1205" t="s">
        <v>1146</v>
      </c>
      <c r="C100" s="1206"/>
      <c r="D100" s="1206"/>
      <c r="E100" s="1206"/>
      <c r="F100" s="1207"/>
      <c r="G100" s="1105"/>
      <c r="H100" s="1208" t="s">
        <v>1147</v>
      </c>
      <c r="I100" s="1209"/>
      <c r="J100" s="1210"/>
      <c r="L100" s="1208" t="s">
        <v>1148</v>
      </c>
      <c r="M100" s="1209"/>
      <c r="N100" s="1209"/>
      <c r="O100" s="1209"/>
      <c r="P100" s="1209"/>
      <c r="Q100" s="1209"/>
    </row>
    <row r="101" spans="1:17">
      <c r="B101" s="1113" t="s">
        <v>247</v>
      </c>
      <c r="C101" s="1113" t="s">
        <v>248</v>
      </c>
      <c r="D101" s="1113" t="s">
        <v>570</v>
      </c>
      <c r="E101" s="1113" t="s">
        <v>572</v>
      </c>
      <c r="F101" s="1113" t="s">
        <v>574</v>
      </c>
      <c r="G101" s="1105"/>
      <c r="H101" s="1113" t="s">
        <v>575</v>
      </c>
      <c r="I101" s="1113" t="s">
        <v>576</v>
      </c>
      <c r="J101" s="1113" t="s">
        <v>578</v>
      </c>
      <c r="L101" s="1113" t="s">
        <v>579</v>
      </c>
      <c r="M101" s="1113" t="s">
        <v>580</v>
      </c>
      <c r="N101" s="1113" t="s">
        <v>581</v>
      </c>
      <c r="O101" s="1113" t="s">
        <v>588</v>
      </c>
      <c r="P101" s="1113" t="s">
        <v>589</v>
      </c>
      <c r="Q101" s="1113" t="s">
        <v>590</v>
      </c>
    </row>
    <row r="102" spans="1:17" s="1167" customFormat="1" ht="94.5">
      <c r="A102" s="1170">
        <f>+A100+1</f>
        <v>84</v>
      </c>
      <c r="B102" s="1171" t="s">
        <v>1149</v>
      </c>
      <c r="C102" s="1171" t="s">
        <v>1150</v>
      </c>
      <c r="D102" s="1171" t="s">
        <v>1151</v>
      </c>
      <c r="E102" s="1171" t="s">
        <v>1152</v>
      </c>
      <c r="F102" s="1171" t="s">
        <v>1180</v>
      </c>
      <c r="G102" s="1172"/>
      <c r="H102" s="1171" t="s">
        <v>1154</v>
      </c>
      <c r="I102" s="1171" t="s">
        <v>1155</v>
      </c>
      <c r="J102" s="1171" t="s">
        <v>1156</v>
      </c>
      <c r="K102" s="1172"/>
      <c r="L102" s="1171" t="s">
        <v>1157</v>
      </c>
      <c r="M102" s="1171" t="s">
        <v>1158</v>
      </c>
      <c r="N102" s="1171" t="s">
        <v>1159</v>
      </c>
      <c r="O102" s="1171" t="s">
        <v>1160</v>
      </c>
      <c r="P102" s="1171" t="s">
        <v>1161</v>
      </c>
      <c r="Q102" s="1171" t="s">
        <v>1162</v>
      </c>
    </row>
    <row r="103" spans="1:17">
      <c r="A103" s="1108">
        <f t="shared" ref="A103:A117" si="39">+A102+1</f>
        <v>85</v>
      </c>
      <c r="C103" s="1115"/>
      <c r="D103" s="1115"/>
      <c r="E103" s="1115"/>
      <c r="F103" s="1115"/>
      <c r="G103" s="1115"/>
      <c r="H103" s="1115"/>
      <c r="I103" s="1115"/>
      <c r="J103" s="1115"/>
    </row>
    <row r="104" spans="1:17">
      <c r="A104" s="1108">
        <f t="shared" si="39"/>
        <v>86</v>
      </c>
      <c r="B104" s="1116" t="s">
        <v>1163</v>
      </c>
      <c r="C104" s="1117"/>
      <c r="D104" s="1138"/>
      <c r="E104" s="1138"/>
      <c r="F104" s="1138"/>
      <c r="G104" s="1138"/>
      <c r="H104" s="1142"/>
      <c r="I104" s="1142"/>
      <c r="J104" s="1143">
        <v>-53094252.7710535</v>
      </c>
      <c r="K104" s="1125"/>
      <c r="L104" s="1142"/>
      <c r="M104" s="1145"/>
      <c r="N104" s="1145"/>
      <c r="O104" s="1145"/>
      <c r="P104" s="1145"/>
      <c r="Q104" s="1146">
        <v>0</v>
      </c>
    </row>
    <row r="105" spans="1:17">
      <c r="A105" s="1108">
        <f t="shared" si="39"/>
        <v>87</v>
      </c>
      <c r="B105" s="1117" t="s">
        <v>1164</v>
      </c>
      <c r="C105" s="1139">
        <v>31</v>
      </c>
      <c r="D105" s="1140">
        <f t="shared" ref="D105:D115" si="40">(D106+C106)</f>
        <v>335</v>
      </c>
      <c r="E105" s="1140">
        <f>SUM(C105:C116)</f>
        <v>365</v>
      </c>
      <c r="F105" s="1112">
        <f>D105/E105</f>
        <v>0.9178082191780822</v>
      </c>
      <c r="G105" s="1138"/>
      <c r="H105" s="1143">
        <v>-613129.10956820101</v>
      </c>
      <c r="I105" s="1142">
        <f>+H105*F105</f>
        <v>-562734.93617903383</v>
      </c>
      <c r="J105" s="1142">
        <f t="shared" ref="J105:J116" si="41">+I105+J104</f>
        <v>-53656987.707232535</v>
      </c>
      <c r="K105" s="1125"/>
      <c r="L105" s="1146">
        <v>0</v>
      </c>
      <c r="M105" s="1145">
        <f>L105-H105</f>
        <v>613129.10956820101</v>
      </c>
      <c r="N105" s="1145">
        <f>IF(M105&lt;=0,+M105,0)</f>
        <v>0</v>
      </c>
      <c r="O105" s="1145">
        <f>IF(N105&lt;0,0,IF(L105&gt;0,0,(-(M105)*(D105/E105))))</f>
        <v>-562734.93617903383</v>
      </c>
      <c r="P105" s="1145">
        <f t="shared" ref="P105:P116" si="42">IF(L105&gt;0,L105,0)</f>
        <v>0</v>
      </c>
      <c r="Q105" s="1145">
        <f>IF(L105&gt;0,Q104+P105,Q104+I105+N105-O105)</f>
        <v>0</v>
      </c>
    </row>
    <row r="106" spans="1:17">
      <c r="A106" s="1108">
        <f t="shared" si="39"/>
        <v>88</v>
      </c>
      <c r="B106" s="1117" t="s">
        <v>47</v>
      </c>
      <c r="C106" s="1141">
        <v>28</v>
      </c>
      <c r="D106" s="1140">
        <f t="shared" si="40"/>
        <v>307</v>
      </c>
      <c r="E106" s="1140">
        <f>E105</f>
        <v>365</v>
      </c>
      <c r="F106" s="1112">
        <f t="shared" ref="F106:F116" si="43">D106/E106</f>
        <v>0.84109589041095889</v>
      </c>
      <c r="G106" s="1138"/>
      <c r="H106" s="1143">
        <v>-613129.10956820101</v>
      </c>
      <c r="I106" s="1142">
        <f t="shared" ref="I106:I116" si="44">+H106*F106</f>
        <v>-515700.3743491444</v>
      </c>
      <c r="J106" s="1142">
        <f t="shared" si="41"/>
        <v>-54172688.081581682</v>
      </c>
      <c r="K106" s="1125"/>
      <c r="L106" s="1146">
        <v>0</v>
      </c>
      <c r="M106" s="1145">
        <f t="shared" ref="M106:M116" si="45">L106-H106</f>
        <v>613129.10956820101</v>
      </c>
      <c r="N106" s="1145">
        <f t="shared" ref="N106:N116" si="46">IF(M106&lt;=0,+M106,0)</f>
        <v>0</v>
      </c>
      <c r="O106" s="1145">
        <f t="shared" ref="O106:O116" si="47">IF(N106&lt;0,0,IF(L106&gt;0,0,(-(M106)*(D106/E106))))</f>
        <v>-515700.3743491444</v>
      </c>
      <c r="P106" s="1145">
        <f t="shared" si="42"/>
        <v>0</v>
      </c>
      <c r="Q106" s="1145">
        <f t="shared" ref="Q106:Q116" si="48">IF(L106&gt;0,Q105+P106,Q105+I106+N106-O106)</f>
        <v>0</v>
      </c>
    </row>
    <row r="107" spans="1:17">
      <c r="A107" s="1108">
        <f t="shared" si="39"/>
        <v>89</v>
      </c>
      <c r="B107" s="1117" t="s">
        <v>48</v>
      </c>
      <c r="C107" s="1139">
        <v>31</v>
      </c>
      <c r="D107" s="1140">
        <f t="shared" si="40"/>
        <v>276</v>
      </c>
      <c r="E107" s="1140">
        <f t="shared" ref="E107:E116" si="49">E106</f>
        <v>365</v>
      </c>
      <c r="F107" s="1112">
        <f t="shared" si="43"/>
        <v>0.75616438356164384</v>
      </c>
      <c r="G107" s="1138"/>
      <c r="H107" s="1143">
        <v>-613129.10956820101</v>
      </c>
      <c r="I107" s="1142">
        <f t="shared" si="44"/>
        <v>-463626.3951803383</v>
      </c>
      <c r="J107" s="1142">
        <f t="shared" si="41"/>
        <v>-54636314.476762019</v>
      </c>
      <c r="K107" s="1125"/>
      <c r="L107" s="1146">
        <v>0</v>
      </c>
      <c r="M107" s="1145">
        <f t="shared" si="45"/>
        <v>613129.10956820101</v>
      </c>
      <c r="N107" s="1145">
        <f t="shared" si="46"/>
        <v>0</v>
      </c>
      <c r="O107" s="1145">
        <f t="shared" si="47"/>
        <v>-463626.3951803383</v>
      </c>
      <c r="P107" s="1145">
        <f t="shared" si="42"/>
        <v>0</v>
      </c>
      <c r="Q107" s="1145">
        <f t="shared" si="48"/>
        <v>0</v>
      </c>
    </row>
    <row r="108" spans="1:17">
      <c r="A108" s="1108">
        <f t="shared" si="39"/>
        <v>90</v>
      </c>
      <c r="B108" s="1117" t="s">
        <v>49</v>
      </c>
      <c r="C108" s="1139">
        <v>30</v>
      </c>
      <c r="D108" s="1140">
        <f t="shared" si="40"/>
        <v>246</v>
      </c>
      <c r="E108" s="1140">
        <f t="shared" si="49"/>
        <v>365</v>
      </c>
      <c r="F108" s="1112">
        <f t="shared" si="43"/>
        <v>0.67397260273972603</v>
      </c>
      <c r="G108" s="1138"/>
      <c r="H108" s="1143">
        <v>-613129.10956819355</v>
      </c>
      <c r="I108" s="1142">
        <f t="shared" si="44"/>
        <v>-413232.22179116606</v>
      </c>
      <c r="J108" s="1142">
        <f t="shared" si="41"/>
        <v>-55049546.698553182</v>
      </c>
      <c r="K108" s="1125"/>
      <c r="L108" s="1146">
        <v>0</v>
      </c>
      <c r="M108" s="1145">
        <f t="shared" si="45"/>
        <v>613129.10956819355</v>
      </c>
      <c r="N108" s="1145">
        <f t="shared" si="46"/>
        <v>0</v>
      </c>
      <c r="O108" s="1145">
        <f t="shared" si="47"/>
        <v>-413232.22179116606</v>
      </c>
      <c r="P108" s="1145">
        <f t="shared" si="42"/>
        <v>0</v>
      </c>
      <c r="Q108" s="1145">
        <f t="shared" si="48"/>
        <v>0</v>
      </c>
    </row>
    <row r="109" spans="1:17">
      <c r="A109" s="1108">
        <f t="shared" si="39"/>
        <v>91</v>
      </c>
      <c r="B109" s="1117" t="s">
        <v>21</v>
      </c>
      <c r="C109" s="1139">
        <v>31</v>
      </c>
      <c r="D109" s="1140">
        <f t="shared" si="40"/>
        <v>215</v>
      </c>
      <c r="E109" s="1140">
        <f t="shared" si="49"/>
        <v>365</v>
      </c>
      <c r="F109" s="1112">
        <f t="shared" si="43"/>
        <v>0.58904109589041098</v>
      </c>
      <c r="G109" s="1138"/>
      <c r="H109" s="1143">
        <v>-613129.10956820101</v>
      </c>
      <c r="I109" s="1142">
        <f t="shared" si="44"/>
        <v>-361158.24262236501</v>
      </c>
      <c r="J109" s="1142">
        <f t="shared" si="41"/>
        <v>-55410704.94117555</v>
      </c>
      <c r="K109" s="1125"/>
      <c r="L109" s="1146">
        <v>0</v>
      </c>
      <c r="M109" s="1145">
        <f t="shared" si="45"/>
        <v>613129.10956820101</v>
      </c>
      <c r="N109" s="1145">
        <f t="shared" si="46"/>
        <v>0</v>
      </c>
      <c r="O109" s="1145">
        <f t="shared" si="47"/>
        <v>-361158.24262236501</v>
      </c>
      <c r="P109" s="1145">
        <f t="shared" si="42"/>
        <v>0</v>
      </c>
      <c r="Q109" s="1145">
        <f t="shared" si="48"/>
        <v>0</v>
      </c>
    </row>
    <row r="110" spans="1:17">
      <c r="A110" s="1108">
        <f t="shared" si="39"/>
        <v>92</v>
      </c>
      <c r="B110" s="1117" t="s">
        <v>50</v>
      </c>
      <c r="C110" s="1139">
        <v>30</v>
      </c>
      <c r="D110" s="1140">
        <f t="shared" si="40"/>
        <v>185</v>
      </c>
      <c r="E110" s="1140">
        <f t="shared" si="49"/>
        <v>365</v>
      </c>
      <c r="F110" s="1112">
        <f t="shared" si="43"/>
        <v>0.50684931506849318</v>
      </c>
      <c r="G110" s="1138"/>
      <c r="H110" s="1143">
        <v>-613129.10956820101</v>
      </c>
      <c r="I110" s="1142">
        <f t="shared" si="44"/>
        <v>-310764.06923319778</v>
      </c>
      <c r="J110" s="1142">
        <f t="shared" si="41"/>
        <v>-55721469.010408752</v>
      </c>
      <c r="K110" s="1125"/>
      <c r="L110" s="1146">
        <v>0</v>
      </c>
      <c r="M110" s="1145">
        <f t="shared" si="45"/>
        <v>613129.10956820101</v>
      </c>
      <c r="N110" s="1145">
        <f t="shared" si="46"/>
        <v>0</v>
      </c>
      <c r="O110" s="1145">
        <f t="shared" si="47"/>
        <v>-310764.06923319778</v>
      </c>
      <c r="P110" s="1145">
        <f t="shared" si="42"/>
        <v>0</v>
      </c>
      <c r="Q110" s="1145">
        <f t="shared" si="48"/>
        <v>0</v>
      </c>
    </row>
    <row r="111" spans="1:17">
      <c r="A111" s="1108">
        <f t="shared" si="39"/>
        <v>93</v>
      </c>
      <c r="B111" s="1117" t="s">
        <v>51</v>
      </c>
      <c r="C111" s="1139">
        <v>31</v>
      </c>
      <c r="D111" s="1140">
        <f t="shared" si="40"/>
        <v>154</v>
      </c>
      <c r="E111" s="1140">
        <f t="shared" si="49"/>
        <v>365</v>
      </c>
      <c r="F111" s="1112">
        <f t="shared" si="43"/>
        <v>0.42191780821917807</v>
      </c>
      <c r="G111" s="1138"/>
      <c r="H111" s="1143">
        <v>-613129.10956820101</v>
      </c>
      <c r="I111" s="1142">
        <f t="shared" si="44"/>
        <v>-258690.09006439164</v>
      </c>
      <c r="J111" s="1142">
        <f t="shared" si="41"/>
        <v>-55980159.100473143</v>
      </c>
      <c r="K111" s="1125"/>
      <c r="L111" s="1146">
        <v>0</v>
      </c>
      <c r="M111" s="1145">
        <f t="shared" si="45"/>
        <v>613129.10956820101</v>
      </c>
      <c r="N111" s="1145">
        <f t="shared" si="46"/>
        <v>0</v>
      </c>
      <c r="O111" s="1145">
        <f t="shared" si="47"/>
        <v>-258690.09006439164</v>
      </c>
      <c r="P111" s="1145">
        <f t="shared" si="42"/>
        <v>0</v>
      </c>
      <c r="Q111" s="1145">
        <f t="shared" si="48"/>
        <v>0</v>
      </c>
    </row>
    <row r="112" spans="1:17">
      <c r="A112" s="1108">
        <f t="shared" si="39"/>
        <v>94</v>
      </c>
      <c r="B112" s="1117" t="s">
        <v>52</v>
      </c>
      <c r="C112" s="1139">
        <v>31</v>
      </c>
      <c r="D112" s="1140">
        <f t="shared" si="40"/>
        <v>123</v>
      </c>
      <c r="E112" s="1140">
        <f t="shared" si="49"/>
        <v>365</v>
      </c>
      <c r="F112" s="1112">
        <f t="shared" si="43"/>
        <v>0.33698630136986302</v>
      </c>
      <c r="G112" s="1138"/>
      <c r="H112" s="1143">
        <v>-613129.10956820101</v>
      </c>
      <c r="I112" s="1142">
        <f t="shared" si="44"/>
        <v>-206616.11089558556</v>
      </c>
      <c r="J112" s="1142">
        <f t="shared" si="41"/>
        <v>-56186775.211368732</v>
      </c>
      <c r="K112" s="1125"/>
      <c r="L112" s="1146">
        <v>0</v>
      </c>
      <c r="M112" s="1145">
        <f t="shared" si="45"/>
        <v>613129.10956820101</v>
      </c>
      <c r="N112" s="1145">
        <f t="shared" si="46"/>
        <v>0</v>
      </c>
      <c r="O112" s="1145">
        <f t="shared" si="47"/>
        <v>-206616.11089558556</v>
      </c>
      <c r="P112" s="1145">
        <f t="shared" si="42"/>
        <v>0</v>
      </c>
      <c r="Q112" s="1145">
        <f t="shared" si="48"/>
        <v>0</v>
      </c>
    </row>
    <row r="113" spans="1:17">
      <c r="A113" s="1108">
        <f t="shared" si="39"/>
        <v>95</v>
      </c>
      <c r="B113" s="1117" t="s">
        <v>53</v>
      </c>
      <c r="C113" s="1139">
        <v>30</v>
      </c>
      <c r="D113" s="1140">
        <f t="shared" si="40"/>
        <v>93</v>
      </c>
      <c r="E113" s="1140">
        <f t="shared" si="49"/>
        <v>365</v>
      </c>
      <c r="F113" s="1112">
        <f t="shared" si="43"/>
        <v>0.25479452054794521</v>
      </c>
      <c r="G113" s="1138"/>
      <c r="H113" s="1143">
        <v>-613129.10956820101</v>
      </c>
      <c r="I113" s="1142">
        <f t="shared" si="44"/>
        <v>-156221.93750641836</v>
      </c>
      <c r="J113" s="1142">
        <f t="shared" si="41"/>
        <v>-56342997.148875147</v>
      </c>
      <c r="K113" s="1125"/>
      <c r="L113" s="1146">
        <v>0</v>
      </c>
      <c r="M113" s="1145">
        <f t="shared" si="45"/>
        <v>613129.10956820101</v>
      </c>
      <c r="N113" s="1145">
        <f t="shared" si="46"/>
        <v>0</v>
      </c>
      <c r="O113" s="1145">
        <f t="shared" si="47"/>
        <v>-156221.93750641836</v>
      </c>
      <c r="P113" s="1145">
        <f t="shared" si="42"/>
        <v>0</v>
      </c>
      <c r="Q113" s="1145">
        <f t="shared" si="48"/>
        <v>0</v>
      </c>
    </row>
    <row r="114" spans="1:17">
      <c r="A114" s="1108">
        <f t="shared" si="39"/>
        <v>96</v>
      </c>
      <c r="B114" s="1117" t="s">
        <v>54</v>
      </c>
      <c r="C114" s="1139">
        <v>31</v>
      </c>
      <c r="D114" s="1140">
        <f t="shared" si="40"/>
        <v>62</v>
      </c>
      <c r="E114" s="1140">
        <f t="shared" si="49"/>
        <v>365</v>
      </c>
      <c r="F114" s="1112">
        <f t="shared" si="43"/>
        <v>0.16986301369863013</v>
      </c>
      <c r="G114" s="1138"/>
      <c r="H114" s="1143">
        <v>-613129.10956820101</v>
      </c>
      <c r="I114" s="1142">
        <f t="shared" si="44"/>
        <v>-104147.95833761222</v>
      </c>
      <c r="J114" s="1142">
        <f t="shared" si="41"/>
        <v>-56447145.10721276</v>
      </c>
      <c r="K114" s="1125"/>
      <c r="L114" s="1146">
        <v>0</v>
      </c>
      <c r="M114" s="1145">
        <f t="shared" si="45"/>
        <v>613129.10956820101</v>
      </c>
      <c r="N114" s="1145">
        <f t="shared" si="46"/>
        <v>0</v>
      </c>
      <c r="O114" s="1145">
        <f t="shared" si="47"/>
        <v>-104147.95833761222</v>
      </c>
      <c r="P114" s="1145">
        <f t="shared" si="42"/>
        <v>0</v>
      </c>
      <c r="Q114" s="1145">
        <f t="shared" si="48"/>
        <v>0</v>
      </c>
    </row>
    <row r="115" spans="1:17">
      <c r="A115" s="1108">
        <f t="shared" si="39"/>
        <v>97</v>
      </c>
      <c r="B115" s="1117" t="s">
        <v>55</v>
      </c>
      <c r="C115" s="1139">
        <v>30</v>
      </c>
      <c r="D115" s="1140">
        <f t="shared" si="40"/>
        <v>32</v>
      </c>
      <c r="E115" s="1140">
        <f t="shared" si="49"/>
        <v>365</v>
      </c>
      <c r="F115" s="1112">
        <f t="shared" si="43"/>
        <v>8.7671232876712329E-2</v>
      </c>
      <c r="G115" s="1138"/>
      <c r="H115" s="1143">
        <v>-613129.10956819355</v>
      </c>
      <c r="I115" s="1142">
        <f t="shared" si="44"/>
        <v>-53753.784948444365</v>
      </c>
      <c r="J115" s="1142">
        <f t="shared" si="41"/>
        <v>-56500898.892161205</v>
      </c>
      <c r="K115" s="1125"/>
      <c r="L115" s="1146">
        <v>0</v>
      </c>
      <c r="M115" s="1145">
        <f t="shared" si="45"/>
        <v>613129.10956819355</v>
      </c>
      <c r="N115" s="1145">
        <f t="shared" si="46"/>
        <v>0</v>
      </c>
      <c r="O115" s="1145">
        <f t="shared" si="47"/>
        <v>-53753.784948444365</v>
      </c>
      <c r="P115" s="1145">
        <f t="shared" si="42"/>
        <v>0</v>
      </c>
      <c r="Q115" s="1145">
        <f t="shared" si="48"/>
        <v>0</v>
      </c>
    </row>
    <row r="116" spans="1:17">
      <c r="A116" s="1108">
        <f t="shared" si="39"/>
        <v>98</v>
      </c>
      <c r="B116" s="1117" t="s">
        <v>1165</v>
      </c>
      <c r="C116" s="1139">
        <v>31</v>
      </c>
      <c r="D116" s="1140">
        <f>1</f>
        <v>1</v>
      </c>
      <c r="E116" s="1140">
        <f t="shared" si="49"/>
        <v>365</v>
      </c>
      <c r="F116" s="1112">
        <f t="shared" si="43"/>
        <v>2.7397260273972603E-3</v>
      </c>
      <c r="G116" s="1138"/>
      <c r="H116" s="1143">
        <v>-613129.10956820101</v>
      </c>
      <c r="I116" s="1142">
        <f t="shared" si="44"/>
        <v>-1679.8057796389069</v>
      </c>
      <c r="J116" s="1142">
        <f t="shared" si="41"/>
        <v>-56502578.697940841</v>
      </c>
      <c r="K116" s="1125"/>
      <c r="L116" s="1146">
        <v>0</v>
      </c>
      <c r="M116" s="1145">
        <f t="shared" si="45"/>
        <v>613129.10956820101</v>
      </c>
      <c r="N116" s="1145">
        <f t="shared" si="46"/>
        <v>0</v>
      </c>
      <c r="O116" s="1145">
        <f t="shared" si="47"/>
        <v>-1679.8057796389069</v>
      </c>
      <c r="P116" s="1145">
        <f t="shared" si="42"/>
        <v>0</v>
      </c>
      <c r="Q116" s="1145">
        <f t="shared" si="48"/>
        <v>0</v>
      </c>
    </row>
    <row r="117" spans="1:17">
      <c r="A117" s="1108">
        <f t="shared" si="39"/>
        <v>99</v>
      </c>
      <c r="B117" s="1118"/>
      <c r="C117" s="1118" t="s">
        <v>23</v>
      </c>
      <c r="D117" s="1118"/>
      <c r="E117" s="1118"/>
      <c r="F117" s="1119"/>
      <c r="G117" s="1138"/>
      <c r="H117" s="1147">
        <f>SUM(H105:H116)</f>
        <v>-7357549.3148183972</v>
      </c>
      <c r="I117" s="1147">
        <f>SUM(I105:I116)</f>
        <v>-3408325.9268873367</v>
      </c>
      <c r="J117" s="1121"/>
      <c r="K117" s="1125"/>
      <c r="L117" s="1111">
        <f>SUM(L105:L116)</f>
        <v>0</v>
      </c>
      <c r="M117" s="1111">
        <f t="shared" ref="M117:P117" si="50">SUM(M105:M116)</f>
        <v>7357549.3148183972</v>
      </c>
      <c r="N117" s="1111">
        <f t="shared" si="50"/>
        <v>0</v>
      </c>
      <c r="O117" s="1111">
        <f t="shared" si="50"/>
        <v>-3408325.9268873367</v>
      </c>
      <c r="P117" s="1111">
        <f t="shared" si="50"/>
        <v>0</v>
      </c>
      <c r="Q117" s="1111"/>
    </row>
    <row r="118" spans="1:17">
      <c r="B118" s="1122"/>
      <c r="C118" s="1122"/>
      <c r="D118" s="1122"/>
      <c r="E118" s="1122"/>
      <c r="F118" s="1136"/>
      <c r="G118" s="1136"/>
      <c r="H118" s="1124"/>
      <c r="I118" s="1123"/>
      <c r="J118" s="1120"/>
      <c r="K118" s="1125"/>
      <c r="L118" s="1125"/>
      <c r="M118" s="1125"/>
      <c r="N118" s="1125"/>
      <c r="O118" s="1125"/>
      <c r="P118" s="1125"/>
      <c r="Q118" s="1125"/>
    </row>
    <row r="119" spans="1:17">
      <c r="A119" s="1108">
        <f>+A117+1</f>
        <v>100</v>
      </c>
      <c r="B119" s="1107" t="s">
        <v>1166</v>
      </c>
      <c r="F119" s="1166" t="s">
        <v>1184</v>
      </c>
      <c r="G119" s="1136"/>
      <c r="H119" s="1125"/>
      <c r="I119" s="1120"/>
      <c r="J119" s="1143">
        <f>-53094252.7710535-144125296.68</f>
        <v>-197219549.4510535</v>
      </c>
      <c r="K119" s="1125"/>
      <c r="L119" s="1125"/>
      <c r="M119" s="1125"/>
      <c r="N119" s="1125"/>
      <c r="O119" s="1125"/>
      <c r="P119" s="1125"/>
      <c r="Q119" s="1146">
        <v>0</v>
      </c>
    </row>
    <row r="120" spans="1:17">
      <c r="A120" s="1108">
        <f>+A119+1</f>
        <v>101</v>
      </c>
      <c r="B120" s="1107" t="s">
        <v>1168</v>
      </c>
      <c r="F120" s="1167" t="str">
        <f>"(Line "&amp;A119&amp;" less line "&amp;A121&amp;")"</f>
        <v>(Line 100 less line 102)</v>
      </c>
      <c r="G120" s="1136"/>
      <c r="H120" s="1125"/>
      <c r="I120" s="1120"/>
      <c r="J120" s="1145">
        <f>+J119-J121</f>
        <v>-144125296.68000001</v>
      </c>
      <c r="K120" s="1125"/>
      <c r="L120" s="1125"/>
      <c r="M120" s="1125"/>
      <c r="N120" s="1125"/>
      <c r="O120" s="1125"/>
      <c r="P120" s="1125"/>
      <c r="Q120" s="1145">
        <f>+Q119-Q121</f>
        <v>0</v>
      </c>
    </row>
    <row r="121" spans="1:17">
      <c r="A121" s="1108">
        <f t="shared" ref="A121:A127" si="51">+A120+1</f>
        <v>102</v>
      </c>
      <c r="B121" s="1107" t="s">
        <v>1169</v>
      </c>
      <c r="F121" s="1167" t="str">
        <f>"(Line "&amp;A104&amp;", Col H)"</f>
        <v>(Line 86, Col H)</v>
      </c>
      <c r="G121" s="1136"/>
      <c r="H121" s="1125"/>
      <c r="I121" s="1120"/>
      <c r="J121" s="1142">
        <f>+J104</f>
        <v>-53094252.7710535</v>
      </c>
      <c r="K121" s="1125"/>
      <c r="L121" s="1125"/>
      <c r="M121" s="1125"/>
      <c r="N121" s="1125"/>
      <c r="O121" s="1125"/>
      <c r="P121" s="1125"/>
      <c r="Q121" s="1142">
        <f>+Q104</f>
        <v>0</v>
      </c>
    </row>
    <row r="122" spans="1:17">
      <c r="A122" s="1108">
        <f t="shared" si="51"/>
        <v>103</v>
      </c>
      <c r="B122" s="1107" t="s">
        <v>1170</v>
      </c>
      <c r="F122" s="1166" t="s">
        <v>1185</v>
      </c>
      <c r="G122" s="1136"/>
      <c r="H122" s="1125"/>
      <c r="I122" s="1120"/>
      <c r="J122" s="1143">
        <f>-56502578.6979408-142749466.6</f>
        <v>-199252045.29794079</v>
      </c>
      <c r="K122" s="1125"/>
      <c r="L122" s="1125"/>
      <c r="M122" s="1125"/>
      <c r="N122" s="1125"/>
      <c r="O122" s="1125"/>
      <c r="P122" s="1125"/>
      <c r="Q122" s="1146">
        <v>0</v>
      </c>
    </row>
    <row r="123" spans="1:17">
      <c r="A123" s="1108">
        <f t="shared" si="51"/>
        <v>104</v>
      </c>
      <c r="B123" s="1107" t="str">
        <f>+B120</f>
        <v>Less non Prorated Items</v>
      </c>
      <c r="F123" s="1167" t="str">
        <f>"(Line "&amp;A122&amp;" less line "&amp;A124&amp;")"</f>
        <v>(Line 103 less line 105)</v>
      </c>
      <c r="G123" s="1136"/>
      <c r="H123" s="1125"/>
      <c r="I123" s="1120"/>
      <c r="J123" s="1145">
        <f>+J122-J124</f>
        <v>-142749466.59999996</v>
      </c>
      <c r="K123" s="1125"/>
      <c r="L123" s="1125"/>
      <c r="M123" s="1125"/>
      <c r="N123" s="1125"/>
      <c r="O123" s="1125"/>
      <c r="P123" s="1125"/>
      <c r="Q123" s="1145">
        <f>+Q122-Q124</f>
        <v>0</v>
      </c>
    </row>
    <row r="124" spans="1:17">
      <c r="A124" s="1108">
        <f t="shared" si="51"/>
        <v>105</v>
      </c>
      <c r="B124" s="1107" t="s">
        <v>1171</v>
      </c>
      <c r="F124" s="1167" t="str">
        <f>"(Line "&amp;A116&amp;", Col H)"</f>
        <v>(Line 98, Col H)</v>
      </c>
      <c r="G124" s="1136"/>
      <c r="H124" s="1125"/>
      <c r="I124" s="1120"/>
      <c r="J124" s="1142">
        <f>+J116</f>
        <v>-56502578.697940841</v>
      </c>
      <c r="K124" s="1125"/>
      <c r="L124" s="1125"/>
      <c r="M124" s="1125"/>
      <c r="N124" s="1125"/>
      <c r="O124" s="1125"/>
      <c r="P124" s="1125"/>
      <c r="Q124" s="1142">
        <f>+Q116</f>
        <v>0</v>
      </c>
    </row>
    <row r="125" spans="1:17">
      <c r="A125" s="1108">
        <f t="shared" si="51"/>
        <v>106</v>
      </c>
      <c r="B125" s="1107" t="s">
        <v>1172</v>
      </c>
      <c r="F125" s="1167" t="str">
        <f>"([Sum Lines "&amp;A104&amp;" to "&amp;A116&amp;"] /13)+([Lines "&amp;A120&amp;" +"&amp;A123&amp;")/2])"</f>
        <v>([Sum Lines 86 to 98] /13)+([Lines 101 +104)/2])</v>
      </c>
      <c r="G125" s="1136"/>
      <c r="H125" s="1125"/>
      <c r="I125" s="1127"/>
      <c r="J125" s="1148">
        <f>(J104+J105+J106+J107+J108+J109+J110+J111+J112+J113+J114+J115+J116)/13+(J120+J123)/2</f>
        <v>-198799113.78190762</v>
      </c>
      <c r="K125" s="1125"/>
      <c r="L125" s="1125"/>
      <c r="M125" s="1125"/>
      <c r="N125" s="1125"/>
      <c r="O125" s="1125"/>
      <c r="P125" s="1125"/>
      <c r="Q125" s="1148">
        <f>(Q104+Q105+Q106+Q107+Q108+Q109+Q110+Q111+Q112+Q113+Q114+Q115+Q116)/13+(Q120+Q123)/2</f>
        <v>0</v>
      </c>
    </row>
    <row r="126" spans="1:17">
      <c r="A126" s="1108">
        <f t="shared" si="51"/>
        <v>107</v>
      </c>
      <c r="B126" s="1107" t="s">
        <v>1173</v>
      </c>
      <c r="F126" s="1167" t="s">
        <v>1174</v>
      </c>
      <c r="G126" s="1136"/>
      <c r="H126" s="1125"/>
      <c r="I126" s="1127"/>
      <c r="J126" s="1143">
        <v>0</v>
      </c>
      <c r="K126" s="1125"/>
      <c r="L126" s="1125"/>
      <c r="M126" s="1125"/>
      <c r="N126" s="1125"/>
      <c r="O126" s="1125"/>
      <c r="P126" s="1125"/>
      <c r="Q126" s="1146">
        <v>0</v>
      </c>
    </row>
    <row r="127" spans="1:17">
      <c r="A127" s="1108">
        <f t="shared" si="51"/>
        <v>108</v>
      </c>
      <c r="B127" s="1107" t="s">
        <v>1175</v>
      </c>
      <c r="F127" s="1167" t="str">
        <f>"(Line "&amp;A125&amp;" less line "&amp;A126&amp;")"</f>
        <v>(Line 106 less line 107)</v>
      </c>
      <c r="H127" s="1125"/>
      <c r="I127" s="1125"/>
      <c r="J127" s="1128">
        <f>+J125-J126</f>
        <v>-198799113.78190762</v>
      </c>
      <c r="K127" s="1125"/>
      <c r="L127" s="1125"/>
      <c r="M127" s="1125"/>
      <c r="N127" s="1125"/>
      <c r="O127" s="1125"/>
      <c r="P127" s="1125"/>
      <c r="Q127" s="1128">
        <f>+Q125-Q126</f>
        <v>0</v>
      </c>
    </row>
    <row r="128" spans="1:17">
      <c r="J128" s="1135"/>
      <c r="L128" s="1153"/>
      <c r="M128" s="1153"/>
      <c r="N128" s="1153"/>
    </row>
    <row r="130" spans="1:17">
      <c r="A130" s="1108">
        <f>A127+1</f>
        <v>109</v>
      </c>
      <c r="B130" s="1106" t="s">
        <v>1186</v>
      </c>
      <c r="H130" s="1137"/>
      <c r="I130" s="1137"/>
      <c r="J130" s="1137"/>
      <c r="K130" s="1137"/>
    </row>
    <row r="131" spans="1:17">
      <c r="A131" s="1108">
        <f>+A130+1</f>
        <v>110</v>
      </c>
      <c r="B131" s="1205" t="s">
        <v>1146</v>
      </c>
      <c r="C131" s="1206"/>
      <c r="D131" s="1206"/>
      <c r="E131" s="1206"/>
      <c r="F131" s="1207"/>
      <c r="G131" s="1105"/>
      <c r="H131" s="1208" t="s">
        <v>1147</v>
      </c>
      <c r="I131" s="1209"/>
      <c r="J131" s="1210"/>
      <c r="K131" s="1137"/>
      <c r="L131" s="1208" t="s">
        <v>1148</v>
      </c>
      <c r="M131" s="1209"/>
      <c r="N131" s="1209"/>
      <c r="O131" s="1209"/>
      <c r="P131" s="1209"/>
      <c r="Q131" s="1209"/>
    </row>
    <row r="132" spans="1:17">
      <c r="B132" s="1113" t="s">
        <v>247</v>
      </c>
      <c r="C132" s="1113" t="s">
        <v>248</v>
      </c>
      <c r="D132" s="1113" t="s">
        <v>570</v>
      </c>
      <c r="E132" s="1113" t="s">
        <v>572</v>
      </c>
      <c r="F132" s="1113" t="s">
        <v>574</v>
      </c>
      <c r="G132" s="1105"/>
      <c r="H132" s="1113" t="s">
        <v>575</v>
      </c>
      <c r="I132" s="1113" t="s">
        <v>576</v>
      </c>
      <c r="J132" s="1113" t="s">
        <v>578</v>
      </c>
      <c r="K132" s="1114"/>
      <c r="L132" s="1113" t="s">
        <v>579</v>
      </c>
      <c r="M132" s="1113" t="s">
        <v>580</v>
      </c>
      <c r="N132" s="1113" t="s">
        <v>581</v>
      </c>
      <c r="O132" s="1113" t="s">
        <v>588</v>
      </c>
      <c r="P132" s="1113" t="s">
        <v>589</v>
      </c>
      <c r="Q132" s="1113" t="s">
        <v>590</v>
      </c>
    </row>
    <row r="133" spans="1:17" s="1167" customFormat="1" ht="94.5">
      <c r="A133" s="1170">
        <f>+A131+1</f>
        <v>111</v>
      </c>
      <c r="B133" s="1171" t="s">
        <v>1149</v>
      </c>
      <c r="C133" s="1171" t="s">
        <v>1150</v>
      </c>
      <c r="D133" s="1171" t="s">
        <v>1151</v>
      </c>
      <c r="E133" s="1171" t="s">
        <v>1152</v>
      </c>
      <c r="F133" s="1171" t="s">
        <v>1180</v>
      </c>
      <c r="G133" s="1172"/>
      <c r="H133" s="1171" t="s">
        <v>1154</v>
      </c>
      <c r="I133" s="1171" t="s">
        <v>1155</v>
      </c>
      <c r="J133" s="1171" t="s">
        <v>1156</v>
      </c>
      <c r="K133" s="1172"/>
      <c r="L133" s="1171" t="s">
        <v>1157</v>
      </c>
      <c r="M133" s="1171" t="s">
        <v>1158</v>
      </c>
      <c r="N133" s="1171" t="s">
        <v>1159</v>
      </c>
      <c r="O133" s="1171" t="s">
        <v>1160</v>
      </c>
      <c r="P133" s="1171" t="s">
        <v>1161</v>
      </c>
      <c r="Q133" s="1171" t="s">
        <v>1162</v>
      </c>
    </row>
    <row r="134" spans="1:17">
      <c r="A134" s="1108">
        <f t="shared" ref="A134:A148" si="52">+A133+1</f>
        <v>112</v>
      </c>
      <c r="C134" s="1115"/>
      <c r="D134" s="1115"/>
      <c r="E134" s="1115"/>
      <c r="F134" s="1115"/>
      <c r="G134" s="1115"/>
      <c r="H134" s="1115"/>
      <c r="I134" s="1115"/>
      <c r="J134" s="1115"/>
      <c r="K134" s="1115"/>
    </row>
    <row r="135" spans="1:17">
      <c r="A135" s="1108">
        <f t="shared" si="52"/>
        <v>113</v>
      </c>
      <c r="B135" s="1116" t="s">
        <v>1163</v>
      </c>
      <c r="C135" s="1117"/>
      <c r="D135" s="1138"/>
      <c r="E135" s="1138"/>
      <c r="F135" s="1138"/>
      <c r="G135" s="1138"/>
      <c r="H135" s="1142"/>
      <c r="I135" s="1142"/>
      <c r="J135" s="1143">
        <f>29667579.8110078</f>
        <v>29667579.811007801</v>
      </c>
      <c r="K135" s="1149"/>
      <c r="L135" s="1142"/>
      <c r="M135" s="1145"/>
      <c r="N135" s="1145"/>
      <c r="O135" s="1145"/>
      <c r="P135" s="1145"/>
      <c r="Q135" s="1146">
        <v>0</v>
      </c>
    </row>
    <row r="136" spans="1:17">
      <c r="A136" s="1108">
        <f t="shared" si="52"/>
        <v>114</v>
      </c>
      <c r="B136" s="1117" t="s">
        <v>1164</v>
      </c>
      <c r="C136" s="1139">
        <v>31</v>
      </c>
      <c r="D136" s="1140">
        <f t="shared" ref="D136:D146" si="53">(D137+C137)</f>
        <v>335</v>
      </c>
      <c r="E136" s="1140">
        <f>SUM(C136:C147)</f>
        <v>365</v>
      </c>
      <c r="F136" s="1112">
        <f>D136/E136</f>
        <v>0.9178082191780822</v>
      </c>
      <c r="G136" s="1138"/>
      <c r="H136" s="1143">
        <v>189972.34844551235</v>
      </c>
      <c r="I136" s="1142">
        <f>+H136*F136</f>
        <v>174358.1828198538</v>
      </c>
      <c r="J136" s="1142">
        <f t="shared" ref="J136:J147" si="54">+I136+J135</f>
        <v>29841937.993827656</v>
      </c>
      <c r="K136" s="1149"/>
      <c r="L136" s="1146">
        <v>0</v>
      </c>
      <c r="M136" s="1145">
        <f t="shared" ref="M136:M147" si="55">L136-H136</f>
        <v>-189972.34844551235</v>
      </c>
      <c r="N136" s="1145">
        <f>IF(M136&gt;=0,+M136,0)</f>
        <v>0</v>
      </c>
      <c r="O136" s="1145">
        <f>IF(N136&gt;0,0,IF(L136&lt;0,0,(-(M136)*(D136/E136))))</f>
        <v>174358.1828198538</v>
      </c>
      <c r="P136" s="1145">
        <f>IF(L136&lt;0,L136,0)</f>
        <v>0</v>
      </c>
      <c r="Q136" s="1145">
        <f>IF(L136&lt;0,Q135+P136,Q135+I136+N136-O136)</f>
        <v>0</v>
      </c>
    </row>
    <row r="137" spans="1:17">
      <c r="A137" s="1108">
        <f t="shared" si="52"/>
        <v>115</v>
      </c>
      <c r="B137" s="1117" t="s">
        <v>47</v>
      </c>
      <c r="C137" s="1141">
        <v>28</v>
      </c>
      <c r="D137" s="1140">
        <f t="shared" si="53"/>
        <v>307</v>
      </c>
      <c r="E137" s="1140">
        <f>E136</f>
        <v>365</v>
      </c>
      <c r="F137" s="1112">
        <f t="shared" ref="F137:F147" si="56">D137/E137</f>
        <v>0.84109589041095889</v>
      </c>
      <c r="G137" s="1138"/>
      <c r="H137" s="1143">
        <v>189972.79802586138</v>
      </c>
      <c r="I137" s="1142">
        <f t="shared" ref="I137:I147" si="57">+H137*F137</f>
        <v>159785.33970942313</v>
      </c>
      <c r="J137" s="1142">
        <f t="shared" si="54"/>
        <v>30001723.333537079</v>
      </c>
      <c r="K137" s="1149"/>
      <c r="L137" s="1146">
        <v>0</v>
      </c>
      <c r="M137" s="1145">
        <f t="shared" si="55"/>
        <v>-189972.79802586138</v>
      </c>
      <c r="N137" s="1145">
        <f t="shared" ref="N137:N147" si="58">IF(M137&gt;=0,+M137,0)</f>
        <v>0</v>
      </c>
      <c r="O137" s="1145">
        <f t="shared" ref="O137:O147" si="59">IF(N137&gt;0,0,IF(L137&lt;0,0,(-(M137)*(D137/E137))))</f>
        <v>159785.33970942313</v>
      </c>
      <c r="P137" s="1145">
        <f t="shared" ref="P137:P147" si="60">IF(L137&lt;0,L137,0)</f>
        <v>0</v>
      </c>
      <c r="Q137" s="1145">
        <f t="shared" ref="Q137:Q147" si="61">IF(L137&lt;0,Q136+P137,Q136+I137+N137-O137)</f>
        <v>0</v>
      </c>
    </row>
    <row r="138" spans="1:17">
      <c r="A138" s="1108">
        <f t="shared" si="52"/>
        <v>116</v>
      </c>
      <c r="B138" s="1117" t="s">
        <v>48</v>
      </c>
      <c r="C138" s="1139">
        <v>31</v>
      </c>
      <c r="D138" s="1140">
        <f t="shared" si="53"/>
        <v>276</v>
      </c>
      <c r="E138" s="1140">
        <f t="shared" ref="E138:E147" si="62">E137</f>
        <v>365</v>
      </c>
      <c r="F138" s="1112">
        <f t="shared" si="56"/>
        <v>0.75616438356164384</v>
      </c>
      <c r="G138" s="1138"/>
      <c r="H138" s="1143">
        <v>189979.46107940376</v>
      </c>
      <c r="I138" s="1142">
        <f t="shared" si="57"/>
        <v>143655.70207648064</v>
      </c>
      <c r="J138" s="1142">
        <f t="shared" si="54"/>
        <v>30145379.035613559</v>
      </c>
      <c r="K138" s="1149"/>
      <c r="L138" s="1146">
        <v>0</v>
      </c>
      <c r="M138" s="1145">
        <f t="shared" si="55"/>
        <v>-189979.46107940376</v>
      </c>
      <c r="N138" s="1145">
        <f t="shared" si="58"/>
        <v>0</v>
      </c>
      <c r="O138" s="1145">
        <f t="shared" si="59"/>
        <v>143655.70207648064</v>
      </c>
      <c r="P138" s="1145">
        <f t="shared" si="60"/>
        <v>0</v>
      </c>
      <c r="Q138" s="1145">
        <f t="shared" si="61"/>
        <v>0</v>
      </c>
    </row>
    <row r="139" spans="1:17">
      <c r="A139" s="1108">
        <f t="shared" si="52"/>
        <v>117</v>
      </c>
      <c r="B139" s="1117" t="s">
        <v>49</v>
      </c>
      <c r="C139" s="1139">
        <v>30</v>
      </c>
      <c r="D139" s="1140">
        <f t="shared" si="53"/>
        <v>246</v>
      </c>
      <c r="E139" s="1140">
        <f t="shared" si="62"/>
        <v>365</v>
      </c>
      <c r="F139" s="1112">
        <f t="shared" si="56"/>
        <v>0.67397260273972603</v>
      </c>
      <c r="G139" s="1138"/>
      <c r="H139" s="1143">
        <v>189973.34802586585</v>
      </c>
      <c r="I139" s="1142">
        <f t="shared" si="57"/>
        <v>128036.83182017261</v>
      </c>
      <c r="J139" s="1142">
        <f t="shared" si="54"/>
        <v>30273415.867433731</v>
      </c>
      <c r="K139" s="1149"/>
      <c r="L139" s="1146">
        <v>0</v>
      </c>
      <c r="M139" s="1145">
        <f t="shared" si="55"/>
        <v>-189973.34802586585</v>
      </c>
      <c r="N139" s="1145">
        <f t="shared" si="58"/>
        <v>0</v>
      </c>
      <c r="O139" s="1145">
        <f t="shared" si="59"/>
        <v>128036.83182017261</v>
      </c>
      <c r="P139" s="1145">
        <f t="shared" si="60"/>
        <v>0</v>
      </c>
      <c r="Q139" s="1145">
        <f t="shared" si="61"/>
        <v>0</v>
      </c>
    </row>
    <row r="140" spans="1:17">
      <c r="A140" s="1108">
        <f t="shared" si="52"/>
        <v>118</v>
      </c>
      <c r="B140" s="1117" t="s">
        <v>21</v>
      </c>
      <c r="C140" s="1139">
        <v>31</v>
      </c>
      <c r="D140" s="1140">
        <f t="shared" si="53"/>
        <v>215</v>
      </c>
      <c r="E140" s="1140">
        <f t="shared" si="62"/>
        <v>365</v>
      </c>
      <c r="F140" s="1112">
        <f t="shared" si="56"/>
        <v>0.58904109589041098</v>
      </c>
      <c r="G140" s="1138"/>
      <c r="H140" s="1143">
        <v>189965.60770742595</v>
      </c>
      <c r="I140" s="1142">
        <f t="shared" si="57"/>
        <v>111897.54974547008</v>
      </c>
      <c r="J140" s="1142">
        <f t="shared" si="54"/>
        <v>30385313.417179201</v>
      </c>
      <c r="K140" s="1149"/>
      <c r="L140" s="1146">
        <v>0</v>
      </c>
      <c r="M140" s="1145">
        <f t="shared" si="55"/>
        <v>-189965.60770742595</v>
      </c>
      <c r="N140" s="1145">
        <f t="shared" si="58"/>
        <v>0</v>
      </c>
      <c r="O140" s="1145">
        <f t="shared" si="59"/>
        <v>111897.54974547008</v>
      </c>
      <c r="P140" s="1145">
        <f t="shared" si="60"/>
        <v>0</v>
      </c>
      <c r="Q140" s="1145">
        <f t="shared" si="61"/>
        <v>0</v>
      </c>
    </row>
    <row r="141" spans="1:17">
      <c r="A141" s="1108">
        <f t="shared" si="52"/>
        <v>119</v>
      </c>
      <c r="B141" s="1117" t="s">
        <v>50</v>
      </c>
      <c r="C141" s="1139">
        <v>30</v>
      </c>
      <c r="D141" s="1140">
        <f t="shared" si="53"/>
        <v>185</v>
      </c>
      <c r="E141" s="1140">
        <f t="shared" si="62"/>
        <v>365</v>
      </c>
      <c r="F141" s="1112">
        <f t="shared" si="56"/>
        <v>0.50684931506849318</v>
      </c>
      <c r="G141" s="1138"/>
      <c r="H141" s="1143">
        <v>189982.62371333688</v>
      </c>
      <c r="I141" s="1142">
        <f t="shared" si="57"/>
        <v>96292.562704020063</v>
      </c>
      <c r="J141" s="1142">
        <f t="shared" si="54"/>
        <v>30481605.97988322</v>
      </c>
      <c r="K141" s="1149"/>
      <c r="L141" s="1146">
        <v>0</v>
      </c>
      <c r="M141" s="1145">
        <f t="shared" si="55"/>
        <v>-189982.62371333688</v>
      </c>
      <c r="N141" s="1145">
        <f t="shared" si="58"/>
        <v>0</v>
      </c>
      <c r="O141" s="1145">
        <f t="shared" si="59"/>
        <v>96292.562704020063</v>
      </c>
      <c r="P141" s="1145">
        <f t="shared" si="60"/>
        <v>0</v>
      </c>
      <c r="Q141" s="1145">
        <f t="shared" si="61"/>
        <v>0</v>
      </c>
    </row>
    <row r="142" spans="1:17">
      <c r="A142" s="1108">
        <f t="shared" si="52"/>
        <v>120</v>
      </c>
      <c r="B142" s="1117" t="s">
        <v>51</v>
      </c>
      <c r="C142" s="1139">
        <v>31</v>
      </c>
      <c r="D142" s="1140">
        <f t="shared" si="53"/>
        <v>154</v>
      </c>
      <c r="E142" s="1140">
        <f t="shared" si="62"/>
        <v>365</v>
      </c>
      <c r="F142" s="1112">
        <f t="shared" si="56"/>
        <v>0.42191780821917807</v>
      </c>
      <c r="G142" s="1138"/>
      <c r="H142" s="1143">
        <v>189976.47455263138</v>
      </c>
      <c r="I142" s="1142">
        <f t="shared" si="57"/>
        <v>80154.457756452684</v>
      </c>
      <c r="J142" s="1142">
        <f t="shared" si="54"/>
        <v>30561760.437639672</v>
      </c>
      <c r="K142" s="1149"/>
      <c r="L142" s="1146">
        <v>0</v>
      </c>
      <c r="M142" s="1145">
        <f t="shared" si="55"/>
        <v>-189976.47455263138</v>
      </c>
      <c r="N142" s="1145">
        <f t="shared" si="58"/>
        <v>0</v>
      </c>
      <c r="O142" s="1145">
        <f t="shared" si="59"/>
        <v>80154.457756452684</v>
      </c>
      <c r="P142" s="1145">
        <f t="shared" si="60"/>
        <v>0</v>
      </c>
      <c r="Q142" s="1145">
        <f t="shared" si="61"/>
        <v>0</v>
      </c>
    </row>
    <row r="143" spans="1:17">
      <c r="A143" s="1108">
        <f t="shared" si="52"/>
        <v>121</v>
      </c>
      <c r="B143" s="1117" t="s">
        <v>52</v>
      </c>
      <c r="C143" s="1139">
        <v>31</v>
      </c>
      <c r="D143" s="1140">
        <f t="shared" si="53"/>
        <v>123</v>
      </c>
      <c r="E143" s="1140">
        <f t="shared" si="62"/>
        <v>365</v>
      </c>
      <c r="F143" s="1112">
        <f t="shared" si="56"/>
        <v>0.33698630136986302</v>
      </c>
      <c r="G143" s="1138"/>
      <c r="H143" s="1143">
        <v>189969.19844551384</v>
      </c>
      <c r="I143" s="1142">
        <f t="shared" si="57"/>
        <v>64017.017558351239</v>
      </c>
      <c r="J143" s="1142">
        <f t="shared" si="54"/>
        <v>30625777.455198023</v>
      </c>
      <c r="K143" s="1149"/>
      <c r="L143" s="1146">
        <v>0</v>
      </c>
      <c r="M143" s="1145">
        <f t="shared" si="55"/>
        <v>-189969.19844551384</v>
      </c>
      <c r="N143" s="1145">
        <f t="shared" si="58"/>
        <v>0</v>
      </c>
      <c r="O143" s="1145">
        <f t="shared" si="59"/>
        <v>64017.017558351239</v>
      </c>
      <c r="P143" s="1145">
        <f t="shared" si="60"/>
        <v>0</v>
      </c>
      <c r="Q143" s="1145">
        <f t="shared" si="61"/>
        <v>0</v>
      </c>
    </row>
    <row r="144" spans="1:17">
      <c r="A144" s="1108">
        <f t="shared" si="52"/>
        <v>122</v>
      </c>
      <c r="B144" s="1117" t="s">
        <v>53</v>
      </c>
      <c r="C144" s="1139">
        <v>30</v>
      </c>
      <c r="D144" s="1140">
        <f t="shared" si="53"/>
        <v>93</v>
      </c>
      <c r="E144" s="1140">
        <f t="shared" si="62"/>
        <v>365</v>
      </c>
      <c r="F144" s="1112">
        <f t="shared" si="56"/>
        <v>0.25479452054794521</v>
      </c>
      <c r="G144" s="1138"/>
      <c r="H144" s="1143">
        <v>189976.42802587897</v>
      </c>
      <c r="I144" s="1142">
        <f t="shared" si="57"/>
        <v>48404.95289426505</v>
      </c>
      <c r="J144" s="1142">
        <f t="shared" si="54"/>
        <v>30674182.40809229</v>
      </c>
      <c r="K144" s="1149"/>
      <c r="L144" s="1146">
        <v>0</v>
      </c>
      <c r="M144" s="1145">
        <f t="shared" si="55"/>
        <v>-189976.42802587897</v>
      </c>
      <c r="N144" s="1145">
        <f t="shared" si="58"/>
        <v>0</v>
      </c>
      <c r="O144" s="1145">
        <f t="shared" si="59"/>
        <v>48404.95289426505</v>
      </c>
      <c r="P144" s="1145">
        <f t="shared" si="60"/>
        <v>0</v>
      </c>
      <c r="Q144" s="1145">
        <f t="shared" si="61"/>
        <v>0</v>
      </c>
    </row>
    <row r="145" spans="1:17">
      <c r="A145" s="1108">
        <f t="shared" si="52"/>
        <v>123</v>
      </c>
      <c r="B145" s="1117" t="s">
        <v>54</v>
      </c>
      <c r="C145" s="1139">
        <v>31</v>
      </c>
      <c r="D145" s="1140">
        <f t="shared" si="53"/>
        <v>62</v>
      </c>
      <c r="E145" s="1140">
        <f t="shared" si="62"/>
        <v>365</v>
      </c>
      <c r="F145" s="1112">
        <f t="shared" si="56"/>
        <v>0.16986301369863013</v>
      </c>
      <c r="G145" s="1138"/>
      <c r="H145" s="1143">
        <v>189975.85455262661</v>
      </c>
      <c r="I145" s="1142">
        <f t="shared" si="57"/>
        <v>32269.871184281779</v>
      </c>
      <c r="J145" s="1142">
        <f t="shared" si="54"/>
        <v>30706452.279276572</v>
      </c>
      <c r="K145" s="1149"/>
      <c r="L145" s="1146">
        <v>0</v>
      </c>
      <c r="M145" s="1145">
        <f t="shared" si="55"/>
        <v>-189975.85455262661</v>
      </c>
      <c r="N145" s="1145">
        <f t="shared" si="58"/>
        <v>0</v>
      </c>
      <c r="O145" s="1145">
        <f t="shared" si="59"/>
        <v>32269.871184281779</v>
      </c>
      <c r="P145" s="1145">
        <f t="shared" si="60"/>
        <v>0</v>
      </c>
      <c r="Q145" s="1145">
        <f t="shared" si="61"/>
        <v>0</v>
      </c>
    </row>
    <row r="146" spans="1:17">
      <c r="A146" s="1108">
        <f t="shared" si="52"/>
        <v>124</v>
      </c>
      <c r="B146" s="1117" t="s">
        <v>55</v>
      </c>
      <c r="C146" s="1139">
        <v>30</v>
      </c>
      <c r="D146" s="1140">
        <f t="shared" si="53"/>
        <v>32</v>
      </c>
      <c r="E146" s="1140">
        <f t="shared" si="62"/>
        <v>365</v>
      </c>
      <c r="F146" s="1112">
        <f t="shared" si="56"/>
        <v>8.7671232876712329E-2</v>
      </c>
      <c r="G146" s="1138"/>
      <c r="H146" s="1143">
        <v>189977.04455263168</v>
      </c>
      <c r="I146" s="1142">
        <f t="shared" si="57"/>
        <v>16655.521714203325</v>
      </c>
      <c r="J146" s="1142">
        <f t="shared" si="54"/>
        <v>30723107.800990775</v>
      </c>
      <c r="K146" s="1149"/>
      <c r="L146" s="1146">
        <v>0</v>
      </c>
      <c r="M146" s="1145">
        <f t="shared" si="55"/>
        <v>-189977.04455263168</v>
      </c>
      <c r="N146" s="1145">
        <f t="shared" si="58"/>
        <v>0</v>
      </c>
      <c r="O146" s="1145">
        <f t="shared" si="59"/>
        <v>16655.521714203325</v>
      </c>
      <c r="P146" s="1145">
        <f t="shared" si="60"/>
        <v>0</v>
      </c>
      <c r="Q146" s="1145">
        <f t="shared" si="61"/>
        <v>0</v>
      </c>
    </row>
    <row r="147" spans="1:17">
      <c r="A147" s="1108">
        <f t="shared" si="52"/>
        <v>125</v>
      </c>
      <c r="B147" s="1117" t="s">
        <v>1165</v>
      </c>
      <c r="C147" s="1139">
        <v>31</v>
      </c>
      <c r="D147" s="1140">
        <f>1</f>
        <v>1</v>
      </c>
      <c r="E147" s="1140">
        <f t="shared" si="62"/>
        <v>365</v>
      </c>
      <c r="F147" s="1112">
        <f t="shared" si="56"/>
        <v>2.7397260273972603E-3</v>
      </c>
      <c r="G147" s="1138"/>
      <c r="H147" s="1143">
        <v>189973.67381456494</v>
      </c>
      <c r="I147" s="1142">
        <f t="shared" si="57"/>
        <v>520.47581867004089</v>
      </c>
      <c r="J147" s="1142">
        <f t="shared" si="54"/>
        <v>30723628.276809447</v>
      </c>
      <c r="K147" s="1149"/>
      <c r="L147" s="1146">
        <v>0</v>
      </c>
      <c r="M147" s="1145">
        <f t="shared" si="55"/>
        <v>-189973.67381456494</v>
      </c>
      <c r="N147" s="1145">
        <f t="shared" si="58"/>
        <v>0</v>
      </c>
      <c r="O147" s="1145">
        <f t="shared" si="59"/>
        <v>520.47581867004089</v>
      </c>
      <c r="P147" s="1145">
        <f t="shared" si="60"/>
        <v>0</v>
      </c>
      <c r="Q147" s="1145">
        <f t="shared" si="61"/>
        <v>0</v>
      </c>
    </row>
    <row r="148" spans="1:17">
      <c r="A148" s="1108">
        <f t="shared" si="52"/>
        <v>126</v>
      </c>
      <c r="B148" s="1118"/>
      <c r="C148" s="1118" t="s">
        <v>23</v>
      </c>
      <c r="D148" s="1118"/>
      <c r="E148" s="1118"/>
      <c r="F148" s="1119"/>
      <c r="G148" s="1138"/>
      <c r="H148" s="1147">
        <f>SUM(H136:H147)</f>
        <v>2279694.8609412536</v>
      </c>
      <c r="I148" s="1147">
        <f>SUM(I136:I147)</f>
        <v>1056048.4658016446</v>
      </c>
      <c r="J148" s="1121"/>
      <c r="K148" s="1120"/>
      <c r="L148" s="1111">
        <f>SUM(L136:L147)</f>
        <v>0</v>
      </c>
      <c r="M148" s="1111">
        <f t="shared" ref="M148:P148" si="63">SUM(M136:M147)</f>
        <v>-2279694.8609412536</v>
      </c>
      <c r="N148" s="1111">
        <f t="shared" si="63"/>
        <v>0</v>
      </c>
      <c r="O148" s="1111">
        <f t="shared" si="63"/>
        <v>1056048.4658016446</v>
      </c>
      <c r="P148" s="1111">
        <f t="shared" si="63"/>
        <v>0</v>
      </c>
      <c r="Q148" s="1111"/>
    </row>
    <row r="149" spans="1:17">
      <c r="B149" s="1122"/>
      <c r="C149" s="1122"/>
      <c r="D149" s="1122"/>
      <c r="E149" s="1122"/>
      <c r="F149" s="1136"/>
      <c r="G149" s="1136"/>
      <c r="H149" s="1124"/>
      <c r="I149" s="1123"/>
      <c r="J149" s="1120"/>
      <c r="K149" s="1120"/>
      <c r="L149" s="1125"/>
      <c r="M149" s="1125"/>
      <c r="N149" s="1125"/>
      <c r="O149" s="1125"/>
      <c r="P149" s="1125"/>
      <c r="Q149" s="1125"/>
    </row>
    <row r="150" spans="1:17">
      <c r="A150" s="1108">
        <f>+A148+1</f>
        <v>127</v>
      </c>
      <c r="B150" s="1107" t="s">
        <v>1166</v>
      </c>
      <c r="F150" s="1166" t="s">
        <v>1167</v>
      </c>
      <c r="G150" s="1136"/>
      <c r="H150" s="1125"/>
      <c r="I150" s="1120"/>
      <c r="J150" s="1143">
        <f>29667580+37945698</f>
        <v>67613278</v>
      </c>
      <c r="K150" s="1125"/>
      <c r="L150" s="1125"/>
      <c r="M150" s="1125"/>
      <c r="N150" s="1125"/>
      <c r="O150" s="1125"/>
      <c r="P150" s="1125"/>
      <c r="Q150" s="1146">
        <v>0</v>
      </c>
    </row>
    <row r="151" spans="1:17">
      <c r="A151" s="1108">
        <f>+A150+1</f>
        <v>128</v>
      </c>
      <c r="B151" s="1107" t="s">
        <v>1168</v>
      </c>
      <c r="F151" s="1167" t="str">
        <f>"(Line "&amp;A150&amp;" less line "&amp;A152&amp;")"</f>
        <v>(Line 127 less line 129)</v>
      </c>
      <c r="G151" s="1136"/>
      <c r="H151" s="1125"/>
      <c r="I151" s="1120"/>
      <c r="J151" s="1145">
        <f>+J150-J152</f>
        <v>37945698.188992225</v>
      </c>
      <c r="K151" s="1125"/>
      <c r="L151" s="1153"/>
      <c r="M151" s="1125"/>
      <c r="N151" s="1126"/>
      <c r="O151" s="1125"/>
      <c r="P151" s="1125"/>
      <c r="Q151" s="1145">
        <f>+Q150-Q152</f>
        <v>0</v>
      </c>
    </row>
    <row r="152" spans="1:17">
      <c r="A152" s="1108">
        <f t="shared" ref="A152:A158" si="64">+A151+1</f>
        <v>129</v>
      </c>
      <c r="B152" s="1107" t="s">
        <v>1169</v>
      </c>
      <c r="F152" s="1167" t="str">
        <f>"(Line "&amp;A135&amp;", Col H)"</f>
        <v>(Line 113, Col H)</v>
      </c>
      <c r="G152" s="1136"/>
      <c r="H152" s="1125"/>
      <c r="I152" s="1120"/>
      <c r="J152" s="1142">
        <v>29667579.811007775</v>
      </c>
      <c r="K152" s="1125"/>
      <c r="L152" s="1125"/>
      <c r="M152" s="1125"/>
      <c r="N152" s="1125"/>
      <c r="O152" s="1125"/>
      <c r="P152" s="1125"/>
      <c r="Q152" s="1142">
        <f>+Q135</f>
        <v>0</v>
      </c>
    </row>
    <row r="153" spans="1:17">
      <c r="A153" s="1108">
        <f t="shared" si="64"/>
        <v>130</v>
      </c>
      <c r="B153" s="1107" t="s">
        <v>1170</v>
      </c>
      <c r="F153" s="1166" t="s">
        <v>395</v>
      </c>
      <c r="G153" s="1136"/>
      <c r="H153" s="1125"/>
      <c r="I153" s="1120"/>
      <c r="J153" s="1143">
        <f>30723628+37119724</f>
        <v>67843352</v>
      </c>
      <c r="K153" s="1125"/>
      <c r="L153" s="1125"/>
      <c r="M153" s="1125"/>
      <c r="N153" s="1125"/>
      <c r="O153" s="1125"/>
      <c r="P153" s="1125"/>
      <c r="Q153" s="1146">
        <v>0</v>
      </c>
    </row>
    <row r="154" spans="1:17">
      <c r="A154" s="1108">
        <f t="shared" si="64"/>
        <v>131</v>
      </c>
      <c r="B154" s="1107" t="str">
        <f>+B151</f>
        <v>Less non Prorated Items</v>
      </c>
      <c r="F154" s="1167" t="str">
        <f>"(Line "&amp;A153&amp;" less line "&amp;A155&amp;")"</f>
        <v>(Line 130 less line 132)</v>
      </c>
      <c r="G154" s="1136"/>
      <c r="H154" s="1125"/>
      <c r="I154" s="1120"/>
      <c r="J154" s="1145">
        <f>+J153-J155</f>
        <v>37119723.723190553</v>
      </c>
      <c r="K154" s="1125"/>
      <c r="L154" s="1153"/>
      <c r="M154" s="1125"/>
      <c r="N154" s="1125"/>
      <c r="O154" s="1125"/>
      <c r="P154" s="1125"/>
      <c r="Q154" s="1145">
        <f>+Q153-Q155</f>
        <v>0</v>
      </c>
    </row>
    <row r="155" spans="1:17">
      <c r="A155" s="1108">
        <f t="shared" si="64"/>
        <v>132</v>
      </c>
      <c r="B155" s="1107" t="s">
        <v>1171</v>
      </c>
      <c r="F155" s="1167" t="str">
        <f>"(Line "&amp;A147&amp;", Col H)"</f>
        <v>(Line 125, Col H)</v>
      </c>
      <c r="G155" s="1136"/>
      <c r="H155" s="1125"/>
      <c r="I155" s="1120"/>
      <c r="J155" s="1142">
        <f>+J147</f>
        <v>30723628.276809447</v>
      </c>
      <c r="K155" s="1125"/>
      <c r="L155" s="1125"/>
      <c r="M155" s="1125"/>
      <c r="N155" s="1125"/>
      <c r="O155" s="1125"/>
      <c r="P155" s="1125"/>
      <c r="Q155" s="1142">
        <f>+Q147</f>
        <v>0</v>
      </c>
    </row>
    <row r="156" spans="1:17">
      <c r="A156" s="1108">
        <f t="shared" si="64"/>
        <v>133</v>
      </c>
      <c r="B156" s="1107" t="s">
        <v>1172</v>
      </c>
      <c r="F156" s="1167" t="str">
        <f>"([Sum Lines "&amp;A135&amp;" to "&amp;A147&amp;"] /13)+([Lines "&amp;A151&amp;" +"&amp;A154&amp;")/2])"</f>
        <v>([Sum Lines 113 to 125] /13)+([Lines 128 +131)/2])</v>
      </c>
      <c r="G156" s="1136"/>
      <c r="H156" s="1125"/>
      <c r="I156" s="1127"/>
      <c r="J156" s="1148">
        <f>(J135+J136+J137+J138+J139+J140+J141+J142+J143+J144+J145+J146+J147)/13+(J151+J154)/2</f>
        <v>67902854.348129004</v>
      </c>
      <c r="K156" s="1125"/>
      <c r="L156" s="1125"/>
      <c r="M156" s="1125"/>
      <c r="N156" s="1125"/>
      <c r="O156" s="1125"/>
      <c r="P156" s="1125"/>
      <c r="Q156" s="1148">
        <f>(Q135+Q136+Q137+Q138+Q139+Q140+Q141+Q142+Q143+Q144+Q145+Q146+Q147)/13+(Q151+Q154)/2</f>
        <v>0</v>
      </c>
    </row>
    <row r="157" spans="1:17">
      <c r="A157" s="1108">
        <f t="shared" si="64"/>
        <v>134</v>
      </c>
      <c r="B157" s="1107" t="s">
        <v>1173</v>
      </c>
      <c r="F157" s="1167" t="s">
        <v>1174</v>
      </c>
      <c r="G157" s="1136"/>
      <c r="H157" s="1125"/>
      <c r="I157" s="1127"/>
      <c r="J157" s="1143">
        <v>2113693</v>
      </c>
      <c r="K157" s="1125"/>
      <c r="L157" s="1125"/>
      <c r="M157" s="1125"/>
      <c r="N157" s="1125"/>
      <c r="O157" s="1125"/>
      <c r="P157" s="1125"/>
      <c r="Q157" s="1146">
        <v>0</v>
      </c>
    </row>
    <row r="158" spans="1:17">
      <c r="A158" s="1108">
        <f t="shared" si="64"/>
        <v>135</v>
      </c>
      <c r="B158" s="1107" t="s">
        <v>1175</v>
      </c>
      <c r="F158" s="1167" t="str">
        <f>"(Line "&amp;A156&amp;" less line "&amp;A157&amp;")"</f>
        <v>(Line 133 less line 134)</v>
      </c>
      <c r="H158" s="1125"/>
      <c r="I158" s="1125"/>
      <c r="J158" s="1128">
        <f>+J156-J157</f>
        <v>65789161.348129004</v>
      </c>
      <c r="K158" s="1125"/>
      <c r="L158" s="1125"/>
      <c r="M158" s="1125"/>
      <c r="N158" s="1125"/>
      <c r="O158" s="1125"/>
      <c r="P158" s="1125"/>
      <c r="Q158" s="1128">
        <f>+Q156-Q157</f>
        <v>0</v>
      </c>
    </row>
    <row r="160" spans="1:17">
      <c r="A160" s="1129"/>
      <c r="B160" s="1130"/>
      <c r="C160" s="1131"/>
      <c r="D160" s="1131"/>
      <c r="E160" s="1131"/>
      <c r="F160" s="1131"/>
      <c r="G160" s="1131"/>
      <c r="H160" s="1131"/>
      <c r="I160" s="1131"/>
      <c r="J160" s="1131"/>
    </row>
    <row r="161" spans="1:17">
      <c r="A161" s="1108">
        <f>+A158+1</f>
        <v>136</v>
      </c>
      <c r="B161" s="1106" t="s">
        <v>1187</v>
      </c>
      <c r="H161" s="1137"/>
      <c r="I161" s="1137"/>
      <c r="J161" s="1137"/>
      <c r="L161" s="1132"/>
      <c r="M161" s="1133"/>
      <c r="N161" s="1133"/>
      <c r="O161" s="1133"/>
      <c r="P161" s="1133"/>
      <c r="Q161" s="1133"/>
    </row>
    <row r="162" spans="1:17">
      <c r="A162" s="1108">
        <f>+A161+1</f>
        <v>137</v>
      </c>
      <c r="B162" s="1205" t="s">
        <v>1146</v>
      </c>
      <c r="C162" s="1206"/>
      <c r="D162" s="1206"/>
      <c r="E162" s="1206"/>
      <c r="F162" s="1207"/>
      <c r="G162" s="1105"/>
      <c r="H162" s="1208" t="s">
        <v>1147</v>
      </c>
      <c r="I162" s="1209"/>
      <c r="J162" s="1210"/>
      <c r="L162" s="1208" t="s">
        <v>1148</v>
      </c>
      <c r="M162" s="1209"/>
      <c r="N162" s="1209"/>
      <c r="O162" s="1209"/>
      <c r="P162" s="1209"/>
      <c r="Q162" s="1209"/>
    </row>
    <row r="163" spans="1:17">
      <c r="B163" s="1113" t="s">
        <v>247</v>
      </c>
      <c r="C163" s="1113" t="s">
        <v>248</v>
      </c>
      <c r="D163" s="1113" t="s">
        <v>570</v>
      </c>
      <c r="E163" s="1113" t="s">
        <v>572</v>
      </c>
      <c r="F163" s="1113" t="s">
        <v>574</v>
      </c>
      <c r="G163" s="1105"/>
      <c r="H163" s="1113" t="s">
        <v>575</v>
      </c>
      <c r="I163" s="1113" t="s">
        <v>576</v>
      </c>
      <c r="J163" s="1113" t="s">
        <v>578</v>
      </c>
      <c r="L163" s="1113" t="s">
        <v>579</v>
      </c>
      <c r="M163" s="1113" t="s">
        <v>580</v>
      </c>
      <c r="N163" s="1113" t="s">
        <v>581</v>
      </c>
      <c r="O163" s="1113" t="s">
        <v>588</v>
      </c>
      <c r="P163" s="1113" t="s">
        <v>589</v>
      </c>
      <c r="Q163" s="1113" t="s">
        <v>590</v>
      </c>
    </row>
    <row r="164" spans="1:17" s="1167" customFormat="1" ht="94.5">
      <c r="A164" s="1170">
        <f>+A162+1</f>
        <v>138</v>
      </c>
      <c r="B164" s="1171" t="s">
        <v>1149</v>
      </c>
      <c r="C164" s="1171" t="s">
        <v>1150</v>
      </c>
      <c r="D164" s="1171" t="s">
        <v>1151</v>
      </c>
      <c r="E164" s="1171" t="s">
        <v>1152</v>
      </c>
      <c r="F164" s="1171" t="s">
        <v>1180</v>
      </c>
      <c r="G164" s="1172"/>
      <c r="H164" s="1171" t="s">
        <v>1154</v>
      </c>
      <c r="I164" s="1171" t="s">
        <v>1155</v>
      </c>
      <c r="J164" s="1171" t="s">
        <v>1156</v>
      </c>
      <c r="K164" s="1172"/>
      <c r="L164" s="1171" t="s">
        <v>1157</v>
      </c>
      <c r="M164" s="1171" t="s">
        <v>1158</v>
      </c>
      <c r="N164" s="1171" t="s">
        <v>1159</v>
      </c>
      <c r="O164" s="1171" t="s">
        <v>1160</v>
      </c>
      <c r="P164" s="1171" t="s">
        <v>1161</v>
      </c>
      <c r="Q164" s="1171" t="s">
        <v>1162</v>
      </c>
    </row>
    <row r="165" spans="1:17">
      <c r="A165" s="1108">
        <f t="shared" ref="A165:A179" si="65">+A164+1</f>
        <v>139</v>
      </c>
      <c r="C165" s="1115"/>
      <c r="D165" s="1115"/>
      <c r="E165" s="1115"/>
      <c r="F165" s="1115"/>
      <c r="G165" s="1115"/>
      <c r="H165" s="1115"/>
      <c r="I165" s="1115"/>
      <c r="J165" s="1115"/>
    </row>
    <row r="166" spans="1:17">
      <c r="A166" s="1108">
        <f t="shared" si="65"/>
        <v>140</v>
      </c>
      <c r="B166" s="1116" t="s">
        <v>1163</v>
      </c>
      <c r="C166" s="1117"/>
      <c r="D166" s="1138"/>
      <c r="E166" s="1138"/>
      <c r="F166" s="1138"/>
      <c r="G166" s="1138"/>
      <c r="H166" s="1142"/>
      <c r="I166" s="1142"/>
      <c r="J166" s="1143">
        <v>-3039187.1499999957</v>
      </c>
      <c r="K166" s="1144"/>
      <c r="L166" s="1142"/>
      <c r="M166" s="1145"/>
      <c r="N166" s="1145"/>
      <c r="O166" s="1145"/>
      <c r="P166" s="1145"/>
      <c r="Q166" s="1146">
        <v>0</v>
      </c>
    </row>
    <row r="167" spans="1:17">
      <c r="A167" s="1108">
        <f t="shared" si="65"/>
        <v>141</v>
      </c>
      <c r="B167" s="1117" t="s">
        <v>1164</v>
      </c>
      <c r="C167" s="1139">
        <v>31</v>
      </c>
      <c r="D167" s="1140">
        <f t="shared" ref="D167:D177" si="66">(D168+C168)</f>
        <v>335</v>
      </c>
      <c r="E167" s="1140">
        <f>SUM(C167:C178)</f>
        <v>365</v>
      </c>
      <c r="F167" s="1112">
        <f>D167/E167</f>
        <v>0.9178082191780822</v>
      </c>
      <c r="G167" s="1138"/>
      <c r="H167" s="1143">
        <v>-26827.120000000112</v>
      </c>
      <c r="I167" s="1142">
        <f>+H167*F167</f>
        <v>-24622.151232876815</v>
      </c>
      <c r="J167" s="1142">
        <f t="shared" ref="J167:J178" si="67">+I167+J166</f>
        <v>-3063809.3012328725</v>
      </c>
      <c r="K167" s="1125"/>
      <c r="L167" s="1146">
        <v>0</v>
      </c>
      <c r="M167" s="1145">
        <f>L167-H167</f>
        <v>26827.120000000112</v>
      </c>
      <c r="N167" s="1145">
        <f>IF(M167&lt;=0,+M167,0)</f>
        <v>0</v>
      </c>
      <c r="O167" s="1145">
        <f>IF(N167&lt;0,0,IF(L167&gt;0,0,(-(M167)*(D167/E167))))</f>
        <v>-24622.151232876815</v>
      </c>
      <c r="P167" s="1145">
        <f t="shared" ref="P167:P178" si="68">IF(L167&gt;0,L167,0)</f>
        <v>0</v>
      </c>
      <c r="Q167" s="1145">
        <f>IF(L167&gt;0,Q166+P167,Q166+I167+N167-O167)</f>
        <v>0</v>
      </c>
    </row>
    <row r="168" spans="1:17">
      <c r="A168" s="1108">
        <f t="shared" si="65"/>
        <v>142</v>
      </c>
      <c r="B168" s="1117" t="s">
        <v>47</v>
      </c>
      <c r="C168" s="1141">
        <v>28</v>
      </c>
      <c r="D168" s="1140">
        <f t="shared" si="66"/>
        <v>307</v>
      </c>
      <c r="E168" s="1140">
        <f>E167</f>
        <v>365</v>
      </c>
      <c r="F168" s="1112">
        <f t="shared" ref="F168:F178" si="69">D168/E168</f>
        <v>0.84109589041095889</v>
      </c>
      <c r="G168" s="1138"/>
      <c r="H168" s="1143">
        <v>-26827.149999999907</v>
      </c>
      <c r="I168" s="1142">
        <f t="shared" ref="I168:I178" si="70">+H168*F168</f>
        <v>-22564.205616438278</v>
      </c>
      <c r="J168" s="1142">
        <f t="shared" si="67"/>
        <v>-3086373.5068493108</v>
      </c>
      <c r="K168" s="1125"/>
      <c r="L168" s="1146">
        <v>0</v>
      </c>
      <c r="M168" s="1145">
        <f t="shared" ref="M168:M178" si="71">L168-H168</f>
        <v>26827.149999999907</v>
      </c>
      <c r="N168" s="1145">
        <f t="shared" ref="N168:N178" si="72">IF(M168&lt;=0,+M168,0)</f>
        <v>0</v>
      </c>
      <c r="O168" s="1145">
        <f t="shared" ref="O168:O178" si="73">IF(N168&lt;0,0,IF(L168&gt;0,0,(-(M168)*(D168/E168))))</f>
        <v>-22564.205616438278</v>
      </c>
      <c r="P168" s="1145">
        <f t="shared" si="68"/>
        <v>0</v>
      </c>
      <c r="Q168" s="1145">
        <f t="shared" ref="Q168:Q178" si="74">IF(L168&gt;0,Q167+P168,Q167+I168+N168-O168)</f>
        <v>0</v>
      </c>
    </row>
    <row r="169" spans="1:17">
      <c r="A169" s="1108">
        <f t="shared" si="65"/>
        <v>143</v>
      </c>
      <c r="B169" s="1117" t="s">
        <v>48</v>
      </c>
      <c r="C169" s="1139">
        <v>31</v>
      </c>
      <c r="D169" s="1140">
        <f t="shared" si="66"/>
        <v>276</v>
      </c>
      <c r="E169" s="1140">
        <f t="shared" ref="E169:E178" si="75">E168</f>
        <v>365</v>
      </c>
      <c r="F169" s="1112">
        <f t="shared" si="69"/>
        <v>0.75616438356164384</v>
      </c>
      <c r="G169" s="1138"/>
      <c r="H169" s="1143">
        <v>-26827.14000000013</v>
      </c>
      <c r="I169" s="1142">
        <f t="shared" si="70"/>
        <v>-20285.727780822017</v>
      </c>
      <c r="J169" s="1142">
        <f t="shared" si="67"/>
        <v>-3106659.234630133</v>
      </c>
      <c r="K169" s="1125"/>
      <c r="L169" s="1146">
        <v>0</v>
      </c>
      <c r="M169" s="1145">
        <f t="shared" si="71"/>
        <v>26827.14000000013</v>
      </c>
      <c r="N169" s="1145">
        <f t="shared" si="72"/>
        <v>0</v>
      </c>
      <c r="O169" s="1145">
        <f t="shared" si="73"/>
        <v>-20285.727780822017</v>
      </c>
      <c r="P169" s="1145">
        <f t="shared" si="68"/>
        <v>0</v>
      </c>
      <c r="Q169" s="1145">
        <f t="shared" si="74"/>
        <v>0</v>
      </c>
    </row>
    <row r="170" spans="1:17">
      <c r="A170" s="1108">
        <f t="shared" si="65"/>
        <v>144</v>
      </c>
      <c r="B170" s="1117" t="s">
        <v>49</v>
      </c>
      <c r="C170" s="1139">
        <v>30</v>
      </c>
      <c r="D170" s="1140">
        <f t="shared" si="66"/>
        <v>246</v>
      </c>
      <c r="E170" s="1140">
        <f t="shared" si="75"/>
        <v>365</v>
      </c>
      <c r="F170" s="1112">
        <f t="shared" si="69"/>
        <v>0.67397260273972603</v>
      </c>
      <c r="G170" s="1138"/>
      <c r="H170" s="1143">
        <v>-26827.169999999925</v>
      </c>
      <c r="I170" s="1142">
        <f t="shared" si="70"/>
        <v>-18080.777589041045</v>
      </c>
      <c r="J170" s="1142">
        <f t="shared" si="67"/>
        <v>-3124740.0122191743</v>
      </c>
      <c r="K170" s="1125"/>
      <c r="L170" s="1146">
        <v>0</v>
      </c>
      <c r="M170" s="1145">
        <f t="shared" si="71"/>
        <v>26827.169999999925</v>
      </c>
      <c r="N170" s="1145">
        <f t="shared" si="72"/>
        <v>0</v>
      </c>
      <c r="O170" s="1145">
        <f t="shared" si="73"/>
        <v>-18080.777589041045</v>
      </c>
      <c r="P170" s="1145">
        <f t="shared" si="68"/>
        <v>0</v>
      </c>
      <c r="Q170" s="1145">
        <f t="shared" si="74"/>
        <v>0</v>
      </c>
    </row>
    <row r="171" spans="1:17">
      <c r="A171" s="1108">
        <f t="shared" si="65"/>
        <v>145</v>
      </c>
      <c r="B171" s="1117" t="s">
        <v>21</v>
      </c>
      <c r="C171" s="1139">
        <v>31</v>
      </c>
      <c r="D171" s="1140">
        <f t="shared" si="66"/>
        <v>215</v>
      </c>
      <c r="E171" s="1140">
        <f t="shared" si="75"/>
        <v>365</v>
      </c>
      <c r="F171" s="1112">
        <f t="shared" si="69"/>
        <v>0.58904109589041098</v>
      </c>
      <c r="G171" s="1138"/>
      <c r="H171" s="1143">
        <v>-26827.160000000149</v>
      </c>
      <c r="I171" s="1142">
        <f t="shared" si="70"/>
        <v>-15802.299726027486</v>
      </c>
      <c r="J171" s="1142">
        <f t="shared" si="67"/>
        <v>-3140542.3119452018</v>
      </c>
      <c r="K171" s="1125"/>
      <c r="L171" s="1146">
        <v>0</v>
      </c>
      <c r="M171" s="1145">
        <f t="shared" si="71"/>
        <v>26827.160000000149</v>
      </c>
      <c r="N171" s="1145">
        <f t="shared" si="72"/>
        <v>0</v>
      </c>
      <c r="O171" s="1145">
        <f t="shared" si="73"/>
        <v>-15802.299726027486</v>
      </c>
      <c r="P171" s="1145">
        <f t="shared" si="68"/>
        <v>0</v>
      </c>
      <c r="Q171" s="1145">
        <f t="shared" si="74"/>
        <v>0</v>
      </c>
    </row>
    <row r="172" spans="1:17">
      <c r="A172" s="1108">
        <f t="shared" si="65"/>
        <v>146</v>
      </c>
      <c r="B172" s="1117" t="s">
        <v>50</v>
      </c>
      <c r="C172" s="1139">
        <v>30</v>
      </c>
      <c r="D172" s="1140">
        <f t="shared" si="66"/>
        <v>185</v>
      </c>
      <c r="E172" s="1140">
        <f t="shared" si="75"/>
        <v>365</v>
      </c>
      <c r="F172" s="1112">
        <f t="shared" si="69"/>
        <v>0.50684931506849318</v>
      </c>
      <c r="G172" s="1138"/>
      <c r="H172" s="1143">
        <v>-26827.169999999925</v>
      </c>
      <c r="I172" s="1142">
        <f t="shared" si="70"/>
        <v>-13597.332739725991</v>
      </c>
      <c r="J172" s="1142">
        <f t="shared" si="67"/>
        <v>-3154139.644684928</v>
      </c>
      <c r="K172" s="1125"/>
      <c r="L172" s="1146">
        <v>0</v>
      </c>
      <c r="M172" s="1145">
        <f t="shared" si="71"/>
        <v>26827.169999999925</v>
      </c>
      <c r="N172" s="1145">
        <f t="shared" si="72"/>
        <v>0</v>
      </c>
      <c r="O172" s="1145">
        <f t="shared" si="73"/>
        <v>-13597.332739725991</v>
      </c>
      <c r="P172" s="1145">
        <f t="shared" si="68"/>
        <v>0</v>
      </c>
      <c r="Q172" s="1145">
        <f t="shared" si="74"/>
        <v>0</v>
      </c>
    </row>
    <row r="173" spans="1:17">
      <c r="A173" s="1108">
        <f t="shared" si="65"/>
        <v>147</v>
      </c>
      <c r="B173" s="1117" t="s">
        <v>51</v>
      </c>
      <c r="C173" s="1139">
        <v>31</v>
      </c>
      <c r="D173" s="1140">
        <f t="shared" si="66"/>
        <v>154</v>
      </c>
      <c r="E173" s="1140">
        <f t="shared" si="75"/>
        <v>365</v>
      </c>
      <c r="F173" s="1112">
        <f t="shared" si="69"/>
        <v>0.42191780821917807</v>
      </c>
      <c r="G173" s="1138"/>
      <c r="H173" s="1143">
        <v>-26827.14000000013</v>
      </c>
      <c r="I173" s="1142">
        <f t="shared" si="70"/>
        <v>-11318.848109589097</v>
      </c>
      <c r="J173" s="1142">
        <f t="shared" si="67"/>
        <v>-3165458.492794517</v>
      </c>
      <c r="K173" s="1125"/>
      <c r="L173" s="1146">
        <v>0</v>
      </c>
      <c r="M173" s="1145">
        <f t="shared" si="71"/>
        <v>26827.14000000013</v>
      </c>
      <c r="N173" s="1145">
        <f t="shared" si="72"/>
        <v>0</v>
      </c>
      <c r="O173" s="1145">
        <f t="shared" si="73"/>
        <v>-11318.848109589097</v>
      </c>
      <c r="P173" s="1145">
        <f t="shared" si="68"/>
        <v>0</v>
      </c>
      <c r="Q173" s="1145">
        <f t="shared" si="74"/>
        <v>0</v>
      </c>
    </row>
    <row r="174" spans="1:17">
      <c r="A174" s="1108">
        <f t="shared" si="65"/>
        <v>148</v>
      </c>
      <c r="B174" s="1117" t="s">
        <v>52</v>
      </c>
      <c r="C174" s="1139">
        <v>31</v>
      </c>
      <c r="D174" s="1140">
        <f t="shared" si="66"/>
        <v>123</v>
      </c>
      <c r="E174" s="1140">
        <f t="shared" si="75"/>
        <v>365</v>
      </c>
      <c r="F174" s="1112">
        <f t="shared" si="69"/>
        <v>0.33698630136986302</v>
      </c>
      <c r="G174" s="1138"/>
      <c r="H174" s="1143">
        <v>-26827.149999999907</v>
      </c>
      <c r="I174" s="1142">
        <f t="shared" si="70"/>
        <v>-9040.3820547944888</v>
      </c>
      <c r="J174" s="1142">
        <f t="shared" si="67"/>
        <v>-3174498.8748493115</v>
      </c>
      <c r="K174" s="1125"/>
      <c r="L174" s="1146">
        <v>0</v>
      </c>
      <c r="M174" s="1145">
        <f t="shared" si="71"/>
        <v>26827.149999999907</v>
      </c>
      <c r="N174" s="1145">
        <f t="shared" si="72"/>
        <v>0</v>
      </c>
      <c r="O174" s="1145">
        <f t="shared" si="73"/>
        <v>-9040.3820547944888</v>
      </c>
      <c r="P174" s="1145">
        <f t="shared" si="68"/>
        <v>0</v>
      </c>
      <c r="Q174" s="1145">
        <f t="shared" si="74"/>
        <v>0</v>
      </c>
    </row>
    <row r="175" spans="1:17">
      <c r="A175" s="1108">
        <f t="shared" si="65"/>
        <v>149</v>
      </c>
      <c r="B175" s="1117" t="s">
        <v>53</v>
      </c>
      <c r="C175" s="1139">
        <v>30</v>
      </c>
      <c r="D175" s="1140">
        <f t="shared" si="66"/>
        <v>93</v>
      </c>
      <c r="E175" s="1140">
        <f t="shared" si="75"/>
        <v>365</v>
      </c>
      <c r="F175" s="1112">
        <f t="shared" si="69"/>
        <v>0.25479452054794521</v>
      </c>
      <c r="G175" s="1138"/>
      <c r="H175" s="1143">
        <v>-26827.160000000149</v>
      </c>
      <c r="I175" s="1142">
        <f t="shared" si="70"/>
        <v>-6835.4133698630521</v>
      </c>
      <c r="J175" s="1142">
        <f t="shared" si="67"/>
        <v>-3181334.2882191744</v>
      </c>
      <c r="K175" s="1125"/>
      <c r="L175" s="1146">
        <v>0</v>
      </c>
      <c r="M175" s="1145">
        <f t="shared" si="71"/>
        <v>26827.160000000149</v>
      </c>
      <c r="N175" s="1145">
        <f t="shared" si="72"/>
        <v>0</v>
      </c>
      <c r="O175" s="1145">
        <f t="shared" si="73"/>
        <v>-6835.4133698630521</v>
      </c>
      <c r="P175" s="1145">
        <f t="shared" si="68"/>
        <v>0</v>
      </c>
      <c r="Q175" s="1145">
        <f t="shared" si="74"/>
        <v>0</v>
      </c>
    </row>
    <row r="176" spans="1:17">
      <c r="A176" s="1108">
        <f t="shared" si="65"/>
        <v>150</v>
      </c>
      <c r="B176" s="1117" t="s">
        <v>54</v>
      </c>
      <c r="C176" s="1139">
        <v>31</v>
      </c>
      <c r="D176" s="1140">
        <f t="shared" si="66"/>
        <v>62</v>
      </c>
      <c r="E176" s="1140">
        <f t="shared" si="75"/>
        <v>365</v>
      </c>
      <c r="F176" s="1112">
        <f t="shared" si="69"/>
        <v>0.16986301369863013</v>
      </c>
      <c r="G176" s="1138"/>
      <c r="H176" s="1143">
        <v>-26827.129999999888</v>
      </c>
      <c r="I176" s="1142">
        <f t="shared" si="70"/>
        <v>-4556.937150684912</v>
      </c>
      <c r="J176" s="1142">
        <f t="shared" si="67"/>
        <v>-3185891.2253698595</v>
      </c>
      <c r="K176" s="1125"/>
      <c r="L176" s="1146">
        <v>0</v>
      </c>
      <c r="M176" s="1145">
        <f t="shared" si="71"/>
        <v>26827.129999999888</v>
      </c>
      <c r="N176" s="1145">
        <f t="shared" si="72"/>
        <v>0</v>
      </c>
      <c r="O176" s="1145">
        <f t="shared" si="73"/>
        <v>-4556.937150684912</v>
      </c>
      <c r="P176" s="1145">
        <f t="shared" si="68"/>
        <v>0</v>
      </c>
      <c r="Q176" s="1145">
        <f t="shared" si="74"/>
        <v>0</v>
      </c>
    </row>
    <row r="177" spans="1:17">
      <c r="A177" s="1108">
        <f t="shared" si="65"/>
        <v>151</v>
      </c>
      <c r="B177" s="1117" t="s">
        <v>55</v>
      </c>
      <c r="C177" s="1139">
        <v>30</v>
      </c>
      <c r="D177" s="1140">
        <f t="shared" si="66"/>
        <v>32</v>
      </c>
      <c r="E177" s="1140">
        <f t="shared" si="75"/>
        <v>365</v>
      </c>
      <c r="F177" s="1112">
        <f t="shared" si="69"/>
        <v>8.7671232876712329E-2</v>
      </c>
      <c r="G177" s="1138"/>
      <c r="H177" s="1143">
        <v>-26827.160000000149</v>
      </c>
      <c r="I177" s="1142">
        <f t="shared" si="70"/>
        <v>-2351.9701917808352</v>
      </c>
      <c r="J177" s="1142">
        <f t="shared" si="67"/>
        <v>-3188243.1955616404</v>
      </c>
      <c r="K177" s="1125"/>
      <c r="L177" s="1146">
        <v>0</v>
      </c>
      <c r="M177" s="1145">
        <f t="shared" si="71"/>
        <v>26827.160000000149</v>
      </c>
      <c r="N177" s="1145">
        <f t="shared" si="72"/>
        <v>0</v>
      </c>
      <c r="O177" s="1145">
        <f t="shared" si="73"/>
        <v>-2351.9701917808352</v>
      </c>
      <c r="P177" s="1145">
        <f t="shared" si="68"/>
        <v>0</v>
      </c>
      <c r="Q177" s="1145">
        <f t="shared" si="74"/>
        <v>0</v>
      </c>
    </row>
    <row r="178" spans="1:17">
      <c r="A178" s="1108">
        <f t="shared" si="65"/>
        <v>152</v>
      </c>
      <c r="B178" s="1117" t="s">
        <v>1165</v>
      </c>
      <c r="C178" s="1139">
        <v>31</v>
      </c>
      <c r="D178" s="1140">
        <f>1</f>
        <v>1</v>
      </c>
      <c r="E178" s="1140">
        <f t="shared" si="75"/>
        <v>365</v>
      </c>
      <c r="F178" s="1112">
        <f t="shared" si="69"/>
        <v>2.7397260273972603E-3</v>
      </c>
      <c r="G178" s="1138"/>
      <c r="H178" s="1143">
        <v>-26827.169999999925</v>
      </c>
      <c r="I178" s="1142">
        <f t="shared" si="70"/>
        <v>-73.499095890410757</v>
      </c>
      <c r="J178" s="1142">
        <f t="shared" si="67"/>
        <v>-3188316.6946575306</v>
      </c>
      <c r="K178" s="1125"/>
      <c r="L178" s="1146">
        <v>0</v>
      </c>
      <c r="M178" s="1145">
        <f t="shared" si="71"/>
        <v>26827.169999999925</v>
      </c>
      <c r="N178" s="1145">
        <f t="shared" si="72"/>
        <v>0</v>
      </c>
      <c r="O178" s="1145">
        <f t="shared" si="73"/>
        <v>-73.499095890410757</v>
      </c>
      <c r="P178" s="1145">
        <f t="shared" si="68"/>
        <v>0</v>
      </c>
      <c r="Q178" s="1145">
        <f t="shared" si="74"/>
        <v>0</v>
      </c>
    </row>
    <row r="179" spans="1:17">
      <c r="A179" s="1108">
        <f t="shared" si="65"/>
        <v>153</v>
      </c>
      <c r="B179" s="1118"/>
      <c r="C179" s="1118" t="s">
        <v>23</v>
      </c>
      <c r="D179" s="1118"/>
      <c r="E179" s="1118"/>
      <c r="F179" s="1119"/>
      <c r="G179" s="1138"/>
      <c r="H179" s="1147">
        <f>SUM(H167:H178)</f>
        <v>-321925.8200000003</v>
      </c>
      <c r="I179" s="1147">
        <f>SUM(I167:I178)</f>
        <v>-149129.54465753442</v>
      </c>
      <c r="J179" s="1121"/>
      <c r="K179" s="1125"/>
      <c r="L179" s="1111">
        <f>SUM(L167:L178)</f>
        <v>0</v>
      </c>
      <c r="M179" s="1111">
        <f t="shared" ref="M179:P179" si="76">SUM(M167:M178)</f>
        <v>321925.8200000003</v>
      </c>
      <c r="N179" s="1111">
        <f t="shared" si="76"/>
        <v>0</v>
      </c>
      <c r="O179" s="1111">
        <f t="shared" si="76"/>
        <v>-149129.54465753442</v>
      </c>
      <c r="P179" s="1111">
        <f t="shared" si="76"/>
        <v>0</v>
      </c>
      <c r="Q179" s="1111"/>
    </row>
    <row r="180" spans="1:17">
      <c r="B180" s="1122"/>
      <c r="C180" s="1122"/>
      <c r="D180" s="1122"/>
      <c r="E180" s="1122"/>
      <c r="F180" s="1136"/>
      <c r="G180" s="1136"/>
      <c r="H180" s="1124"/>
      <c r="I180" s="1123"/>
      <c r="J180" s="1120"/>
      <c r="K180" s="1125"/>
      <c r="L180" s="1125"/>
      <c r="M180" s="1125"/>
      <c r="N180" s="1125"/>
      <c r="O180" s="1125"/>
      <c r="P180" s="1125"/>
      <c r="Q180" s="1125"/>
    </row>
    <row r="181" spans="1:17">
      <c r="A181" s="1108">
        <f>+A179+1</f>
        <v>154</v>
      </c>
      <c r="B181" s="1107" t="s">
        <v>1166</v>
      </c>
      <c r="F181" s="1166" t="s">
        <v>1177</v>
      </c>
      <c r="G181" s="1136"/>
      <c r="H181" s="1125"/>
      <c r="I181" s="1120"/>
      <c r="J181" s="1143">
        <v>-3039187.1499999957</v>
      </c>
      <c r="K181" s="1125"/>
      <c r="L181" s="1125"/>
      <c r="M181" s="1125"/>
      <c r="N181" s="1125"/>
      <c r="O181" s="1125"/>
      <c r="P181" s="1125"/>
      <c r="Q181" s="1146">
        <v>0</v>
      </c>
    </row>
    <row r="182" spans="1:17">
      <c r="A182" s="1108">
        <f>+A181+1</f>
        <v>155</v>
      </c>
      <c r="B182" s="1107" t="s">
        <v>1168</v>
      </c>
      <c r="F182" s="1167" t="str">
        <f>"(Line "&amp;A181&amp;" less line "&amp;A183&amp;")"</f>
        <v>(Line 154 less line 156)</v>
      </c>
      <c r="G182" s="1136"/>
      <c r="H182" s="1125"/>
      <c r="I182" s="1120"/>
      <c r="J182" s="1145">
        <f>+J181-J183</f>
        <v>0</v>
      </c>
      <c r="K182" s="1125"/>
      <c r="L182" s="1125"/>
      <c r="M182" s="1125"/>
      <c r="N182" s="1125"/>
      <c r="O182" s="1125"/>
      <c r="P182" s="1125"/>
      <c r="Q182" s="1145">
        <f>+Q181-Q183</f>
        <v>0</v>
      </c>
    </row>
    <row r="183" spans="1:17">
      <c r="A183" s="1108">
        <f t="shared" ref="A183:A189" si="77">+A182+1</f>
        <v>156</v>
      </c>
      <c r="B183" s="1107" t="s">
        <v>1169</v>
      </c>
      <c r="F183" s="1167" t="str">
        <f>"(Line "&amp;A166&amp;", Col H)"</f>
        <v>(Line 140, Col H)</v>
      </c>
      <c r="G183" s="1136"/>
      <c r="H183" s="1125"/>
      <c r="I183" s="1120"/>
      <c r="J183" s="1142">
        <f>+J166</f>
        <v>-3039187.1499999957</v>
      </c>
      <c r="K183" s="1125"/>
      <c r="L183" s="1125"/>
      <c r="M183" s="1125"/>
      <c r="N183" s="1125"/>
      <c r="O183" s="1125"/>
      <c r="P183" s="1125"/>
      <c r="Q183" s="1142">
        <f>+Q166</f>
        <v>0</v>
      </c>
    </row>
    <row r="184" spans="1:17">
      <c r="A184" s="1108">
        <f t="shared" si="77"/>
        <v>157</v>
      </c>
      <c r="B184" s="1107" t="s">
        <v>1170</v>
      </c>
      <c r="F184" s="1166" t="s">
        <v>1178</v>
      </c>
      <c r="G184" s="1136"/>
      <c r="H184" s="1125"/>
      <c r="I184" s="1120"/>
      <c r="J184" s="1143">
        <v>-3188316.6946575306</v>
      </c>
      <c r="K184" s="1125"/>
      <c r="L184" s="1125"/>
      <c r="M184" s="1125"/>
      <c r="N184" s="1125"/>
      <c r="O184" s="1125"/>
      <c r="P184" s="1125"/>
      <c r="Q184" s="1146">
        <v>0</v>
      </c>
    </row>
    <row r="185" spans="1:17">
      <c r="A185" s="1108">
        <f t="shared" si="77"/>
        <v>158</v>
      </c>
      <c r="B185" s="1107" t="str">
        <f>+B182</f>
        <v>Less non Prorated Items</v>
      </c>
      <c r="F185" s="1167" t="str">
        <f>"(Line "&amp;A184&amp;" less line "&amp;A186&amp;")"</f>
        <v>(Line 157 less line 159)</v>
      </c>
      <c r="G185" s="1136"/>
      <c r="H185" s="1125"/>
      <c r="I185" s="1120"/>
      <c r="J185" s="1145">
        <f>+J184-J186</f>
        <v>0</v>
      </c>
      <c r="K185" s="1125"/>
      <c r="L185" s="1125"/>
      <c r="M185" s="1125"/>
      <c r="N185" s="1125"/>
      <c r="O185" s="1125"/>
      <c r="P185" s="1125"/>
      <c r="Q185" s="1145">
        <f>+Q184-Q186</f>
        <v>0</v>
      </c>
    </row>
    <row r="186" spans="1:17">
      <c r="A186" s="1108">
        <f t="shared" si="77"/>
        <v>159</v>
      </c>
      <c r="B186" s="1107" t="s">
        <v>1171</v>
      </c>
      <c r="F186" s="1167" t="str">
        <f>"(Line "&amp;A178&amp;", Col H)"</f>
        <v>(Line 152, Col H)</v>
      </c>
      <c r="G186" s="1136"/>
      <c r="H186" s="1125"/>
      <c r="I186" s="1120"/>
      <c r="J186" s="1142">
        <f>+J178</f>
        <v>-3188316.6946575306</v>
      </c>
      <c r="K186" s="1125"/>
      <c r="L186" s="1125"/>
      <c r="M186" s="1125"/>
      <c r="N186" s="1125"/>
      <c r="O186" s="1125"/>
      <c r="P186" s="1125"/>
      <c r="Q186" s="1142">
        <f>+Q178</f>
        <v>0</v>
      </c>
    </row>
    <row r="187" spans="1:17">
      <c r="A187" s="1108">
        <f t="shared" si="77"/>
        <v>160</v>
      </c>
      <c r="B187" s="1107" t="s">
        <v>1172</v>
      </c>
      <c r="F187" s="1167" t="str">
        <f>"([Sum Lines "&amp;A166&amp;" to "&amp;A178&amp;"] /13)+([Lines "&amp;A182&amp;" +"&amp;A185&amp;")/2])"</f>
        <v>([Sum Lines 140 to 152] /13)+([Lines 155 +158)/2])</v>
      </c>
      <c r="G187" s="1136"/>
      <c r="H187" s="1125"/>
      <c r="I187" s="1127"/>
      <c r="J187" s="1148">
        <f>(J166+J167+J168+J169+J170+J171+J172+J173+J174+J175+J176+J177+J178)/13+(J182+J185)/2</f>
        <v>-3138399.5333087421</v>
      </c>
      <c r="K187" s="1125"/>
      <c r="L187" s="1125"/>
      <c r="M187" s="1125"/>
      <c r="N187" s="1125"/>
      <c r="O187" s="1125"/>
      <c r="P187" s="1125"/>
      <c r="Q187" s="1148">
        <f>(Q166+Q167+Q168+Q169+Q170+Q171+Q172+Q173+Q174+Q175+Q176+Q177+Q178)/13+(Q182+Q185)/2</f>
        <v>0</v>
      </c>
    </row>
    <row r="188" spans="1:17">
      <c r="A188" s="1108">
        <f t="shared" si="77"/>
        <v>161</v>
      </c>
      <c r="B188" s="1107" t="s">
        <v>1173</v>
      </c>
      <c r="F188" s="1167" t="s">
        <v>1174</v>
      </c>
      <c r="G188" s="1136"/>
      <c r="H188" s="1125"/>
      <c r="I188" s="1127"/>
      <c r="J188" s="1143">
        <v>0</v>
      </c>
      <c r="K188" s="1125"/>
      <c r="L188" s="1125"/>
      <c r="M188" s="1125"/>
      <c r="N188" s="1125"/>
      <c r="O188" s="1125"/>
      <c r="P188" s="1125"/>
      <c r="Q188" s="1146">
        <v>0</v>
      </c>
    </row>
    <row r="189" spans="1:17">
      <c r="A189" s="1108">
        <f t="shared" si="77"/>
        <v>162</v>
      </c>
      <c r="B189" s="1107" t="s">
        <v>1175</v>
      </c>
      <c r="F189" s="1167" t="str">
        <f>"(Line "&amp;A187&amp;" less line "&amp;A188&amp;")"</f>
        <v>(Line 160 less line 161)</v>
      </c>
      <c r="H189" s="1125"/>
      <c r="I189" s="1125"/>
      <c r="J189" s="1128">
        <f>+J187-J188</f>
        <v>-3138399.5333087421</v>
      </c>
      <c r="K189" s="1125"/>
      <c r="L189" s="1125"/>
      <c r="M189" s="1125"/>
      <c r="N189" s="1125"/>
      <c r="O189" s="1125"/>
      <c r="P189" s="1125"/>
      <c r="Q189" s="1128">
        <f>+Q187-Q188</f>
        <v>0</v>
      </c>
    </row>
    <row r="190" spans="1:17">
      <c r="A190" s="1129"/>
      <c r="B190" s="1130"/>
      <c r="C190" s="1131"/>
      <c r="D190" s="1131"/>
      <c r="E190" s="1131"/>
      <c r="F190" s="1131"/>
      <c r="G190" s="1131"/>
      <c r="H190" s="1131"/>
      <c r="I190" s="1131"/>
      <c r="J190" s="1131"/>
    </row>
    <row r="191" spans="1:17">
      <c r="A191" s="1129"/>
      <c r="B191" s="1130"/>
      <c r="C191" s="1131"/>
      <c r="D191" s="1131"/>
      <c r="E191" s="1131"/>
      <c r="F191" s="1131"/>
      <c r="G191" s="1131"/>
      <c r="H191" s="1131"/>
      <c r="I191" s="1131"/>
      <c r="J191" s="1131"/>
    </row>
    <row r="192" spans="1:17">
      <c r="A192" s="1108">
        <f>+A189+1</f>
        <v>163</v>
      </c>
      <c r="B192" s="1106" t="s">
        <v>1188</v>
      </c>
      <c r="H192" s="1137"/>
      <c r="I192" s="1137"/>
      <c r="J192" s="1137"/>
      <c r="L192" s="1132"/>
      <c r="M192" s="1133"/>
      <c r="N192" s="1133"/>
      <c r="O192" s="1133"/>
      <c r="P192" s="1133"/>
      <c r="Q192" s="1133"/>
    </row>
    <row r="193" spans="1:17">
      <c r="A193" s="1108">
        <f>+A192+1</f>
        <v>164</v>
      </c>
      <c r="B193" s="1205" t="s">
        <v>1146</v>
      </c>
      <c r="C193" s="1206"/>
      <c r="D193" s="1206"/>
      <c r="E193" s="1206"/>
      <c r="F193" s="1207"/>
      <c r="G193" s="1105"/>
      <c r="H193" s="1208" t="s">
        <v>1147</v>
      </c>
      <c r="I193" s="1209"/>
      <c r="J193" s="1210"/>
      <c r="L193" s="1208" t="s">
        <v>1148</v>
      </c>
      <c r="M193" s="1209"/>
      <c r="N193" s="1209"/>
      <c r="O193" s="1209"/>
      <c r="P193" s="1209"/>
      <c r="Q193" s="1209"/>
    </row>
    <row r="194" spans="1:17">
      <c r="B194" s="1113" t="s">
        <v>247</v>
      </c>
      <c r="C194" s="1113" t="s">
        <v>248</v>
      </c>
      <c r="D194" s="1113" t="s">
        <v>570</v>
      </c>
      <c r="E194" s="1113" t="s">
        <v>572</v>
      </c>
      <c r="F194" s="1113" t="s">
        <v>574</v>
      </c>
      <c r="G194" s="1105"/>
      <c r="H194" s="1113" t="s">
        <v>575</v>
      </c>
      <c r="I194" s="1113" t="s">
        <v>576</v>
      </c>
      <c r="J194" s="1113" t="s">
        <v>578</v>
      </c>
      <c r="L194" s="1113" t="s">
        <v>579</v>
      </c>
      <c r="M194" s="1113" t="s">
        <v>580</v>
      </c>
      <c r="N194" s="1113" t="s">
        <v>581</v>
      </c>
      <c r="O194" s="1113" t="s">
        <v>588</v>
      </c>
      <c r="P194" s="1113" t="s">
        <v>589</v>
      </c>
      <c r="Q194" s="1113" t="s">
        <v>590</v>
      </c>
    </row>
    <row r="195" spans="1:17" s="1167" customFormat="1" ht="94.5">
      <c r="A195" s="1170">
        <f>+A193+1</f>
        <v>165</v>
      </c>
      <c r="B195" s="1171" t="s">
        <v>1149</v>
      </c>
      <c r="C195" s="1171" t="s">
        <v>1150</v>
      </c>
      <c r="D195" s="1171" t="s">
        <v>1151</v>
      </c>
      <c r="E195" s="1171" t="s">
        <v>1152</v>
      </c>
      <c r="F195" s="1171" t="s">
        <v>1180</v>
      </c>
      <c r="G195" s="1172"/>
      <c r="H195" s="1171" t="s">
        <v>1154</v>
      </c>
      <c r="I195" s="1171" t="s">
        <v>1155</v>
      </c>
      <c r="J195" s="1171" t="s">
        <v>1156</v>
      </c>
      <c r="K195" s="1172"/>
      <c r="L195" s="1171" t="s">
        <v>1157</v>
      </c>
      <c r="M195" s="1171" t="s">
        <v>1158</v>
      </c>
      <c r="N195" s="1171" t="s">
        <v>1159</v>
      </c>
      <c r="O195" s="1171" t="s">
        <v>1160</v>
      </c>
      <c r="P195" s="1171" t="s">
        <v>1161</v>
      </c>
      <c r="Q195" s="1171" t="s">
        <v>1162</v>
      </c>
    </row>
    <row r="196" spans="1:17">
      <c r="A196" s="1108">
        <f t="shared" ref="A196:A210" si="78">+A195+1</f>
        <v>166</v>
      </c>
      <c r="C196" s="1115"/>
      <c r="D196" s="1115"/>
      <c r="E196" s="1115"/>
      <c r="F196" s="1115"/>
      <c r="G196" s="1115"/>
      <c r="H196" s="1115"/>
      <c r="I196" s="1115"/>
      <c r="J196" s="1115"/>
    </row>
    <row r="197" spans="1:17">
      <c r="A197" s="1108">
        <f t="shared" si="78"/>
        <v>167</v>
      </c>
      <c r="B197" s="1116" t="s">
        <v>1163</v>
      </c>
      <c r="C197" s="1117"/>
      <c r="D197" s="1138"/>
      <c r="E197" s="1138"/>
      <c r="F197" s="1138"/>
      <c r="G197" s="1138"/>
      <c r="H197" s="1142"/>
      <c r="I197" s="1142"/>
      <c r="J197" s="1143">
        <v>-408854296.24660468</v>
      </c>
      <c r="K197" s="1144"/>
      <c r="L197" s="1142"/>
      <c r="M197" s="1145"/>
      <c r="N197" s="1145"/>
      <c r="O197" s="1145"/>
      <c r="P197" s="1145"/>
      <c r="Q197" s="1146">
        <v>0</v>
      </c>
    </row>
    <row r="198" spans="1:17">
      <c r="A198" s="1108">
        <f t="shared" si="78"/>
        <v>168</v>
      </c>
      <c r="B198" s="1117" t="s">
        <v>1164</v>
      </c>
      <c r="C198" s="1139">
        <v>31</v>
      </c>
      <c r="D198" s="1140">
        <f t="shared" ref="D198:D208" si="79">(D199+C199)</f>
        <v>335</v>
      </c>
      <c r="E198" s="1140">
        <f>SUM(C198:C209)</f>
        <v>365</v>
      </c>
      <c r="F198" s="1112">
        <f>D198/E198</f>
        <v>0.9178082191780822</v>
      </c>
      <c r="G198" s="1138"/>
      <c r="H198" s="1143">
        <v>-4415371.5062065721</v>
      </c>
      <c r="I198" s="1142">
        <f>+H198*F198</f>
        <v>-4052464.2591211004</v>
      </c>
      <c r="J198" s="1142">
        <f t="shared" ref="J198:J209" si="80">+I198+J197</f>
        <v>-412906760.5057258</v>
      </c>
      <c r="K198" s="1125"/>
      <c r="L198" s="1146">
        <v>0</v>
      </c>
      <c r="M198" s="1145">
        <f>L198-H198</f>
        <v>4415371.5062065721</v>
      </c>
      <c r="N198" s="1145">
        <f>IF(M198&lt;=0,+M198,0)</f>
        <v>0</v>
      </c>
      <c r="O198" s="1145">
        <f>IF(N198&lt;0,0,IF(L198&gt;0,0,(-(M198)*(D198/E198))))</f>
        <v>-4052464.2591211004</v>
      </c>
      <c r="P198" s="1145">
        <f t="shared" ref="P198:P209" si="81">IF(L198&gt;0,L198,0)</f>
        <v>0</v>
      </c>
      <c r="Q198" s="1145">
        <f>IF(L198&gt;0,Q197+P198,Q197+I198+N198-O198)</f>
        <v>0</v>
      </c>
    </row>
    <row r="199" spans="1:17">
      <c r="A199" s="1108">
        <f t="shared" si="78"/>
        <v>169</v>
      </c>
      <c r="B199" s="1117" t="s">
        <v>47</v>
      </c>
      <c r="C199" s="1141">
        <v>28</v>
      </c>
      <c r="D199" s="1140">
        <f t="shared" si="79"/>
        <v>307</v>
      </c>
      <c r="E199" s="1140">
        <f>E198</f>
        <v>365</v>
      </c>
      <c r="F199" s="1112">
        <f t="shared" ref="F199:F209" si="82">D199/E199</f>
        <v>0.84109589041095889</v>
      </c>
      <c r="G199" s="1138"/>
      <c r="H199" s="1143">
        <v>-4415371.3609386086</v>
      </c>
      <c r="I199" s="1142">
        <f t="shared" ref="I199:I209" si="83">+H199*F199</f>
        <v>-3713750.7063237065</v>
      </c>
      <c r="J199" s="1142">
        <f t="shared" si="80"/>
        <v>-416620511.21204948</v>
      </c>
      <c r="K199" s="1125"/>
      <c r="L199" s="1146">
        <v>0</v>
      </c>
      <c r="M199" s="1145">
        <f t="shared" ref="M199:M209" si="84">L199-H199</f>
        <v>4415371.3609386086</v>
      </c>
      <c r="N199" s="1145">
        <f t="shared" ref="N199:N209" si="85">IF(M199&lt;=0,+M199,0)</f>
        <v>0</v>
      </c>
      <c r="O199" s="1145">
        <f t="shared" ref="O199:O209" si="86">IF(N199&lt;0,0,IF(L199&gt;0,0,(-(M199)*(D199/E199))))</f>
        <v>-3713750.7063237065</v>
      </c>
      <c r="P199" s="1145">
        <f t="shared" si="81"/>
        <v>0</v>
      </c>
      <c r="Q199" s="1145">
        <f t="shared" ref="Q199:Q209" si="87">IF(L199&gt;0,Q198+P199,Q198+I199+N199-O199)</f>
        <v>0</v>
      </c>
    </row>
    <row r="200" spans="1:17">
      <c r="A200" s="1108">
        <f t="shared" si="78"/>
        <v>170</v>
      </c>
      <c r="B200" s="1117" t="s">
        <v>48</v>
      </c>
      <c r="C200" s="1139">
        <v>31</v>
      </c>
      <c r="D200" s="1140">
        <f t="shared" si="79"/>
        <v>276</v>
      </c>
      <c r="E200" s="1140">
        <f t="shared" ref="E200:E209" si="88">E199</f>
        <v>365</v>
      </c>
      <c r="F200" s="1112">
        <f t="shared" si="82"/>
        <v>0.75616438356164384</v>
      </c>
      <c r="G200" s="1138"/>
      <c r="H200" s="1143">
        <v>-4415385.0905337334</v>
      </c>
      <c r="I200" s="1142">
        <f t="shared" si="83"/>
        <v>-3338756.9451707136</v>
      </c>
      <c r="J200" s="1142">
        <f t="shared" si="80"/>
        <v>-419959268.15722018</v>
      </c>
      <c r="K200" s="1125"/>
      <c r="L200" s="1146">
        <v>0</v>
      </c>
      <c r="M200" s="1145">
        <f t="shared" si="84"/>
        <v>4415385.0905337334</v>
      </c>
      <c r="N200" s="1145">
        <f t="shared" si="85"/>
        <v>0</v>
      </c>
      <c r="O200" s="1145">
        <f t="shared" si="86"/>
        <v>-3338756.9451707136</v>
      </c>
      <c r="P200" s="1145">
        <f t="shared" si="81"/>
        <v>0</v>
      </c>
      <c r="Q200" s="1145">
        <f t="shared" si="87"/>
        <v>0</v>
      </c>
    </row>
    <row r="201" spans="1:17">
      <c r="A201" s="1108">
        <f t="shared" si="78"/>
        <v>171</v>
      </c>
      <c r="B201" s="1117" t="s">
        <v>49</v>
      </c>
      <c r="C201" s="1139">
        <v>30</v>
      </c>
      <c r="D201" s="1140">
        <f t="shared" si="79"/>
        <v>246</v>
      </c>
      <c r="E201" s="1140">
        <f t="shared" si="88"/>
        <v>365</v>
      </c>
      <c r="F201" s="1112">
        <f t="shared" si="82"/>
        <v>0.67397260273972603</v>
      </c>
      <c r="G201" s="1138"/>
      <c r="H201" s="1143">
        <v>-4415372.4770458937</v>
      </c>
      <c r="I201" s="1142">
        <f t="shared" si="83"/>
        <v>-2975840.0804199721</v>
      </c>
      <c r="J201" s="1142">
        <f t="shared" si="80"/>
        <v>-422935108.23764014</v>
      </c>
      <c r="K201" s="1125"/>
      <c r="L201" s="1146">
        <v>0</v>
      </c>
      <c r="M201" s="1145">
        <f t="shared" si="84"/>
        <v>4415372.4770458937</v>
      </c>
      <c r="N201" s="1145">
        <f t="shared" si="85"/>
        <v>0</v>
      </c>
      <c r="O201" s="1145">
        <f t="shared" si="86"/>
        <v>-2975840.0804199721</v>
      </c>
      <c r="P201" s="1145">
        <f t="shared" si="81"/>
        <v>0</v>
      </c>
      <c r="Q201" s="1145">
        <f t="shared" si="87"/>
        <v>0</v>
      </c>
    </row>
    <row r="202" spans="1:17">
      <c r="A202" s="1108">
        <f t="shared" si="78"/>
        <v>172</v>
      </c>
      <c r="B202" s="1117" t="s">
        <v>21</v>
      </c>
      <c r="C202" s="1139">
        <v>31</v>
      </c>
      <c r="D202" s="1140">
        <f t="shared" si="79"/>
        <v>215</v>
      </c>
      <c r="E202" s="1140">
        <f t="shared" si="88"/>
        <v>365</v>
      </c>
      <c r="F202" s="1112">
        <f t="shared" si="82"/>
        <v>0.58904109589041098</v>
      </c>
      <c r="G202" s="1138"/>
      <c r="H202" s="1143">
        <v>-4415354.0953518748</v>
      </c>
      <c r="I202" s="1142">
        <f t="shared" si="83"/>
        <v>-2600825.0150702824</v>
      </c>
      <c r="J202" s="1142">
        <f t="shared" si="80"/>
        <v>-425535933.2527104</v>
      </c>
      <c r="K202" s="1125"/>
      <c r="L202" s="1146">
        <v>0</v>
      </c>
      <c r="M202" s="1145">
        <f t="shared" si="84"/>
        <v>4415354.0953518748</v>
      </c>
      <c r="N202" s="1145">
        <f t="shared" si="85"/>
        <v>0</v>
      </c>
      <c r="O202" s="1145">
        <f t="shared" si="86"/>
        <v>-2600825.0150702824</v>
      </c>
      <c r="P202" s="1145">
        <f t="shared" si="81"/>
        <v>0</v>
      </c>
      <c r="Q202" s="1145">
        <f t="shared" si="87"/>
        <v>0</v>
      </c>
    </row>
    <row r="203" spans="1:17">
      <c r="A203" s="1108">
        <f t="shared" si="78"/>
        <v>173</v>
      </c>
      <c r="B203" s="1117" t="s">
        <v>50</v>
      </c>
      <c r="C203" s="1139">
        <v>30</v>
      </c>
      <c r="D203" s="1140">
        <f t="shared" si="79"/>
        <v>185</v>
      </c>
      <c r="E203" s="1140">
        <f t="shared" si="88"/>
        <v>365</v>
      </c>
      <c r="F203" s="1112">
        <f t="shared" si="82"/>
        <v>0.50684931506849318</v>
      </c>
      <c r="G203" s="1138"/>
      <c r="H203" s="1143">
        <v>-4415393.2246441841</v>
      </c>
      <c r="I203" s="1142">
        <f t="shared" si="83"/>
        <v>-2237939.0316689704</v>
      </c>
      <c r="J203" s="1142">
        <f t="shared" si="80"/>
        <v>-427773872.28437936</v>
      </c>
      <c r="K203" s="1125"/>
      <c r="L203" s="1146">
        <v>0</v>
      </c>
      <c r="M203" s="1145">
        <f t="shared" si="84"/>
        <v>4415393.2246441841</v>
      </c>
      <c r="N203" s="1145">
        <f t="shared" si="85"/>
        <v>0</v>
      </c>
      <c r="O203" s="1145">
        <f t="shared" si="86"/>
        <v>-2237939.0316689704</v>
      </c>
      <c r="P203" s="1145">
        <f t="shared" si="81"/>
        <v>0</v>
      </c>
      <c r="Q203" s="1145">
        <f t="shared" si="87"/>
        <v>0</v>
      </c>
    </row>
    <row r="204" spans="1:17">
      <c r="A204" s="1108">
        <f t="shared" si="78"/>
        <v>174</v>
      </c>
      <c r="B204" s="1117" t="s">
        <v>51</v>
      </c>
      <c r="C204" s="1139">
        <v>31</v>
      </c>
      <c r="D204" s="1140">
        <f t="shared" si="79"/>
        <v>154</v>
      </c>
      <c r="E204" s="1140">
        <f t="shared" si="88"/>
        <v>365</v>
      </c>
      <c r="F204" s="1112">
        <f t="shared" si="82"/>
        <v>0.42191780821917807</v>
      </c>
      <c r="G204" s="1138"/>
      <c r="H204" s="1143">
        <v>-4415378.8291589022</v>
      </c>
      <c r="I204" s="1142">
        <f t="shared" si="83"/>
        <v>-1862926.9580560848</v>
      </c>
      <c r="J204" s="1142">
        <f t="shared" si="80"/>
        <v>-429636799.24243546</v>
      </c>
      <c r="K204" s="1125"/>
      <c r="L204" s="1146">
        <v>0</v>
      </c>
      <c r="M204" s="1145">
        <f t="shared" si="84"/>
        <v>4415378.8291589022</v>
      </c>
      <c r="N204" s="1145">
        <f t="shared" si="85"/>
        <v>0</v>
      </c>
      <c r="O204" s="1145">
        <f t="shared" si="86"/>
        <v>-1862926.9580560848</v>
      </c>
      <c r="P204" s="1145">
        <f t="shared" si="81"/>
        <v>0</v>
      </c>
      <c r="Q204" s="1145">
        <f t="shared" si="87"/>
        <v>0</v>
      </c>
    </row>
    <row r="205" spans="1:17">
      <c r="A205" s="1108">
        <f t="shared" si="78"/>
        <v>175</v>
      </c>
      <c r="B205" s="1117" t="s">
        <v>52</v>
      </c>
      <c r="C205" s="1139">
        <v>31</v>
      </c>
      <c r="D205" s="1140">
        <f t="shared" si="79"/>
        <v>123</v>
      </c>
      <c r="E205" s="1140">
        <f t="shared" si="88"/>
        <v>365</v>
      </c>
      <c r="F205" s="1112">
        <f t="shared" si="82"/>
        <v>0.33698630136986302</v>
      </c>
      <c r="G205" s="1138"/>
      <c r="H205" s="1143">
        <v>-4415364.7703016996</v>
      </c>
      <c r="I205" s="1142">
        <f t="shared" si="83"/>
        <v>-1487917.4431427645</v>
      </c>
      <c r="J205" s="1142">
        <f t="shared" si="80"/>
        <v>-431124716.68557823</v>
      </c>
      <c r="K205" s="1125"/>
      <c r="L205" s="1146">
        <v>0</v>
      </c>
      <c r="M205" s="1145">
        <f t="shared" si="84"/>
        <v>4415364.7703016996</v>
      </c>
      <c r="N205" s="1145">
        <f t="shared" si="85"/>
        <v>0</v>
      </c>
      <c r="O205" s="1145">
        <f t="shared" si="86"/>
        <v>-1487917.4431427645</v>
      </c>
      <c r="P205" s="1145">
        <f t="shared" si="81"/>
        <v>0</v>
      </c>
      <c r="Q205" s="1145">
        <f t="shared" si="87"/>
        <v>0</v>
      </c>
    </row>
    <row r="206" spans="1:17">
      <c r="A206" s="1108">
        <f t="shared" si="78"/>
        <v>176</v>
      </c>
      <c r="B206" s="1117" t="s">
        <v>53</v>
      </c>
      <c r="C206" s="1139">
        <v>30</v>
      </c>
      <c r="D206" s="1140">
        <f t="shared" si="79"/>
        <v>93</v>
      </c>
      <c r="E206" s="1140">
        <f t="shared" si="88"/>
        <v>365</v>
      </c>
      <c r="F206" s="1112">
        <f t="shared" si="82"/>
        <v>0.25479452054794521</v>
      </c>
      <c r="G206" s="1138"/>
      <c r="H206" s="1143">
        <v>-4415377.2637901902</v>
      </c>
      <c r="I206" s="1142">
        <f t="shared" si="83"/>
        <v>-1125013.9329657198</v>
      </c>
      <c r="J206" s="1142">
        <f t="shared" si="80"/>
        <v>-432249730.61854392</v>
      </c>
      <c r="K206" s="1125"/>
      <c r="L206" s="1146">
        <v>0</v>
      </c>
      <c r="M206" s="1145">
        <f t="shared" si="84"/>
        <v>4415377.2637901902</v>
      </c>
      <c r="N206" s="1145">
        <f t="shared" si="85"/>
        <v>0</v>
      </c>
      <c r="O206" s="1145">
        <f t="shared" si="86"/>
        <v>-1125013.9329657198</v>
      </c>
      <c r="P206" s="1145">
        <f t="shared" si="81"/>
        <v>0</v>
      </c>
      <c r="Q206" s="1145">
        <f t="shared" si="87"/>
        <v>0</v>
      </c>
    </row>
    <row r="207" spans="1:17">
      <c r="A207" s="1108">
        <f t="shared" si="78"/>
        <v>177</v>
      </c>
      <c r="B207" s="1117" t="s">
        <v>54</v>
      </c>
      <c r="C207" s="1139">
        <v>31</v>
      </c>
      <c r="D207" s="1140">
        <f t="shared" si="79"/>
        <v>62</v>
      </c>
      <c r="E207" s="1140">
        <f t="shared" si="88"/>
        <v>365</v>
      </c>
      <c r="F207" s="1112">
        <f t="shared" si="82"/>
        <v>0.16986301369863013</v>
      </c>
      <c r="G207" s="1138"/>
      <c r="H207" s="1143">
        <v>-4415379.5714743137</v>
      </c>
      <c r="I207" s="1142">
        <f t="shared" si="83"/>
        <v>-750009.680633993</v>
      </c>
      <c r="J207" s="1142">
        <f t="shared" si="80"/>
        <v>-432999740.29917794</v>
      </c>
      <c r="K207" s="1125"/>
      <c r="L207" s="1146">
        <v>0</v>
      </c>
      <c r="M207" s="1145">
        <f t="shared" si="84"/>
        <v>4415379.5714743137</v>
      </c>
      <c r="N207" s="1145">
        <f t="shared" si="85"/>
        <v>0</v>
      </c>
      <c r="O207" s="1145">
        <f t="shared" si="86"/>
        <v>-750009.680633993</v>
      </c>
      <c r="P207" s="1145">
        <f t="shared" si="81"/>
        <v>0</v>
      </c>
      <c r="Q207" s="1145">
        <f t="shared" si="87"/>
        <v>0</v>
      </c>
    </row>
    <row r="208" spans="1:17">
      <c r="A208" s="1108">
        <f t="shared" si="78"/>
        <v>178</v>
      </c>
      <c r="B208" s="1117" t="s">
        <v>55</v>
      </c>
      <c r="C208" s="1139">
        <v>30</v>
      </c>
      <c r="D208" s="1140">
        <f t="shared" si="79"/>
        <v>32</v>
      </c>
      <c r="E208" s="1140">
        <f t="shared" si="88"/>
        <v>365</v>
      </c>
      <c r="F208" s="1112">
        <f t="shared" si="82"/>
        <v>8.7671232876712329E-2</v>
      </c>
      <c r="G208" s="1138"/>
      <c r="H208" s="1143">
        <v>-4415378.7480003238</v>
      </c>
      <c r="I208" s="1142">
        <f t="shared" si="83"/>
        <v>-387101.69845482294</v>
      </c>
      <c r="J208" s="1142">
        <f t="shared" si="80"/>
        <v>-433386841.99763274</v>
      </c>
      <c r="K208" s="1125"/>
      <c r="L208" s="1146">
        <v>0</v>
      </c>
      <c r="M208" s="1145">
        <f t="shared" si="84"/>
        <v>4415378.7480003238</v>
      </c>
      <c r="N208" s="1145">
        <f t="shared" si="85"/>
        <v>0</v>
      </c>
      <c r="O208" s="1145">
        <f t="shared" si="86"/>
        <v>-387101.69845482294</v>
      </c>
      <c r="P208" s="1145">
        <f t="shared" si="81"/>
        <v>0</v>
      </c>
      <c r="Q208" s="1145">
        <f t="shared" si="87"/>
        <v>0</v>
      </c>
    </row>
    <row r="209" spans="1:17">
      <c r="A209" s="1108">
        <f t="shared" si="78"/>
        <v>179</v>
      </c>
      <c r="B209" s="1117" t="s">
        <v>1165</v>
      </c>
      <c r="C209" s="1139">
        <v>31</v>
      </c>
      <c r="D209" s="1140">
        <f>1</f>
        <v>1</v>
      </c>
      <c r="E209" s="1140">
        <f t="shared" si="88"/>
        <v>365</v>
      </c>
      <c r="F209" s="1112">
        <f t="shared" si="82"/>
        <v>2.7397260273972603E-3</v>
      </c>
      <c r="G209" s="1138"/>
      <c r="H209" s="1143">
        <v>-4415371.9643110633</v>
      </c>
      <c r="I209" s="1142">
        <f t="shared" si="83"/>
        <v>-12096.909491263186</v>
      </c>
      <c r="J209" s="1142">
        <f t="shared" si="80"/>
        <v>-433398938.90712398</v>
      </c>
      <c r="K209" s="1125"/>
      <c r="L209" s="1146">
        <v>0</v>
      </c>
      <c r="M209" s="1145">
        <f t="shared" si="84"/>
        <v>4415371.9643110633</v>
      </c>
      <c r="N209" s="1145">
        <f t="shared" si="85"/>
        <v>0</v>
      </c>
      <c r="O209" s="1145">
        <f t="shared" si="86"/>
        <v>-12096.909491263186</v>
      </c>
      <c r="P209" s="1145">
        <f t="shared" si="81"/>
        <v>0</v>
      </c>
      <c r="Q209" s="1145">
        <f t="shared" si="87"/>
        <v>0</v>
      </c>
    </row>
    <row r="210" spans="1:17">
      <c r="A210" s="1108">
        <f t="shared" si="78"/>
        <v>180</v>
      </c>
      <c r="B210" s="1118"/>
      <c r="C210" s="1118" t="s">
        <v>23</v>
      </c>
      <c r="D210" s="1118"/>
      <c r="E210" s="1118"/>
      <c r="F210" s="1119"/>
      <c r="G210" s="1138"/>
      <c r="H210" s="1147">
        <f>SUM(H198:H209)</f>
        <v>-52984498.90175736</v>
      </c>
      <c r="I210" s="1147">
        <f>SUM(I198:I209)</f>
        <v>-24544642.660519391</v>
      </c>
      <c r="J210" s="1121"/>
      <c r="K210" s="1125"/>
      <c r="L210" s="1111">
        <f>SUM(L198:L209)</f>
        <v>0</v>
      </c>
      <c r="M210" s="1111">
        <f t="shared" ref="M210:P210" si="89">SUM(M198:M209)</f>
        <v>52984498.90175736</v>
      </c>
      <c r="N210" s="1111">
        <f t="shared" si="89"/>
        <v>0</v>
      </c>
      <c r="O210" s="1111">
        <f t="shared" si="89"/>
        <v>-24544642.660519391</v>
      </c>
      <c r="P210" s="1111">
        <f t="shared" si="89"/>
        <v>0</v>
      </c>
      <c r="Q210" s="1111"/>
    </row>
    <row r="211" spans="1:17">
      <c r="B211" s="1122"/>
      <c r="C211" s="1122"/>
      <c r="D211" s="1122"/>
      <c r="E211" s="1122"/>
      <c r="F211" s="1136"/>
      <c r="G211" s="1136"/>
      <c r="H211" s="1124"/>
      <c r="I211" s="1123"/>
      <c r="J211" s="1120"/>
      <c r="K211" s="1125"/>
      <c r="L211" s="1125"/>
      <c r="M211" s="1125"/>
      <c r="N211" s="1125"/>
      <c r="O211" s="1125"/>
      <c r="P211" s="1125"/>
      <c r="Q211" s="1125"/>
    </row>
    <row r="212" spans="1:17">
      <c r="A212" s="1108">
        <f>+A210+1</f>
        <v>181</v>
      </c>
      <c r="B212" s="1107" t="s">
        <v>1166</v>
      </c>
      <c r="F212" s="1166" t="s">
        <v>1181</v>
      </c>
      <c r="G212" s="1136"/>
      <c r="H212" s="1125"/>
      <c r="I212" s="1120"/>
      <c r="J212" s="1143">
        <v>-408854296.24660468</v>
      </c>
      <c r="K212" s="1125"/>
      <c r="L212" s="1125"/>
      <c r="M212" s="1125"/>
      <c r="N212" s="1125"/>
      <c r="O212" s="1125"/>
      <c r="P212" s="1125"/>
      <c r="Q212" s="1146">
        <v>0</v>
      </c>
    </row>
    <row r="213" spans="1:17">
      <c r="A213" s="1108">
        <f>+A212+1</f>
        <v>182</v>
      </c>
      <c r="B213" s="1107" t="s">
        <v>1168</v>
      </c>
      <c r="F213" s="1167" t="str">
        <f>"(Line "&amp;A212&amp;" less line "&amp;A214&amp;")"</f>
        <v>(Line 181 less line 183)</v>
      </c>
      <c r="G213" s="1136"/>
      <c r="H213" s="1125"/>
      <c r="I213" s="1120"/>
      <c r="J213" s="1145">
        <f>+J212-J214</f>
        <v>0</v>
      </c>
      <c r="K213" s="1125"/>
      <c r="L213" s="1125"/>
      <c r="M213" s="1125"/>
      <c r="N213" s="1125"/>
      <c r="O213" s="1125"/>
      <c r="P213" s="1125"/>
      <c r="Q213" s="1145">
        <f>+Q212-Q214</f>
        <v>0</v>
      </c>
    </row>
    <row r="214" spans="1:17">
      <c r="A214" s="1108">
        <f t="shared" ref="A214:A220" si="90">+A213+1</f>
        <v>183</v>
      </c>
      <c r="B214" s="1107" t="s">
        <v>1169</v>
      </c>
      <c r="F214" s="1167" t="str">
        <f>"(Line "&amp;A197&amp;", Col H)"</f>
        <v>(Line 167, Col H)</v>
      </c>
      <c r="G214" s="1136"/>
      <c r="H214" s="1125"/>
      <c r="I214" s="1120"/>
      <c r="J214" s="1142">
        <f>+J197</f>
        <v>-408854296.24660468</v>
      </c>
      <c r="K214" s="1125"/>
      <c r="L214" s="1125"/>
      <c r="M214" s="1125"/>
      <c r="N214" s="1125"/>
      <c r="O214" s="1125"/>
      <c r="P214" s="1125"/>
      <c r="Q214" s="1142">
        <f>+Q197</f>
        <v>0</v>
      </c>
    </row>
    <row r="215" spans="1:17">
      <c r="A215" s="1108">
        <f t="shared" si="90"/>
        <v>184</v>
      </c>
      <c r="B215" s="1107" t="s">
        <v>1170</v>
      </c>
      <c r="F215" s="1166" t="s">
        <v>1182</v>
      </c>
      <c r="G215" s="1136"/>
      <c r="H215" s="1125"/>
      <c r="I215" s="1120"/>
      <c r="J215" s="1143">
        <v>-433398938.90712398</v>
      </c>
      <c r="K215" s="1125"/>
      <c r="L215" s="1125"/>
      <c r="M215" s="1125"/>
      <c r="N215" s="1125"/>
      <c r="O215" s="1125"/>
      <c r="P215" s="1125"/>
      <c r="Q215" s="1146">
        <v>0</v>
      </c>
    </row>
    <row r="216" spans="1:17">
      <c r="A216" s="1108">
        <f t="shared" si="90"/>
        <v>185</v>
      </c>
      <c r="B216" s="1107" t="str">
        <f>+B213</f>
        <v>Less non Prorated Items</v>
      </c>
      <c r="F216" s="1167" t="str">
        <f>"(Line "&amp;A215&amp;" less line "&amp;A217&amp;")"</f>
        <v>(Line 184 less line 186)</v>
      </c>
      <c r="G216" s="1136"/>
      <c r="H216" s="1125"/>
      <c r="I216" s="1120"/>
      <c r="J216" s="1145">
        <f>+J215-J217</f>
        <v>0</v>
      </c>
      <c r="K216" s="1125"/>
      <c r="L216" s="1125"/>
      <c r="M216" s="1125"/>
      <c r="N216" s="1125"/>
      <c r="O216" s="1125"/>
      <c r="P216" s="1125"/>
      <c r="Q216" s="1145">
        <f>+Q215-Q217</f>
        <v>0</v>
      </c>
    </row>
    <row r="217" spans="1:17">
      <c r="A217" s="1108">
        <f t="shared" si="90"/>
        <v>186</v>
      </c>
      <c r="B217" s="1107" t="s">
        <v>1171</v>
      </c>
      <c r="F217" s="1167" t="str">
        <f>"(Line "&amp;A209&amp;", Col H)"</f>
        <v>(Line 179, Col H)</v>
      </c>
      <c r="G217" s="1136"/>
      <c r="H217" s="1125"/>
      <c r="I217" s="1120"/>
      <c r="J217" s="1142">
        <f>+J209</f>
        <v>-433398938.90712398</v>
      </c>
      <c r="K217" s="1125"/>
      <c r="L217" s="1125"/>
      <c r="M217" s="1125"/>
      <c r="N217" s="1125"/>
      <c r="O217" s="1125"/>
      <c r="P217" s="1125"/>
      <c r="Q217" s="1142">
        <f>+Q209</f>
        <v>0</v>
      </c>
    </row>
    <row r="218" spans="1:17">
      <c r="A218" s="1108">
        <f t="shared" si="90"/>
        <v>187</v>
      </c>
      <c r="B218" s="1107" t="s">
        <v>1172</v>
      </c>
      <c r="F218" s="1167" t="str">
        <f>"([Sum Lines "&amp;A197&amp;" to "&amp;A209&amp;"] /13)+([Lines "&amp;A213&amp;" +"&amp;A216&amp;")/2])"</f>
        <v>([Sum Lines 167 to 179] /13)+([Lines 182 +185)/2])</v>
      </c>
      <c r="G218" s="1136"/>
      <c r="H218" s="1125"/>
      <c r="I218" s="1127"/>
      <c r="J218" s="1148">
        <f>(J197+J198+J199+J200+J201+J202+J203+J204+J205+J206+J207+J208+J209)/13+(J213+J216)/2</f>
        <v>-425183270.58821714</v>
      </c>
      <c r="K218" s="1125"/>
      <c r="L218" s="1125"/>
      <c r="M218" s="1125"/>
      <c r="N218" s="1125"/>
      <c r="O218" s="1125"/>
      <c r="P218" s="1125"/>
      <c r="Q218" s="1148">
        <f>(Q197+Q198+Q199+Q200+Q201+Q202+Q203+Q204+Q205+Q206+Q207+Q208+Q209)/13+(Q213+Q216)/2</f>
        <v>0</v>
      </c>
    </row>
    <row r="219" spans="1:17">
      <c r="A219" s="1108">
        <f t="shared" si="90"/>
        <v>188</v>
      </c>
      <c r="B219" s="1107" t="s">
        <v>1173</v>
      </c>
      <c r="F219" s="1167" t="s">
        <v>1174</v>
      </c>
      <c r="G219" s="1136"/>
      <c r="H219" s="1125"/>
      <c r="I219" s="1127"/>
      <c r="J219" s="1143">
        <v>0</v>
      </c>
      <c r="K219" s="1125"/>
      <c r="L219" s="1125"/>
      <c r="M219" s="1125"/>
      <c r="N219" s="1125"/>
      <c r="O219" s="1125"/>
      <c r="P219" s="1125"/>
      <c r="Q219" s="1146">
        <v>0</v>
      </c>
    </row>
    <row r="220" spans="1:17">
      <c r="A220" s="1108">
        <f t="shared" si="90"/>
        <v>189</v>
      </c>
      <c r="B220" s="1107" t="s">
        <v>1175</v>
      </c>
      <c r="F220" s="1167" t="str">
        <f>"(Line "&amp;A218&amp;" less line "&amp;A219&amp;")"</f>
        <v>(Line 187 less line 188)</v>
      </c>
      <c r="H220" s="1125"/>
      <c r="I220" s="1125"/>
      <c r="J220" s="1128">
        <f>+J218-J219</f>
        <v>-425183270.58821714</v>
      </c>
      <c r="K220" s="1125"/>
      <c r="L220" s="1125"/>
      <c r="M220" s="1125"/>
      <c r="N220" s="1125"/>
      <c r="O220" s="1125"/>
      <c r="P220" s="1125"/>
      <c r="Q220" s="1128">
        <f>+Q218-Q219</f>
        <v>0</v>
      </c>
    </row>
    <row r="223" spans="1:17">
      <c r="A223" s="1108">
        <f>+A220+1</f>
        <v>190</v>
      </c>
      <c r="B223" s="1106" t="s">
        <v>1189</v>
      </c>
      <c r="H223" s="1137"/>
      <c r="I223" s="1137"/>
      <c r="J223" s="1137"/>
    </row>
    <row r="224" spans="1:17">
      <c r="A224" s="1108">
        <f>+A223+1</f>
        <v>191</v>
      </c>
      <c r="B224" s="1205" t="s">
        <v>1146</v>
      </c>
      <c r="C224" s="1206"/>
      <c r="D224" s="1206"/>
      <c r="E224" s="1206"/>
      <c r="F224" s="1207"/>
      <c r="G224" s="1105"/>
      <c r="H224" s="1208" t="s">
        <v>1147</v>
      </c>
      <c r="I224" s="1209"/>
      <c r="J224" s="1210"/>
      <c r="L224" s="1208" t="s">
        <v>1148</v>
      </c>
      <c r="M224" s="1209"/>
      <c r="N224" s="1209"/>
      <c r="O224" s="1209"/>
      <c r="P224" s="1209"/>
      <c r="Q224" s="1209"/>
    </row>
    <row r="225" spans="1:17">
      <c r="B225" s="1113" t="s">
        <v>247</v>
      </c>
      <c r="C225" s="1113" t="s">
        <v>248</v>
      </c>
      <c r="D225" s="1113" t="s">
        <v>570</v>
      </c>
      <c r="E225" s="1113" t="s">
        <v>572</v>
      </c>
      <c r="F225" s="1113" t="s">
        <v>574</v>
      </c>
      <c r="G225" s="1105"/>
      <c r="H225" s="1113" t="s">
        <v>575</v>
      </c>
      <c r="I225" s="1113" t="s">
        <v>576</v>
      </c>
      <c r="J225" s="1113" t="s">
        <v>578</v>
      </c>
      <c r="L225" s="1113" t="s">
        <v>579</v>
      </c>
      <c r="M225" s="1113" t="s">
        <v>580</v>
      </c>
      <c r="N225" s="1113" t="s">
        <v>581</v>
      </c>
      <c r="O225" s="1113" t="s">
        <v>588</v>
      </c>
      <c r="P225" s="1113" t="s">
        <v>589</v>
      </c>
      <c r="Q225" s="1113" t="s">
        <v>590</v>
      </c>
    </row>
    <row r="226" spans="1:17" s="1167" customFormat="1" ht="94.5">
      <c r="A226" s="1170">
        <f>+A224+1</f>
        <v>192</v>
      </c>
      <c r="B226" s="1171" t="s">
        <v>1149</v>
      </c>
      <c r="C226" s="1171" t="s">
        <v>1150</v>
      </c>
      <c r="D226" s="1171" t="s">
        <v>1151</v>
      </c>
      <c r="E226" s="1171" t="s">
        <v>1152</v>
      </c>
      <c r="F226" s="1171" t="s">
        <v>1180</v>
      </c>
      <c r="G226" s="1172"/>
      <c r="H226" s="1171" t="s">
        <v>1154</v>
      </c>
      <c r="I226" s="1171" t="s">
        <v>1155</v>
      </c>
      <c r="J226" s="1171" t="s">
        <v>1156</v>
      </c>
      <c r="K226" s="1172"/>
      <c r="L226" s="1171" t="s">
        <v>1157</v>
      </c>
      <c r="M226" s="1171" t="s">
        <v>1158</v>
      </c>
      <c r="N226" s="1171" t="s">
        <v>1159</v>
      </c>
      <c r="O226" s="1171" t="s">
        <v>1160</v>
      </c>
      <c r="P226" s="1171" t="s">
        <v>1161</v>
      </c>
      <c r="Q226" s="1171" t="s">
        <v>1162</v>
      </c>
    </row>
    <row r="227" spans="1:17">
      <c r="A227" s="1108">
        <f t="shared" ref="A227:A241" si="91">+A226+1</f>
        <v>193</v>
      </c>
      <c r="C227" s="1115"/>
      <c r="D227" s="1115"/>
      <c r="E227" s="1115"/>
      <c r="F227" s="1115"/>
      <c r="G227" s="1115"/>
      <c r="H227" s="1115"/>
      <c r="I227" s="1115"/>
      <c r="J227" s="1115"/>
    </row>
    <row r="228" spans="1:17">
      <c r="A228" s="1108">
        <f t="shared" si="91"/>
        <v>194</v>
      </c>
      <c r="B228" s="1116" t="s">
        <v>1163</v>
      </c>
      <c r="C228" s="1117"/>
      <c r="D228" s="1138"/>
      <c r="E228" s="1138"/>
      <c r="F228" s="1138"/>
      <c r="G228" s="1138"/>
      <c r="H228" s="1142"/>
      <c r="I228" s="1142"/>
      <c r="J228" s="1143">
        <v>-11424762.536680719</v>
      </c>
      <c r="K228" s="1125"/>
      <c r="L228" s="1142"/>
      <c r="M228" s="1145"/>
      <c r="N228" s="1145"/>
      <c r="O228" s="1145"/>
      <c r="P228" s="1145"/>
      <c r="Q228" s="1146">
        <v>0</v>
      </c>
    </row>
    <row r="229" spans="1:17">
      <c r="A229" s="1108">
        <f t="shared" si="91"/>
        <v>195</v>
      </c>
      <c r="B229" s="1117" t="s">
        <v>1164</v>
      </c>
      <c r="C229" s="1139">
        <v>31</v>
      </c>
      <c r="D229" s="1140">
        <f t="shared" ref="D229:D239" si="92">(D230+C230)</f>
        <v>335</v>
      </c>
      <c r="E229" s="1140">
        <f>SUM(C229:C240)</f>
        <v>365</v>
      </c>
      <c r="F229" s="1112">
        <f>D229/E229</f>
        <v>0.9178082191780822</v>
      </c>
      <c r="G229" s="1138"/>
      <c r="H229" s="1143">
        <v>-74804.63119732216</v>
      </c>
      <c r="I229" s="1142">
        <f>+H229*F229</f>
        <v>-68656.305345487461</v>
      </c>
      <c r="J229" s="1142">
        <f t="shared" ref="J229:J240" si="93">+I229+J228</f>
        <v>-11493418.842026206</v>
      </c>
      <c r="K229" s="1125"/>
      <c r="L229" s="1146">
        <v>0</v>
      </c>
      <c r="M229" s="1145">
        <f>L229-H229</f>
        <v>74804.63119732216</v>
      </c>
      <c r="N229" s="1145">
        <f>IF(M229&lt;=0,+M229,0)</f>
        <v>0</v>
      </c>
      <c r="O229" s="1145">
        <f>IF(N229&lt;0,0,IF(L229&gt;0,0,(-(M229)*(D229/E229))))</f>
        <v>-68656.305345487461</v>
      </c>
      <c r="P229" s="1145">
        <f t="shared" ref="P229:P240" si="94">IF(L229&gt;0,L229,0)</f>
        <v>0</v>
      </c>
      <c r="Q229" s="1145">
        <f>IF(L229&gt;0,Q228+P229,Q228+I229+N229-O229)</f>
        <v>0</v>
      </c>
    </row>
    <row r="230" spans="1:17">
      <c r="A230" s="1108">
        <f t="shared" si="91"/>
        <v>196</v>
      </c>
      <c r="B230" s="1117" t="s">
        <v>47</v>
      </c>
      <c r="C230" s="1141">
        <v>28</v>
      </c>
      <c r="D230" s="1140">
        <f t="shared" si="92"/>
        <v>307</v>
      </c>
      <c r="E230" s="1140">
        <f>E229</f>
        <v>365</v>
      </c>
      <c r="F230" s="1112">
        <f t="shared" ref="F230:F240" si="95">D230/E230</f>
        <v>0.84109589041095889</v>
      </c>
      <c r="G230" s="1138"/>
      <c r="H230" s="1143">
        <v>-74804.69772409834</v>
      </c>
      <c r="I230" s="1142">
        <f t="shared" ref="I230:I240" si="96">+H230*F230</f>
        <v>-62917.92383917312</v>
      </c>
      <c r="J230" s="1142">
        <f t="shared" si="93"/>
        <v>-11556336.765865378</v>
      </c>
      <c r="K230" s="1125"/>
      <c r="L230" s="1146">
        <v>0</v>
      </c>
      <c r="M230" s="1145">
        <f t="shared" ref="M230:M240" si="97">L230-H230</f>
        <v>74804.69772409834</v>
      </c>
      <c r="N230" s="1145">
        <f t="shared" ref="N230:N240" si="98">IF(M230&lt;=0,+M230,0)</f>
        <v>0</v>
      </c>
      <c r="O230" s="1145">
        <f t="shared" ref="O230:O240" si="99">IF(N230&lt;0,0,IF(L230&gt;0,0,(-(M230)*(D230/E230))))</f>
        <v>-62917.92383917312</v>
      </c>
      <c r="P230" s="1145">
        <f t="shared" si="94"/>
        <v>0</v>
      </c>
      <c r="Q230" s="1145">
        <f t="shared" ref="Q230:Q240" si="100">IF(L230&gt;0,Q229+P230,Q229+I230+N230-O230)</f>
        <v>0</v>
      </c>
    </row>
    <row r="231" spans="1:17">
      <c r="A231" s="1108">
        <f t="shared" si="91"/>
        <v>197</v>
      </c>
      <c r="B231" s="1117" t="s">
        <v>48</v>
      </c>
      <c r="C231" s="1139">
        <v>31</v>
      </c>
      <c r="D231" s="1140">
        <f t="shared" si="92"/>
        <v>276</v>
      </c>
      <c r="E231" s="1140">
        <f t="shared" ref="E231:E240" si="101">E230</f>
        <v>365</v>
      </c>
      <c r="F231" s="1112">
        <f t="shared" si="95"/>
        <v>0.75616438356164384</v>
      </c>
      <c r="G231" s="1138"/>
      <c r="H231" s="1143">
        <v>-74804.829200262204</v>
      </c>
      <c r="I231" s="1142">
        <f t="shared" si="96"/>
        <v>-56564.747559650321</v>
      </c>
      <c r="J231" s="1142">
        <f t="shared" si="93"/>
        <v>-11612901.513425028</v>
      </c>
      <c r="K231" s="1125"/>
      <c r="L231" s="1146">
        <v>0</v>
      </c>
      <c r="M231" s="1145">
        <f t="shared" si="97"/>
        <v>74804.829200262204</v>
      </c>
      <c r="N231" s="1145">
        <f t="shared" si="98"/>
        <v>0</v>
      </c>
      <c r="O231" s="1145">
        <f t="shared" si="99"/>
        <v>-56564.747559650321</v>
      </c>
      <c r="P231" s="1145">
        <f t="shared" si="94"/>
        <v>0</v>
      </c>
      <c r="Q231" s="1145">
        <f t="shared" si="100"/>
        <v>0</v>
      </c>
    </row>
    <row r="232" spans="1:17">
      <c r="A232" s="1108">
        <f t="shared" si="91"/>
        <v>198</v>
      </c>
      <c r="B232" s="1117" t="s">
        <v>49</v>
      </c>
      <c r="C232" s="1139">
        <v>30</v>
      </c>
      <c r="D232" s="1140">
        <f t="shared" si="92"/>
        <v>246</v>
      </c>
      <c r="E232" s="1140">
        <f t="shared" si="101"/>
        <v>365</v>
      </c>
      <c r="F232" s="1112">
        <f t="shared" si="95"/>
        <v>0.67397260273972603</v>
      </c>
      <c r="G232" s="1138"/>
      <c r="H232" s="1143">
        <v>-74804.565828278661</v>
      </c>
      <c r="I232" s="1142">
        <f t="shared" si="96"/>
        <v>-50416.227928100139</v>
      </c>
      <c r="J232" s="1142">
        <f t="shared" si="93"/>
        <v>-11663317.741353128</v>
      </c>
      <c r="K232" s="1125"/>
      <c r="L232" s="1146">
        <v>0</v>
      </c>
      <c r="M232" s="1145">
        <f t="shared" si="97"/>
        <v>74804.565828278661</v>
      </c>
      <c r="N232" s="1145">
        <f t="shared" si="98"/>
        <v>0</v>
      </c>
      <c r="O232" s="1145">
        <f t="shared" si="99"/>
        <v>-50416.227928100139</v>
      </c>
      <c r="P232" s="1145">
        <f t="shared" si="94"/>
        <v>0</v>
      </c>
      <c r="Q232" s="1145">
        <f t="shared" si="100"/>
        <v>0</v>
      </c>
    </row>
    <row r="233" spans="1:17">
      <c r="A233" s="1108">
        <f t="shared" si="91"/>
        <v>199</v>
      </c>
      <c r="B233" s="1117" t="s">
        <v>21</v>
      </c>
      <c r="C233" s="1139">
        <v>31</v>
      </c>
      <c r="D233" s="1140">
        <f t="shared" si="92"/>
        <v>215</v>
      </c>
      <c r="E233" s="1140">
        <f t="shared" si="101"/>
        <v>365</v>
      </c>
      <c r="F233" s="1112">
        <f t="shared" si="95"/>
        <v>0.58904109589041098</v>
      </c>
      <c r="G233" s="1138"/>
      <c r="H233" s="1143">
        <v>-74804.59235505946</v>
      </c>
      <c r="I233" s="1142">
        <f t="shared" si="96"/>
        <v>-44062.979058459685</v>
      </c>
      <c r="J233" s="1142">
        <f t="shared" si="93"/>
        <v>-11707380.720411588</v>
      </c>
      <c r="K233" s="1125"/>
      <c r="L233" s="1146">
        <v>0</v>
      </c>
      <c r="M233" s="1145">
        <f t="shared" si="97"/>
        <v>74804.59235505946</v>
      </c>
      <c r="N233" s="1145">
        <f t="shared" si="98"/>
        <v>0</v>
      </c>
      <c r="O233" s="1145">
        <f t="shared" si="99"/>
        <v>-44062.979058459685</v>
      </c>
      <c r="P233" s="1145">
        <f t="shared" si="94"/>
        <v>0</v>
      </c>
      <c r="Q233" s="1145">
        <f t="shared" si="100"/>
        <v>0</v>
      </c>
    </row>
    <row r="234" spans="1:17">
      <c r="A234" s="1108">
        <f t="shared" si="91"/>
        <v>200</v>
      </c>
      <c r="B234" s="1117" t="s">
        <v>50</v>
      </c>
      <c r="C234" s="1139">
        <v>30</v>
      </c>
      <c r="D234" s="1140">
        <f t="shared" si="92"/>
        <v>185</v>
      </c>
      <c r="E234" s="1140">
        <f t="shared" si="101"/>
        <v>365</v>
      </c>
      <c r="F234" s="1112">
        <f t="shared" si="95"/>
        <v>0.50684931506849318</v>
      </c>
      <c r="G234" s="1138"/>
      <c r="H234" s="1143">
        <v>-74804.972253819928</v>
      </c>
      <c r="I234" s="1142">
        <f t="shared" si="96"/>
        <v>-37914.848950566266</v>
      </c>
      <c r="J234" s="1142">
        <f t="shared" si="93"/>
        <v>-11745295.569362154</v>
      </c>
      <c r="K234" s="1125"/>
      <c r="L234" s="1146">
        <v>0</v>
      </c>
      <c r="M234" s="1145">
        <f t="shared" si="97"/>
        <v>74804.972253819928</v>
      </c>
      <c r="N234" s="1145">
        <f t="shared" si="98"/>
        <v>0</v>
      </c>
      <c r="O234" s="1145">
        <f t="shared" si="99"/>
        <v>-37914.848950566266</v>
      </c>
      <c r="P234" s="1145">
        <f t="shared" si="94"/>
        <v>0</v>
      </c>
      <c r="Q234" s="1145">
        <f t="shared" si="100"/>
        <v>0</v>
      </c>
    </row>
    <row r="235" spans="1:17">
      <c r="A235" s="1108">
        <f t="shared" si="91"/>
        <v>201</v>
      </c>
      <c r="B235" s="1117" t="s">
        <v>51</v>
      </c>
      <c r="C235" s="1139">
        <v>31</v>
      </c>
      <c r="D235" s="1140">
        <f t="shared" si="92"/>
        <v>154</v>
      </c>
      <c r="E235" s="1140">
        <f t="shared" si="101"/>
        <v>365</v>
      </c>
      <c r="F235" s="1112">
        <f t="shared" si="95"/>
        <v>0.42191780821917807</v>
      </c>
      <c r="G235" s="1138"/>
      <c r="H235" s="1143">
        <v>-74804.612355059013</v>
      </c>
      <c r="I235" s="1142">
        <f t="shared" si="96"/>
        <v>-31561.398089531747</v>
      </c>
      <c r="J235" s="1142">
        <f t="shared" si="93"/>
        <v>-11776856.967451686</v>
      </c>
      <c r="K235" s="1125"/>
      <c r="L235" s="1146">
        <v>0</v>
      </c>
      <c r="M235" s="1145">
        <f t="shared" si="97"/>
        <v>74804.612355059013</v>
      </c>
      <c r="N235" s="1145">
        <f t="shared" si="98"/>
        <v>0</v>
      </c>
      <c r="O235" s="1145">
        <f t="shared" si="99"/>
        <v>-31561.398089531747</v>
      </c>
      <c r="P235" s="1145">
        <f t="shared" si="94"/>
        <v>0</v>
      </c>
      <c r="Q235" s="1145">
        <f t="shared" si="100"/>
        <v>0</v>
      </c>
    </row>
    <row r="236" spans="1:17">
      <c r="A236" s="1108">
        <f t="shared" si="91"/>
        <v>202</v>
      </c>
      <c r="B236" s="1117" t="s">
        <v>52</v>
      </c>
      <c r="C236" s="1139">
        <v>31</v>
      </c>
      <c r="D236" s="1140">
        <f t="shared" si="92"/>
        <v>123</v>
      </c>
      <c r="E236" s="1140">
        <f t="shared" si="101"/>
        <v>365</v>
      </c>
      <c r="F236" s="1112">
        <f t="shared" si="95"/>
        <v>0.33698630136986302</v>
      </c>
      <c r="G236" s="1138"/>
      <c r="H236" s="1143">
        <v>-74804.691935399547</v>
      </c>
      <c r="I236" s="1142">
        <f t="shared" si="96"/>
        <v>-25208.156460422313</v>
      </c>
      <c r="J236" s="1142">
        <f t="shared" si="93"/>
        <v>-11802065.123912109</v>
      </c>
      <c r="K236" s="1125"/>
      <c r="L236" s="1146">
        <v>0</v>
      </c>
      <c r="M236" s="1145">
        <f t="shared" si="97"/>
        <v>74804.691935399547</v>
      </c>
      <c r="N236" s="1145">
        <f t="shared" si="98"/>
        <v>0</v>
      </c>
      <c r="O236" s="1145">
        <f t="shared" si="99"/>
        <v>-25208.156460422313</v>
      </c>
      <c r="P236" s="1145">
        <f t="shared" si="94"/>
        <v>0</v>
      </c>
      <c r="Q236" s="1145">
        <f t="shared" si="100"/>
        <v>0</v>
      </c>
    </row>
    <row r="237" spans="1:17">
      <c r="A237" s="1108">
        <f t="shared" si="91"/>
        <v>203</v>
      </c>
      <c r="B237" s="1117" t="s">
        <v>53</v>
      </c>
      <c r="C237" s="1139">
        <v>30</v>
      </c>
      <c r="D237" s="1140">
        <f t="shared" si="92"/>
        <v>93</v>
      </c>
      <c r="E237" s="1140">
        <f t="shared" si="101"/>
        <v>365</v>
      </c>
      <c r="F237" s="1112">
        <f t="shared" si="95"/>
        <v>0.25479452054794521</v>
      </c>
      <c r="G237" s="1138"/>
      <c r="H237" s="1143">
        <v>-74804.613512801006</v>
      </c>
      <c r="I237" s="1142">
        <f t="shared" si="96"/>
        <v>-19059.805634768476</v>
      </c>
      <c r="J237" s="1142">
        <f t="shared" si="93"/>
        <v>-11821124.929546878</v>
      </c>
      <c r="K237" s="1125"/>
      <c r="L237" s="1146">
        <v>0</v>
      </c>
      <c r="M237" s="1145">
        <f t="shared" si="97"/>
        <v>74804.613512801006</v>
      </c>
      <c r="N237" s="1145">
        <f t="shared" si="98"/>
        <v>0</v>
      </c>
      <c r="O237" s="1145">
        <f t="shared" si="99"/>
        <v>-19059.805634768476</v>
      </c>
      <c r="P237" s="1145">
        <f t="shared" si="94"/>
        <v>0</v>
      </c>
      <c r="Q237" s="1145">
        <f t="shared" si="100"/>
        <v>0</v>
      </c>
    </row>
    <row r="238" spans="1:17">
      <c r="A238" s="1108">
        <f t="shared" si="91"/>
        <v>204</v>
      </c>
      <c r="B238" s="1117" t="s">
        <v>54</v>
      </c>
      <c r="C238" s="1139">
        <v>31</v>
      </c>
      <c r="D238" s="1140">
        <f t="shared" si="92"/>
        <v>62</v>
      </c>
      <c r="E238" s="1140">
        <f t="shared" si="101"/>
        <v>365</v>
      </c>
      <c r="F238" s="1112">
        <f t="shared" si="95"/>
        <v>0.16986301369863013</v>
      </c>
      <c r="G238" s="1138"/>
      <c r="H238" s="1143">
        <v>-74804.806146701798</v>
      </c>
      <c r="I238" s="1142">
        <f t="shared" si="96"/>
        <v>-12706.569811220579</v>
      </c>
      <c r="J238" s="1142">
        <f t="shared" si="93"/>
        <v>-11833831.499358099</v>
      </c>
      <c r="K238" s="1125"/>
      <c r="L238" s="1146">
        <v>0</v>
      </c>
      <c r="M238" s="1145">
        <f t="shared" si="97"/>
        <v>74804.806146701798</v>
      </c>
      <c r="N238" s="1145">
        <f t="shared" si="98"/>
        <v>0</v>
      </c>
      <c r="O238" s="1145">
        <f t="shared" si="99"/>
        <v>-12706.569811220579</v>
      </c>
      <c r="P238" s="1145">
        <f t="shared" si="94"/>
        <v>0</v>
      </c>
      <c r="Q238" s="1145">
        <f t="shared" si="100"/>
        <v>0</v>
      </c>
    </row>
    <row r="239" spans="1:17">
      <c r="A239" s="1108">
        <f t="shared" si="91"/>
        <v>205</v>
      </c>
      <c r="B239" s="1117" t="s">
        <v>55</v>
      </c>
      <c r="C239" s="1139">
        <v>30</v>
      </c>
      <c r="D239" s="1140">
        <f t="shared" si="92"/>
        <v>32</v>
      </c>
      <c r="E239" s="1140">
        <f t="shared" si="101"/>
        <v>365</v>
      </c>
      <c r="F239" s="1112">
        <f t="shared" si="95"/>
        <v>8.7671232876712329E-2</v>
      </c>
      <c r="G239" s="1138"/>
      <c r="H239" s="1143">
        <v>-74804.721935397014</v>
      </c>
      <c r="I239" s="1142">
        <f t="shared" si="96"/>
        <v>-6558.2221970759028</v>
      </c>
      <c r="J239" s="1142">
        <f t="shared" si="93"/>
        <v>-11840389.721555175</v>
      </c>
      <c r="K239" s="1125"/>
      <c r="L239" s="1146">
        <v>0</v>
      </c>
      <c r="M239" s="1145">
        <f t="shared" si="97"/>
        <v>74804.721935397014</v>
      </c>
      <c r="N239" s="1145">
        <f t="shared" si="98"/>
        <v>0</v>
      </c>
      <c r="O239" s="1145">
        <f t="shared" si="99"/>
        <v>-6558.2221970759028</v>
      </c>
      <c r="P239" s="1145">
        <f t="shared" si="94"/>
        <v>0</v>
      </c>
      <c r="Q239" s="1145">
        <f t="shared" si="100"/>
        <v>0</v>
      </c>
    </row>
    <row r="240" spans="1:17">
      <c r="A240" s="1108">
        <f t="shared" si="91"/>
        <v>206</v>
      </c>
      <c r="B240" s="1117" t="s">
        <v>1165</v>
      </c>
      <c r="C240" s="1139">
        <v>31</v>
      </c>
      <c r="D240" s="1140">
        <f>1</f>
        <v>1</v>
      </c>
      <c r="E240" s="1140">
        <f t="shared" si="101"/>
        <v>365</v>
      </c>
      <c r="F240" s="1112">
        <f t="shared" si="95"/>
        <v>2.7397260273972603E-3</v>
      </c>
      <c r="G240" s="1138"/>
      <c r="H240" s="1143">
        <v>-74804.666566362604</v>
      </c>
      <c r="I240" s="1142">
        <f t="shared" si="96"/>
        <v>-204.94429196263727</v>
      </c>
      <c r="J240" s="1142">
        <f t="shared" si="93"/>
        <v>-11840594.665847138</v>
      </c>
      <c r="K240" s="1125"/>
      <c r="L240" s="1146">
        <v>0</v>
      </c>
      <c r="M240" s="1145">
        <f t="shared" si="97"/>
        <v>74804.666566362604</v>
      </c>
      <c r="N240" s="1145">
        <f t="shared" si="98"/>
        <v>0</v>
      </c>
      <c r="O240" s="1145">
        <f t="shared" si="99"/>
        <v>-204.94429196263727</v>
      </c>
      <c r="P240" s="1145">
        <f t="shared" si="94"/>
        <v>0</v>
      </c>
      <c r="Q240" s="1145">
        <f t="shared" si="100"/>
        <v>0</v>
      </c>
    </row>
    <row r="241" spans="1:17">
      <c r="A241" s="1108">
        <f t="shared" si="91"/>
        <v>207</v>
      </c>
      <c r="B241" s="1118"/>
      <c r="C241" s="1118" t="s">
        <v>23</v>
      </c>
      <c r="D241" s="1118"/>
      <c r="E241" s="1118"/>
      <c r="F241" s="1119"/>
      <c r="G241" s="1138"/>
      <c r="H241" s="1147">
        <f>SUM(H229:H240)</f>
        <v>-897656.40101056173</v>
      </c>
      <c r="I241" s="1147">
        <f>SUM(I229:I240)</f>
        <v>-415832.12916641869</v>
      </c>
      <c r="J241" s="1121"/>
      <c r="K241" s="1125"/>
      <c r="L241" s="1111">
        <f>SUM(L229:L240)</f>
        <v>0</v>
      </c>
      <c r="M241" s="1111">
        <f t="shared" ref="M241:P241" si="102">SUM(M229:M240)</f>
        <v>897656.40101056173</v>
      </c>
      <c r="N241" s="1111">
        <f t="shared" si="102"/>
        <v>0</v>
      </c>
      <c r="O241" s="1111">
        <f t="shared" si="102"/>
        <v>-415832.12916641869</v>
      </c>
      <c r="P241" s="1111">
        <f t="shared" si="102"/>
        <v>0</v>
      </c>
      <c r="Q241" s="1111"/>
    </row>
    <row r="242" spans="1:17">
      <c r="B242" s="1122"/>
      <c r="C242" s="1122"/>
      <c r="D242" s="1122"/>
      <c r="E242" s="1122"/>
      <c r="F242" s="1136"/>
      <c r="G242" s="1136"/>
      <c r="H242" s="1124"/>
      <c r="I242" s="1123"/>
      <c r="J242" s="1120"/>
      <c r="K242" s="1125"/>
      <c r="L242" s="1125"/>
      <c r="M242" s="1125"/>
      <c r="N242" s="1125"/>
      <c r="O242" s="1125"/>
      <c r="P242" s="1125"/>
      <c r="Q242" s="1125"/>
    </row>
    <row r="243" spans="1:17">
      <c r="A243" s="1108">
        <f>+A241+1</f>
        <v>208</v>
      </c>
      <c r="B243" s="1107" t="s">
        <v>1166</v>
      </c>
      <c r="F243" s="1166" t="s">
        <v>1184</v>
      </c>
      <c r="G243" s="1136"/>
      <c r="H243" s="1125"/>
      <c r="I243" s="1120"/>
      <c r="J243" s="1143">
        <f>-11424762.5366807-28317517</f>
        <v>-39742279.536680698</v>
      </c>
      <c r="K243" s="1125"/>
      <c r="L243" s="1125"/>
      <c r="M243" s="1125"/>
      <c r="N243" s="1125"/>
      <c r="O243" s="1125"/>
      <c r="P243" s="1125"/>
      <c r="Q243" s="1146">
        <v>0</v>
      </c>
    </row>
    <row r="244" spans="1:17">
      <c r="A244" s="1108">
        <f>+A243+1</f>
        <v>209</v>
      </c>
      <c r="B244" s="1107" t="s">
        <v>1168</v>
      </c>
      <c r="F244" s="1167" t="str">
        <f>"(Line "&amp;A243&amp;" less line "&amp;A245&amp;")"</f>
        <v>(Line 208 less line 210)</v>
      </c>
      <c r="G244" s="1136"/>
      <c r="H244" s="1125"/>
      <c r="I244" s="1120"/>
      <c r="J244" s="1145">
        <f>+J243-J245</f>
        <v>-28317516.999999978</v>
      </c>
      <c r="K244" s="1125"/>
      <c r="L244" s="1125"/>
      <c r="M244" s="1125"/>
      <c r="N244" s="1125"/>
      <c r="O244" s="1125"/>
      <c r="P244" s="1125"/>
      <c r="Q244" s="1145">
        <f>+Q243-Q245</f>
        <v>0</v>
      </c>
    </row>
    <row r="245" spans="1:17">
      <c r="A245" s="1108">
        <f t="shared" ref="A245:A251" si="103">+A244+1</f>
        <v>210</v>
      </c>
      <c r="B245" s="1107" t="s">
        <v>1169</v>
      </c>
      <c r="F245" s="1167" t="str">
        <f>"(Line "&amp;A228&amp;", Col H)"</f>
        <v>(Line 194, Col H)</v>
      </c>
      <c r="G245" s="1136"/>
      <c r="H245" s="1125"/>
      <c r="I245" s="1120"/>
      <c r="J245" s="1142">
        <f>+J228</f>
        <v>-11424762.536680719</v>
      </c>
      <c r="K245" s="1125"/>
      <c r="L245" s="1125"/>
      <c r="M245" s="1125"/>
      <c r="N245" s="1125"/>
      <c r="O245" s="1125"/>
      <c r="P245" s="1125"/>
      <c r="Q245" s="1142">
        <f>+Q228</f>
        <v>0</v>
      </c>
    </row>
    <row r="246" spans="1:17">
      <c r="A246" s="1108">
        <f t="shared" si="103"/>
        <v>211</v>
      </c>
      <c r="B246" s="1107" t="s">
        <v>1170</v>
      </c>
      <c r="F246" s="1166" t="s">
        <v>1185</v>
      </c>
      <c r="G246" s="1136"/>
      <c r="H246" s="1125"/>
      <c r="I246" s="1120"/>
      <c r="J246" s="1143">
        <f>-11840594.6658471-29436813</f>
        <v>-41277407.6658471</v>
      </c>
      <c r="K246" s="1125"/>
      <c r="L246" s="1125"/>
      <c r="M246" s="1125"/>
      <c r="N246" s="1125"/>
      <c r="O246" s="1125"/>
      <c r="P246" s="1125"/>
      <c r="Q246" s="1146">
        <v>0</v>
      </c>
    </row>
    <row r="247" spans="1:17">
      <c r="A247" s="1108">
        <f t="shared" si="103"/>
        <v>212</v>
      </c>
      <c r="B247" s="1107" t="str">
        <f>+B244</f>
        <v>Less non Prorated Items</v>
      </c>
      <c r="F247" s="1167" t="str">
        <f>"(Line "&amp;A246&amp;" less line "&amp;A248&amp;")"</f>
        <v>(Line 211 less line 213)</v>
      </c>
      <c r="G247" s="1136"/>
      <c r="H247" s="1125"/>
      <c r="I247" s="1120"/>
      <c r="J247" s="1145">
        <f>+J246-J248</f>
        <v>-29436812.999999963</v>
      </c>
      <c r="K247" s="1125"/>
      <c r="L247" s="1125"/>
      <c r="M247" s="1125"/>
      <c r="N247" s="1125"/>
      <c r="O247" s="1125"/>
      <c r="P247" s="1125"/>
      <c r="Q247" s="1145">
        <f>+Q246-Q248</f>
        <v>0</v>
      </c>
    </row>
    <row r="248" spans="1:17">
      <c r="A248" s="1108">
        <f t="shared" si="103"/>
        <v>213</v>
      </c>
      <c r="B248" s="1107" t="s">
        <v>1171</v>
      </c>
      <c r="F248" s="1167" t="str">
        <f>"(Line "&amp;A240&amp;", Col H)"</f>
        <v>(Line 206, Col H)</v>
      </c>
      <c r="G248" s="1136"/>
      <c r="H248" s="1125"/>
      <c r="I248" s="1120"/>
      <c r="J248" s="1142">
        <f>+J240</f>
        <v>-11840594.665847138</v>
      </c>
      <c r="K248" s="1125"/>
      <c r="L248" s="1125"/>
      <c r="M248" s="1125"/>
      <c r="N248" s="1125"/>
      <c r="O248" s="1125"/>
      <c r="P248" s="1125"/>
      <c r="Q248" s="1142">
        <f>+Q240</f>
        <v>0</v>
      </c>
    </row>
    <row r="249" spans="1:17">
      <c r="A249" s="1108">
        <f t="shared" si="103"/>
        <v>214</v>
      </c>
      <c r="B249" s="1107" t="s">
        <v>1172</v>
      </c>
      <c r="F249" s="1167" t="str">
        <f>"([Sum Lines "&amp;A228&amp;" to "&amp;A240&amp;"] /13)+([Lines "&amp;A244&amp;" +"&amp;A247&amp;")/2])"</f>
        <v>([Sum Lines 194 to 206] /13)+([Lines 209 +212)/2])</v>
      </c>
      <c r="G249" s="1136"/>
      <c r="H249" s="1125"/>
      <c r="I249" s="1127"/>
      <c r="J249" s="1148">
        <f>(J228+J229+J230+J231+J232+J233+J234+J235+J236+J237+J238+J239+J240)/13+(J244+J247)/2</f>
        <v>-40578570.892061144</v>
      </c>
      <c r="K249" s="1125"/>
      <c r="L249" s="1125"/>
      <c r="M249" s="1125"/>
      <c r="N249" s="1125"/>
      <c r="O249" s="1125"/>
      <c r="P249" s="1125"/>
      <c r="Q249" s="1148">
        <f>(Q228+Q229+Q230+Q231+Q232+Q233+Q234+Q235+Q236+Q237+Q238+Q239+Q240)/13+(Q244+Q247)/2</f>
        <v>0</v>
      </c>
    </row>
    <row r="250" spans="1:17">
      <c r="A250" s="1108">
        <f t="shared" si="103"/>
        <v>215</v>
      </c>
      <c r="B250" s="1107" t="s">
        <v>1173</v>
      </c>
      <c r="F250" s="1167" t="s">
        <v>1174</v>
      </c>
      <c r="G250" s="1136"/>
      <c r="H250" s="1125"/>
      <c r="I250" s="1127"/>
      <c r="J250" s="1143">
        <v>0</v>
      </c>
      <c r="K250" s="1125"/>
      <c r="L250" s="1125"/>
      <c r="M250" s="1125"/>
      <c r="N250" s="1125"/>
      <c r="O250" s="1125"/>
      <c r="P250" s="1125"/>
      <c r="Q250" s="1146">
        <v>0</v>
      </c>
    </row>
    <row r="251" spans="1:17">
      <c r="A251" s="1108">
        <f t="shared" si="103"/>
        <v>216</v>
      </c>
      <c r="B251" s="1107" t="s">
        <v>1175</v>
      </c>
      <c r="F251" s="1167" t="str">
        <f>"(Line "&amp;A249&amp;" less line "&amp;A250&amp;")"</f>
        <v>(Line 214 less line 215)</v>
      </c>
      <c r="H251" s="1125"/>
      <c r="I251" s="1125"/>
      <c r="J251" s="1128">
        <f>+J249-J250</f>
        <v>-40578570.892061144</v>
      </c>
      <c r="K251" s="1125"/>
      <c r="L251" s="1125"/>
      <c r="M251" s="1125"/>
      <c r="N251" s="1125"/>
      <c r="O251" s="1125"/>
      <c r="P251" s="1125"/>
      <c r="Q251" s="1128">
        <f>+Q249-Q250</f>
        <v>0</v>
      </c>
    </row>
    <row r="256" spans="1:17">
      <c r="L256" s="1154"/>
    </row>
    <row r="257" spans="12:12">
      <c r="L257" s="1154"/>
    </row>
    <row r="258" spans="12:12">
      <c r="L258" s="1154"/>
    </row>
    <row r="259" spans="12:12">
      <c r="L259" s="1154"/>
    </row>
    <row r="260" spans="12:12">
      <c r="L260" s="1154"/>
    </row>
    <row r="261" spans="12:12">
      <c r="L261" s="1154"/>
    </row>
    <row r="262" spans="12:12">
      <c r="L262" s="1154"/>
    </row>
    <row r="263" spans="12:12">
      <c r="L263" s="1154"/>
    </row>
    <row r="264" spans="12:12">
      <c r="L264" s="1154"/>
    </row>
    <row r="265" spans="12:12">
      <c r="L265" s="1154"/>
    </row>
    <row r="266" spans="12:12">
      <c r="L266" s="1154"/>
    </row>
    <row r="267" spans="12:12">
      <c r="L267" s="1154"/>
    </row>
    <row r="268" spans="12:12">
      <c r="L268" s="1154"/>
    </row>
  </sheetData>
  <mergeCells count="29">
    <mergeCell ref="B224:F224"/>
    <mergeCell ref="H224:J224"/>
    <mergeCell ref="L224:Q224"/>
    <mergeCell ref="B162:F162"/>
    <mergeCell ref="H162:J162"/>
    <mergeCell ref="L162:Q162"/>
    <mergeCell ref="B193:F193"/>
    <mergeCell ref="H193:J193"/>
    <mergeCell ref="L193:Q193"/>
    <mergeCell ref="B1:J1"/>
    <mergeCell ref="B2:K2"/>
    <mergeCell ref="B3:K3"/>
    <mergeCell ref="B5:J5"/>
    <mergeCell ref="L5:Q5"/>
    <mergeCell ref="B7:F7"/>
    <mergeCell ref="H7:J7"/>
    <mergeCell ref="L7:Q7"/>
    <mergeCell ref="B38:F38"/>
    <mergeCell ref="H38:J38"/>
    <mergeCell ref="L38:Q38"/>
    <mergeCell ref="B131:F131"/>
    <mergeCell ref="H131:J131"/>
    <mergeCell ref="L131:Q131"/>
    <mergeCell ref="B69:F69"/>
    <mergeCell ref="H69:J69"/>
    <mergeCell ref="L69:Q69"/>
    <mergeCell ref="B100:F100"/>
    <mergeCell ref="H100:J100"/>
    <mergeCell ref="L100:Q100"/>
  </mergeCells>
  <pageMargins left="0.7" right="0.7" top="0.75" bottom="0.75" header="0.3" footer="0.3"/>
  <pageSetup scale="57" fitToHeight="4" orientation="portrait" r:id="rId1"/>
  <rowBreaks count="3" manualBreakCount="3">
    <brk id="65" max="10" man="1"/>
    <brk id="127" max="10" man="1"/>
    <brk id="189"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L57"/>
  <sheetViews>
    <sheetView showGridLines="0" topLeftCell="A16" workbookViewId="0">
      <selection activeCell="L46" sqref="L46"/>
    </sheetView>
  </sheetViews>
  <sheetFormatPr defaultRowHeight="12.75"/>
  <cols>
    <col min="1" max="1" width="4" style="422" customWidth="1"/>
    <col min="2" max="2" width="10.88671875" style="422" bestFit="1" customWidth="1"/>
    <col min="3" max="3" width="5.77734375" style="422" customWidth="1"/>
    <col min="4" max="4" width="12.88671875" style="422" bestFit="1" customWidth="1"/>
    <col min="5" max="5" width="4.77734375" style="422" customWidth="1"/>
    <col min="6" max="6" width="12.5546875" style="422" bestFit="1" customWidth="1"/>
    <col min="7" max="7" width="4.77734375" style="422" customWidth="1"/>
    <col min="8" max="8" width="11.21875" style="422" customWidth="1"/>
    <col min="9" max="9" width="2.77734375" style="422" customWidth="1"/>
    <col min="10" max="10" width="8.88671875" style="422"/>
    <col min="11" max="11" width="2.77734375" style="422" customWidth="1"/>
    <col min="12" max="12" width="11.33203125" style="422" bestFit="1" customWidth="1"/>
    <col min="13" max="16384" width="8.88671875" style="422"/>
  </cols>
  <sheetData>
    <row r="1" spans="1:12">
      <c r="A1" s="421" t="s">
        <v>855</v>
      </c>
      <c r="L1" s="431" t="str">
        <f>'Adj to Rate Base'!T1</f>
        <v>2018 Workpapers</v>
      </c>
    </row>
    <row r="2" spans="1:12">
      <c r="A2" s="421" t="s">
        <v>250</v>
      </c>
    </row>
    <row r="3" spans="1:12">
      <c r="A3" s="894"/>
    </row>
    <row r="4" spans="1:12" s="424" customFormat="1" ht="38.25">
      <c r="A4" s="423" t="s">
        <v>46</v>
      </c>
      <c r="D4" s="425" t="s">
        <v>251</v>
      </c>
      <c r="F4" s="425" t="s">
        <v>252</v>
      </c>
      <c r="H4" s="425" t="s">
        <v>253</v>
      </c>
    </row>
    <row r="5" spans="1:12" ht="20.25" customHeight="1">
      <c r="A5" s="426">
        <v>1</v>
      </c>
      <c r="B5" s="880" t="s">
        <v>997</v>
      </c>
      <c r="D5" s="428">
        <v>-64401100.012850806</v>
      </c>
      <c r="F5" s="428">
        <v>-469056.23388307862</v>
      </c>
      <c r="H5" s="428">
        <f>D5-F5</f>
        <v>-63932043.778967731</v>
      </c>
      <c r="J5" s="424"/>
    </row>
    <row r="6" spans="1:12">
      <c r="A6" s="430">
        <v>2</v>
      </c>
      <c r="B6" s="880" t="s">
        <v>1110</v>
      </c>
      <c r="D6" s="428">
        <v>-64309382.1828508</v>
      </c>
      <c r="F6" s="428">
        <v>-469056.23388307862</v>
      </c>
      <c r="H6" s="429">
        <f>D6-F6</f>
        <v>-63840325.948967725</v>
      </c>
      <c r="J6" s="424"/>
    </row>
    <row r="7" spans="1:12">
      <c r="A7" s="430">
        <v>3</v>
      </c>
      <c r="B7" s="427" t="s">
        <v>47</v>
      </c>
      <c r="D7" s="428">
        <v>-64217664.352850802</v>
      </c>
      <c r="F7" s="428">
        <v>-469056.23388307862</v>
      </c>
      <c r="H7" s="429">
        <f t="shared" ref="H7:H17" si="0">D7-F7</f>
        <v>-63748608.118967727</v>
      </c>
      <c r="J7" s="424"/>
    </row>
    <row r="8" spans="1:12">
      <c r="A8" s="430">
        <v>4</v>
      </c>
      <c r="B8" s="427" t="s">
        <v>48</v>
      </c>
      <c r="D8" s="428">
        <v>-64125946.522850804</v>
      </c>
      <c r="F8" s="428">
        <v>-469056.23388307862</v>
      </c>
      <c r="H8" s="429">
        <f t="shared" si="0"/>
        <v>-63656890.288967729</v>
      </c>
      <c r="J8" s="424"/>
    </row>
    <row r="9" spans="1:12">
      <c r="A9" s="430">
        <v>5</v>
      </c>
      <c r="B9" s="427" t="s">
        <v>49</v>
      </c>
      <c r="D9" s="428">
        <v>-64034228.692850798</v>
      </c>
      <c r="F9" s="428">
        <v>-469056.23388307862</v>
      </c>
      <c r="H9" s="429">
        <f t="shared" si="0"/>
        <v>-63565172.458967723</v>
      </c>
      <c r="J9" s="424"/>
    </row>
    <row r="10" spans="1:12">
      <c r="A10" s="430">
        <v>6</v>
      </c>
      <c r="B10" s="427" t="s">
        <v>21</v>
      </c>
      <c r="D10" s="428">
        <v>-63942510.8628508</v>
      </c>
      <c r="F10" s="428">
        <v>-469056.23388307862</v>
      </c>
      <c r="H10" s="429">
        <f t="shared" si="0"/>
        <v>-63473454.628967725</v>
      </c>
      <c r="J10" s="424"/>
    </row>
    <row r="11" spans="1:12">
      <c r="A11" s="430">
        <v>7</v>
      </c>
      <c r="B11" s="427" t="s">
        <v>50</v>
      </c>
      <c r="D11" s="428">
        <v>-63850793.032850802</v>
      </c>
      <c r="F11" s="428">
        <v>-469056.23388307862</v>
      </c>
      <c r="H11" s="429">
        <f t="shared" si="0"/>
        <v>-63381736.798967727</v>
      </c>
      <c r="J11" s="424"/>
    </row>
    <row r="12" spans="1:12">
      <c r="A12" s="430">
        <v>8</v>
      </c>
      <c r="B12" s="427" t="s">
        <v>51</v>
      </c>
      <c r="D12" s="428">
        <v>-63759075.202850804</v>
      </c>
      <c r="F12" s="428">
        <v>-469056.23388307862</v>
      </c>
      <c r="H12" s="429">
        <f t="shared" si="0"/>
        <v>-63290018.968967728</v>
      </c>
      <c r="J12" s="424"/>
    </row>
    <row r="13" spans="1:12">
      <c r="A13" s="430">
        <v>9</v>
      </c>
      <c r="B13" s="427" t="s">
        <v>52</v>
      </c>
      <c r="D13" s="428">
        <v>-63667357.372850806</v>
      </c>
      <c r="F13" s="428">
        <v>-469056.23388307862</v>
      </c>
      <c r="H13" s="429">
        <f t="shared" si="0"/>
        <v>-63198301.13896773</v>
      </c>
      <c r="J13" s="424"/>
    </row>
    <row r="14" spans="1:12">
      <c r="A14" s="430">
        <v>10</v>
      </c>
      <c r="B14" s="427" t="s">
        <v>53</v>
      </c>
      <c r="D14" s="428">
        <v>-63575639.5428508</v>
      </c>
      <c r="F14" s="428">
        <v>-469056.23388307862</v>
      </c>
      <c r="H14" s="429">
        <f t="shared" si="0"/>
        <v>-63106583.308967724</v>
      </c>
      <c r="J14" s="424"/>
    </row>
    <row r="15" spans="1:12">
      <c r="A15" s="430">
        <v>11</v>
      </c>
      <c r="B15" s="427" t="s">
        <v>54</v>
      </c>
      <c r="D15" s="428">
        <v>-63483921.712850802</v>
      </c>
      <c r="F15" s="428">
        <v>-469056.23388307862</v>
      </c>
      <c r="H15" s="429">
        <f t="shared" si="0"/>
        <v>-63014865.478967726</v>
      </c>
      <c r="J15" s="424"/>
    </row>
    <row r="16" spans="1:12">
      <c r="A16" s="430">
        <v>12</v>
      </c>
      <c r="B16" s="427" t="s">
        <v>55</v>
      </c>
      <c r="D16" s="428">
        <v>-63392203.882850796</v>
      </c>
      <c r="F16" s="428">
        <v>-469056.23388307862</v>
      </c>
      <c r="H16" s="429">
        <f t="shared" si="0"/>
        <v>-62923147.648967721</v>
      </c>
      <c r="J16" s="424"/>
    </row>
    <row r="17" spans="1:10">
      <c r="A17" s="430">
        <v>13</v>
      </c>
      <c r="B17" s="880" t="s">
        <v>1111</v>
      </c>
      <c r="D17" s="428">
        <v>-63300486.052850805</v>
      </c>
      <c r="F17" s="428">
        <v>-469056.23388307862</v>
      </c>
      <c r="H17" s="429">
        <f t="shared" si="0"/>
        <v>-62831429.81896773</v>
      </c>
      <c r="J17" s="424"/>
    </row>
    <row r="18" spans="1:10">
      <c r="A18" s="430"/>
      <c r="B18" s="427"/>
      <c r="D18" s="428"/>
      <c r="F18" s="428"/>
      <c r="H18" s="429"/>
      <c r="J18" s="424"/>
    </row>
    <row r="19" spans="1:10" ht="15" customHeight="1">
      <c r="A19" s="430">
        <v>14</v>
      </c>
      <c r="B19" s="422" t="s">
        <v>29</v>
      </c>
      <c r="D19" s="895">
        <f>SUM(D5:D17)/13</f>
        <v>-63850793.032850809</v>
      </c>
      <c r="E19" s="429"/>
      <c r="F19" s="895">
        <f>SUM(F5:F17)/13</f>
        <v>-469056.2338830785</v>
      </c>
      <c r="G19" s="429"/>
      <c r="H19" s="895">
        <f>SUM(H5:H17)/13</f>
        <v>-63381736.798967719</v>
      </c>
    </row>
    <row r="21" spans="1:10">
      <c r="B21" s="889" t="s">
        <v>988</v>
      </c>
      <c r="C21" s="889"/>
      <c r="D21" s="889"/>
      <c r="E21" s="889"/>
      <c r="F21" s="889"/>
      <c r="G21" s="889"/>
      <c r="H21" s="955">
        <v>-68099303.655442983</v>
      </c>
    </row>
    <row r="22" spans="1:10">
      <c r="B22" s="889" t="s">
        <v>989</v>
      </c>
      <c r="C22" s="889"/>
      <c r="D22" s="889"/>
      <c r="E22" s="889"/>
      <c r="F22" s="889"/>
      <c r="G22" s="889"/>
      <c r="H22" s="955">
        <v>4717566.8564752778</v>
      </c>
    </row>
    <row r="23" spans="1:10">
      <c r="B23" s="889" t="s">
        <v>986</v>
      </c>
      <c r="C23" s="889"/>
      <c r="D23" s="889"/>
      <c r="E23" s="889"/>
      <c r="F23" s="889"/>
      <c r="G23" s="889"/>
      <c r="H23" s="956">
        <f>H21+H22</f>
        <v>-63381736.798967704</v>
      </c>
    </row>
    <row r="24" spans="1:10">
      <c r="B24" s="889"/>
      <c r="C24" s="889"/>
      <c r="D24" s="889"/>
      <c r="E24" s="889"/>
      <c r="F24" s="889"/>
      <c r="G24" s="889"/>
      <c r="H24" s="955"/>
    </row>
    <row r="25" spans="1:10">
      <c r="B25" s="957" t="s">
        <v>990</v>
      </c>
      <c r="C25" s="889"/>
      <c r="D25" s="889"/>
      <c r="E25" s="889"/>
      <c r="F25" s="889"/>
      <c r="G25" s="889"/>
      <c r="H25" s="958">
        <f>ROUND('Attachment O'!I235,10)</f>
        <v>0.98013501030000005</v>
      </c>
    </row>
    <row r="26" spans="1:10">
      <c r="B26" s="889"/>
      <c r="C26" s="889"/>
      <c r="D26" s="889"/>
      <c r="E26" s="889"/>
      <c r="F26" s="889"/>
      <c r="G26" s="889"/>
      <c r="H26" s="889"/>
    </row>
    <row r="27" spans="1:10">
      <c r="B27" s="889" t="s">
        <v>991</v>
      </c>
      <c r="C27" s="889"/>
      <c r="D27" s="889"/>
      <c r="E27" s="889"/>
      <c r="F27" s="889"/>
      <c r="G27" s="889"/>
      <c r="H27" s="955">
        <f>H21*H25</f>
        <v>-66746511.68975044</v>
      </c>
    </row>
    <row r="28" spans="1:10">
      <c r="B28" s="889" t="s">
        <v>989</v>
      </c>
      <c r="C28" s="889"/>
      <c r="D28" s="889"/>
      <c r="E28" s="889"/>
      <c r="F28" s="889"/>
      <c r="G28" s="889"/>
      <c r="H28" s="955">
        <f>H22*H25</f>
        <v>4623852.4394623348</v>
      </c>
    </row>
    <row r="29" spans="1:10">
      <c r="B29" s="889" t="s">
        <v>992</v>
      </c>
      <c r="C29" s="889"/>
      <c r="D29" s="889"/>
      <c r="E29" s="889"/>
      <c r="F29" s="889"/>
      <c r="G29" s="889"/>
      <c r="H29" s="956">
        <f>H27+H28</f>
        <v>-62122659.250288107</v>
      </c>
    </row>
    <row r="32" spans="1:10">
      <c r="B32" s="427" t="s">
        <v>254</v>
      </c>
    </row>
    <row r="33" spans="2:12">
      <c r="B33" s="427" t="s">
        <v>255</v>
      </c>
    </row>
    <row r="34" spans="2:12">
      <c r="B34" s="427" t="s">
        <v>256</v>
      </c>
    </row>
    <row r="36" spans="2:12">
      <c r="B36" s="889" t="s">
        <v>1078</v>
      </c>
      <c r="C36" s="889"/>
      <c r="D36" s="889"/>
      <c r="E36" s="889"/>
      <c r="F36" s="889"/>
      <c r="G36" s="889"/>
      <c r="H36" s="889"/>
    </row>
    <row r="37" spans="2:12">
      <c r="B37" s="889"/>
      <c r="C37" s="889"/>
      <c r="D37" s="959"/>
      <c r="E37" s="959"/>
      <c r="F37" s="959"/>
      <c r="G37" s="959"/>
      <c r="H37" s="959"/>
    </row>
    <row r="38" spans="2:12">
      <c r="B38" s="1049" t="s">
        <v>1194</v>
      </c>
      <c r="C38" s="889"/>
      <c r="D38" s="1050" t="s">
        <v>23</v>
      </c>
      <c r="E38" s="959"/>
      <c r="F38" s="1050" t="s">
        <v>85</v>
      </c>
      <c r="G38" s="1150"/>
      <c r="H38" s="1050" t="s">
        <v>1193</v>
      </c>
      <c r="I38" s="1150"/>
      <c r="J38" s="1150" t="s">
        <v>989</v>
      </c>
      <c r="K38" s="1150"/>
      <c r="L38" s="1150" t="s">
        <v>1096</v>
      </c>
    </row>
    <row r="39" spans="2:12">
      <c r="B39" s="889" t="s">
        <v>1079</v>
      </c>
      <c r="C39" s="889"/>
      <c r="D39" s="1051">
        <v>-30469465.810819216</v>
      </c>
      <c r="E39" s="959"/>
      <c r="F39" s="1051">
        <v>-78804.53146470357</v>
      </c>
      <c r="G39" s="1150"/>
      <c r="H39" s="959">
        <f t="shared" ref="H39:H45" si="1">D39-F39</f>
        <v>-30390661.279354513</v>
      </c>
      <c r="I39" s="1150"/>
      <c r="J39" s="959">
        <v>2315438.1884173206</v>
      </c>
      <c r="K39" s="1150"/>
      <c r="L39" s="1151">
        <f>H39-J39</f>
        <v>-32706099.467771832</v>
      </c>
    </row>
    <row r="40" spans="2:12">
      <c r="B40" s="889" t="s">
        <v>1080</v>
      </c>
      <c r="C40" s="889"/>
      <c r="D40" s="1051">
        <v>-1769650.1296429769</v>
      </c>
      <c r="E40" s="959"/>
      <c r="F40" s="1051">
        <v>0</v>
      </c>
      <c r="G40" s="1150"/>
      <c r="H40" s="959">
        <f t="shared" si="1"/>
        <v>-1769650.1296429769</v>
      </c>
      <c r="I40" s="1150"/>
      <c r="J40" s="959">
        <v>204363.44698000298</v>
      </c>
      <c r="K40" s="1150"/>
      <c r="L40" s="1151">
        <f t="shared" ref="L40:L45" si="2">H40-J40</f>
        <v>-1974013.5766229799</v>
      </c>
    </row>
    <row r="41" spans="2:12">
      <c r="B41" s="889" t="s">
        <v>1081</v>
      </c>
      <c r="C41" s="889"/>
      <c r="D41" s="1051">
        <v>-16535555.500027692</v>
      </c>
      <c r="E41" s="959"/>
      <c r="F41" s="1051">
        <v>-9979.3691272201013</v>
      </c>
      <c r="G41" s="1150"/>
      <c r="H41" s="959">
        <f t="shared" si="1"/>
        <v>-16525576.130900472</v>
      </c>
      <c r="I41" s="1150"/>
      <c r="J41" s="959">
        <v>1259503.5619796601</v>
      </c>
      <c r="K41" s="1150"/>
      <c r="L41" s="1151">
        <f t="shared" si="2"/>
        <v>-17785079.692880131</v>
      </c>
    </row>
    <row r="42" spans="2:12">
      <c r="B42" s="889" t="s">
        <v>1082</v>
      </c>
      <c r="C42" s="889"/>
      <c r="D42" s="1051">
        <v>-10271002.550239544</v>
      </c>
      <c r="E42" s="959"/>
      <c r="F42" s="1051">
        <v>-380272.33329115494</v>
      </c>
      <c r="G42" s="1150"/>
      <c r="H42" s="959">
        <f t="shared" si="1"/>
        <v>-9890730.21694839</v>
      </c>
      <c r="I42" s="1150"/>
      <c r="J42" s="959">
        <v>608700.68999999971</v>
      </c>
      <c r="K42" s="1150"/>
      <c r="L42" s="1151">
        <f t="shared" si="2"/>
        <v>-10499430.906948389</v>
      </c>
    </row>
    <row r="43" spans="2:12">
      <c r="B43" s="889" t="s">
        <v>1083</v>
      </c>
      <c r="C43" s="889"/>
      <c r="D43" s="1051">
        <v>0</v>
      </c>
      <c r="E43" s="959"/>
      <c r="F43" s="1051">
        <v>0</v>
      </c>
      <c r="G43" s="1150"/>
      <c r="H43" s="959">
        <f t="shared" si="1"/>
        <v>0</v>
      </c>
      <c r="I43" s="1150"/>
      <c r="J43" s="959">
        <v>0</v>
      </c>
      <c r="K43" s="1150"/>
      <c r="L43" s="1151">
        <f t="shared" si="2"/>
        <v>0</v>
      </c>
    </row>
    <row r="44" spans="2:12">
      <c r="B44" s="889" t="s">
        <v>1084</v>
      </c>
      <c r="C44" s="889"/>
      <c r="D44" s="1051">
        <v>-2572155.6140951682</v>
      </c>
      <c r="E44" s="959"/>
      <c r="F44" s="1051">
        <v>0</v>
      </c>
      <c r="G44" s="1150"/>
      <c r="H44" s="959">
        <f t="shared" si="1"/>
        <v>-2572155.6140951682</v>
      </c>
      <c r="I44" s="1150"/>
      <c r="J44" s="959">
        <v>506766.49800165195</v>
      </c>
      <c r="K44" s="1150"/>
      <c r="L44" s="1151">
        <f t="shared" si="2"/>
        <v>-3078922.11209682</v>
      </c>
    </row>
    <row r="45" spans="2:12">
      <c r="B45" s="889" t="s">
        <v>74</v>
      </c>
      <c r="C45" s="889"/>
      <c r="D45" s="1051">
        <v>-1682656.4480262052</v>
      </c>
      <c r="E45" s="959"/>
      <c r="F45" s="1051">
        <v>0</v>
      </c>
      <c r="G45" s="1150"/>
      <c r="H45" s="959">
        <f t="shared" si="1"/>
        <v>-1682656.4480262052</v>
      </c>
      <c r="I45" s="1150"/>
      <c r="J45" s="959">
        <v>373101.45109664247</v>
      </c>
      <c r="K45" s="1150"/>
      <c r="L45" s="1151">
        <f t="shared" si="2"/>
        <v>-2055757.8991228477</v>
      </c>
    </row>
    <row r="46" spans="2:12" ht="13.5" thickBot="1">
      <c r="B46" s="889"/>
      <c r="C46" s="889"/>
      <c r="D46" s="1052">
        <f>SUM(D39:D45)</f>
        <v>-63300486.052850805</v>
      </c>
      <c r="E46" s="959"/>
      <c r="F46" s="1052">
        <f>SUM(F39:F45)</f>
        <v>-469056.23388307862</v>
      </c>
      <c r="G46" s="1150"/>
      <c r="H46" s="1052">
        <f>SUM(H39:H45)</f>
        <v>-62831429.818967722</v>
      </c>
      <c r="I46" s="1150"/>
      <c r="J46" s="1052">
        <f>SUM(J39:J45)</f>
        <v>5267873.8364752773</v>
      </c>
      <c r="K46" s="1150"/>
      <c r="L46" s="1052">
        <f>SUM(L39:L45)</f>
        <v>-68099303.655442998</v>
      </c>
    </row>
    <row r="47" spans="2:12">
      <c r="C47" s="889"/>
      <c r="D47" s="959"/>
      <c r="E47" s="959"/>
      <c r="F47" s="959"/>
      <c r="G47" s="959"/>
      <c r="H47" s="959"/>
    </row>
    <row r="48" spans="2:12">
      <c r="B48" s="889"/>
      <c r="C48" s="889"/>
      <c r="D48" s="959"/>
      <c r="E48" s="959"/>
      <c r="F48" s="959"/>
      <c r="G48" s="959"/>
      <c r="H48" s="959"/>
    </row>
    <row r="49" spans="2:12">
      <c r="B49" s="1053" t="s">
        <v>29</v>
      </c>
      <c r="C49" s="889"/>
      <c r="D49" s="891" t="s">
        <v>23</v>
      </c>
      <c r="E49" s="889"/>
      <c r="F49" s="891" t="s">
        <v>85</v>
      </c>
      <c r="G49" s="1150"/>
      <c r="H49" s="891" t="s">
        <v>1193</v>
      </c>
      <c r="I49" s="1150"/>
      <c r="J49" s="1150" t="s">
        <v>989</v>
      </c>
      <c r="K49" s="1150"/>
      <c r="L49" s="1150" t="s">
        <v>1096</v>
      </c>
    </row>
    <row r="50" spans="2:12">
      <c r="B50" s="889" t="s">
        <v>1079</v>
      </c>
      <c r="C50" s="889"/>
      <c r="D50" s="959">
        <v>-30733935.550819218</v>
      </c>
      <c r="E50" s="959"/>
      <c r="F50" s="959">
        <v>-78804.531464703585</v>
      </c>
      <c r="G50" s="1150"/>
      <c r="H50" s="959">
        <f t="shared" ref="H50:H56" si="3">D50-F50</f>
        <v>-30655131.019354515</v>
      </c>
      <c r="I50" s="1150"/>
      <c r="J50" s="959">
        <v>2050968.4484173204</v>
      </c>
      <c r="K50" s="1150"/>
      <c r="L50" s="1151">
        <f>H50-J50</f>
        <v>-32706099.467771836</v>
      </c>
    </row>
    <row r="51" spans="2:12">
      <c r="B51" s="889" t="s">
        <v>1080</v>
      </c>
      <c r="C51" s="889"/>
      <c r="D51" s="959">
        <v>-1785379.3096429771</v>
      </c>
      <c r="E51" s="959"/>
      <c r="F51" s="959">
        <v>0</v>
      </c>
      <c r="G51" s="1150"/>
      <c r="H51" s="959">
        <f t="shared" si="3"/>
        <v>-1785379.3096429771</v>
      </c>
      <c r="I51" s="1150"/>
      <c r="J51" s="959">
        <v>188634.26698000295</v>
      </c>
      <c r="K51" s="1150"/>
      <c r="L51" s="1151">
        <f t="shared" ref="L51:L56" si="4">H51-J51</f>
        <v>-1974013.5766229799</v>
      </c>
    </row>
    <row r="52" spans="2:12">
      <c r="B52" s="889" t="s">
        <v>1081</v>
      </c>
      <c r="C52" s="889"/>
      <c r="D52" s="959">
        <v>-16678913.800027695</v>
      </c>
      <c r="E52" s="959"/>
      <c r="F52" s="959">
        <v>-9979.3691272200995</v>
      </c>
      <c r="G52" s="1150"/>
      <c r="H52" s="959">
        <f t="shared" si="3"/>
        <v>-16668934.430900475</v>
      </c>
      <c r="I52" s="1150"/>
      <c r="J52" s="959">
        <v>1116145.2619796598</v>
      </c>
      <c r="K52" s="1150"/>
      <c r="L52" s="1151">
        <f t="shared" si="4"/>
        <v>-17785079.692880135</v>
      </c>
    </row>
    <row r="53" spans="2:12">
      <c r="B53" s="889" t="s">
        <v>1082</v>
      </c>
      <c r="C53" s="889"/>
      <c r="D53" s="959">
        <v>-10355319.710239543</v>
      </c>
      <c r="E53" s="959"/>
      <c r="F53" s="959">
        <v>-380272.33329115494</v>
      </c>
      <c r="G53" s="1150"/>
      <c r="H53" s="959">
        <f t="shared" si="3"/>
        <v>-9975047.3769483883</v>
      </c>
      <c r="I53" s="1150"/>
      <c r="J53" s="959">
        <v>524383.5299999998</v>
      </c>
      <c r="K53" s="1150"/>
      <c r="L53" s="1151">
        <f t="shared" si="4"/>
        <v>-10499430.906948388</v>
      </c>
    </row>
    <row r="54" spans="2:12">
      <c r="B54" s="889" t="s">
        <v>1083</v>
      </c>
      <c r="C54" s="889"/>
      <c r="D54" s="959">
        <v>0</v>
      </c>
      <c r="E54" s="959"/>
      <c r="F54" s="959">
        <v>0</v>
      </c>
      <c r="G54" s="1150"/>
      <c r="H54" s="959">
        <f t="shared" si="3"/>
        <v>0</v>
      </c>
      <c r="I54" s="1150"/>
      <c r="J54" s="959">
        <v>0</v>
      </c>
      <c r="K54" s="1150"/>
      <c r="L54" s="1151">
        <f t="shared" si="4"/>
        <v>0</v>
      </c>
    </row>
    <row r="55" spans="2:12">
      <c r="B55" s="889" t="s">
        <v>1084</v>
      </c>
      <c r="C55" s="889"/>
      <c r="D55" s="959">
        <v>-2597888.4740951681</v>
      </c>
      <c r="E55" s="959"/>
      <c r="F55" s="959">
        <v>0</v>
      </c>
      <c r="G55" s="1150"/>
      <c r="H55" s="959">
        <f t="shared" si="3"/>
        <v>-2597888.4740951681</v>
      </c>
      <c r="I55" s="1150"/>
      <c r="J55" s="959">
        <v>481033.63800165203</v>
      </c>
      <c r="K55" s="1150"/>
      <c r="L55" s="1151">
        <f t="shared" si="4"/>
        <v>-3078922.11209682</v>
      </c>
    </row>
    <row r="56" spans="2:12">
      <c r="B56" s="889" t="s">
        <v>74</v>
      </c>
      <c r="C56" s="889"/>
      <c r="D56" s="959">
        <v>-1699356.1880262049</v>
      </c>
      <c r="E56" s="959"/>
      <c r="F56" s="959">
        <v>0</v>
      </c>
      <c r="G56" s="1150"/>
      <c r="H56" s="959">
        <f t="shared" si="3"/>
        <v>-1699356.1880262049</v>
      </c>
      <c r="I56" s="1150"/>
      <c r="J56" s="959">
        <v>356401.7110966426</v>
      </c>
      <c r="K56" s="1150"/>
      <c r="L56" s="1151">
        <f t="shared" si="4"/>
        <v>-2055757.8991228475</v>
      </c>
    </row>
    <row r="57" spans="2:12" ht="13.5" thickBot="1">
      <c r="B57" s="889"/>
      <c r="C57" s="889"/>
      <c r="D57" s="1052">
        <f>SUM(D50:D56)</f>
        <v>-63850793.032850802</v>
      </c>
      <c r="E57" s="959"/>
      <c r="F57" s="1052">
        <f>SUM(F50:F56)</f>
        <v>-469056.23388307862</v>
      </c>
      <c r="G57" s="1150"/>
      <c r="H57" s="1052">
        <f>SUM(H50:H56)</f>
        <v>-63381736.798967727</v>
      </c>
      <c r="I57" s="1150"/>
      <c r="J57" s="1052">
        <f>SUM(J50:J56)</f>
        <v>4717566.8564752778</v>
      </c>
      <c r="K57" s="1150"/>
      <c r="L57" s="1052">
        <f>SUM(L50:L56)</f>
        <v>-68099303.655442998</v>
      </c>
    </row>
  </sheetData>
  <phoneticPr fontId="13" type="noConversion"/>
  <pageMargins left="0.75" right="0.75" top="1" bottom="1" header="0.5" footer="0.5"/>
  <pageSetup scale="84" orientation="portrait" r:id="rId1"/>
  <headerFooter alignWithMargins="0">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00FFCC"/>
    <pageSetUpPr autoPageBreaks="0" fitToPage="1"/>
  </sheetPr>
  <dimension ref="A1:P64"/>
  <sheetViews>
    <sheetView showGridLines="0" topLeftCell="A40" zoomScaleNormal="100" zoomScaleSheetLayoutView="50" workbookViewId="0">
      <selection activeCell="L70" sqref="L70"/>
    </sheetView>
  </sheetViews>
  <sheetFormatPr defaultColWidth="14.44140625" defaultRowHeight="12"/>
  <cols>
    <col min="1" max="1" width="4.77734375" style="51" customWidth="1"/>
    <col min="2" max="2" width="2.77734375" style="49" customWidth="1"/>
    <col min="3" max="3" width="34.6640625" style="49" customWidth="1"/>
    <col min="4" max="4" width="14.44140625" style="49" customWidth="1"/>
    <col min="5" max="5" width="0.88671875" style="49" customWidth="1"/>
    <col min="6" max="6" width="12.88671875" style="49" bestFit="1" customWidth="1"/>
    <col min="7" max="7" width="0.88671875" style="49" customWidth="1"/>
    <col min="8" max="8" width="12.88671875" style="49" bestFit="1" customWidth="1"/>
    <col min="9" max="9" width="0.88671875" style="49" customWidth="1"/>
    <col min="10" max="10" width="12.88671875" style="49" bestFit="1" customWidth="1"/>
    <col min="11" max="11" width="0.88671875" style="49" customWidth="1"/>
    <col min="12" max="12" width="12.88671875" style="49" customWidth="1"/>
    <col min="13" max="13" width="0.88671875" style="49" customWidth="1"/>
    <col min="14" max="14" width="18.109375" style="49" bestFit="1" customWidth="1"/>
    <col min="15" max="15" width="0.6640625" style="49" customWidth="1"/>
    <col min="16" max="16" width="14.44140625" style="49" bestFit="1" customWidth="1"/>
    <col min="17" max="16384" width="14.44140625" style="49"/>
  </cols>
  <sheetData>
    <row r="1" spans="1:16">
      <c r="A1" s="6" t="s">
        <v>855</v>
      </c>
      <c r="B1" s="47"/>
      <c r="C1" s="47"/>
      <c r="D1" s="47"/>
      <c r="E1" s="47"/>
      <c r="F1" s="48" t="str">
        <f>Cover!C1</f>
        <v>2018 Workpapers</v>
      </c>
      <c r="G1" s="47"/>
      <c r="H1" s="47"/>
      <c r="I1" s="47"/>
      <c r="J1" s="47"/>
      <c r="K1" s="47"/>
      <c r="L1" s="47"/>
      <c r="M1" s="47"/>
      <c r="N1" s="47"/>
      <c r="O1" s="47"/>
    </row>
    <row r="2" spans="1:16">
      <c r="A2" s="6" t="s">
        <v>870</v>
      </c>
      <c r="B2" s="47"/>
      <c r="C2" s="47"/>
      <c r="D2" s="47"/>
      <c r="E2" s="47"/>
      <c r="F2" s="50"/>
      <c r="G2" s="47"/>
      <c r="H2" s="47"/>
      <c r="I2" s="47"/>
      <c r="J2" s="47"/>
      <c r="K2" s="47"/>
      <c r="L2" s="47"/>
      <c r="M2" s="47"/>
      <c r="N2" s="47"/>
      <c r="O2" s="47"/>
    </row>
    <row r="3" spans="1:16">
      <c r="A3" s="6" t="s">
        <v>1109</v>
      </c>
      <c r="B3" s="47"/>
      <c r="C3" s="47"/>
      <c r="D3" s="47"/>
      <c r="E3" s="47"/>
      <c r="F3" s="47"/>
      <c r="G3" s="47"/>
      <c r="H3" s="47"/>
      <c r="I3" s="47"/>
      <c r="J3" s="47"/>
      <c r="K3" s="47"/>
      <c r="L3" s="47"/>
      <c r="M3" s="47"/>
      <c r="N3" s="47"/>
      <c r="O3" s="47"/>
    </row>
    <row r="4" spans="1:16">
      <c r="A4" s="418"/>
      <c r="D4" s="47"/>
    </row>
    <row r="5" spans="1:16">
      <c r="B5" s="52"/>
    </row>
    <row r="6" spans="1:16">
      <c r="B6" s="52"/>
    </row>
    <row r="7" spans="1:16">
      <c r="A7" s="19"/>
      <c r="B7" s="19"/>
      <c r="C7" s="19"/>
      <c r="D7" s="19"/>
      <c r="E7" s="19"/>
      <c r="F7" s="19"/>
      <c r="G7" s="19"/>
      <c r="K7" s="54"/>
      <c r="M7" s="54"/>
      <c r="N7" s="54"/>
      <c r="O7" s="54"/>
      <c r="P7" s="55"/>
    </row>
    <row r="8" spans="1:16">
      <c r="D8" s="19"/>
      <c r="E8" s="19"/>
      <c r="F8" s="19"/>
      <c r="G8" s="19"/>
      <c r="H8" s="19"/>
      <c r="I8" s="19"/>
      <c r="J8" s="19"/>
      <c r="K8" s="19"/>
      <c r="L8" s="19"/>
      <c r="M8" s="19"/>
      <c r="N8" s="19"/>
      <c r="O8" s="19"/>
      <c r="P8" s="19"/>
    </row>
    <row r="9" spans="1:16">
      <c r="A9" s="51" t="s">
        <v>46</v>
      </c>
      <c r="D9" s="54" t="s">
        <v>64</v>
      </c>
      <c r="E9" s="57"/>
      <c r="F9" s="19"/>
      <c r="G9" s="19"/>
      <c r="H9" s="19"/>
      <c r="I9" s="19"/>
      <c r="J9" s="19"/>
      <c r="K9" s="19"/>
      <c r="L9" s="19"/>
      <c r="M9" s="19"/>
      <c r="N9" s="19"/>
      <c r="O9" s="19"/>
      <c r="P9" s="19"/>
    </row>
    <row r="10" spans="1:16">
      <c r="A10" s="58" t="s">
        <v>22</v>
      </c>
      <c r="D10" s="54">
        <v>105</v>
      </c>
      <c r="E10" s="57"/>
      <c r="F10" s="19"/>
      <c r="G10" s="19"/>
      <c r="H10" s="19"/>
      <c r="I10" s="19"/>
      <c r="J10" s="19"/>
      <c r="K10" s="19"/>
      <c r="L10" s="19"/>
      <c r="M10" s="19"/>
      <c r="N10" s="19"/>
      <c r="O10" s="19"/>
      <c r="P10" s="19"/>
    </row>
    <row r="11" spans="1:16">
      <c r="A11" s="60" t="s">
        <v>27</v>
      </c>
      <c r="B11" s="61" t="s">
        <v>856</v>
      </c>
      <c r="C11" s="62"/>
      <c r="D11" s="63"/>
      <c r="F11" s="19"/>
      <c r="G11" s="19"/>
      <c r="H11" s="19"/>
      <c r="I11" s="19"/>
      <c r="J11" s="19"/>
      <c r="K11" s="19"/>
      <c r="L11" s="19"/>
      <c r="M11" s="19"/>
      <c r="N11" s="19"/>
      <c r="O11" s="19"/>
      <c r="P11" s="19"/>
    </row>
    <row r="12" spans="1:16">
      <c r="A12" s="64">
        <f t="shared" ref="A12:A40" si="0">+A11+1</f>
        <v>2</v>
      </c>
      <c r="C12" s="65" t="s">
        <v>997</v>
      </c>
      <c r="D12" s="66">
        <f t="shared" ref="D12:D24" si="1">+D31+D50</f>
        <v>8103</v>
      </c>
      <c r="E12" s="67"/>
      <c r="F12" s="19"/>
      <c r="G12" s="19"/>
      <c r="H12" s="19"/>
      <c r="I12" s="19"/>
      <c r="J12" s="19"/>
      <c r="K12" s="19"/>
      <c r="L12" s="19"/>
      <c r="M12" s="19"/>
      <c r="N12" s="19"/>
      <c r="O12" s="19"/>
      <c r="P12" s="19"/>
    </row>
    <row r="13" spans="1:16">
      <c r="A13" s="64">
        <f t="shared" si="0"/>
        <v>3</v>
      </c>
      <c r="C13" s="65" t="s">
        <v>1110</v>
      </c>
      <c r="D13" s="69">
        <f t="shared" si="1"/>
        <v>8103</v>
      </c>
      <c r="E13" s="67"/>
      <c r="F13" s="19"/>
      <c r="G13" s="19"/>
      <c r="H13" s="19"/>
      <c r="I13" s="19"/>
      <c r="J13" s="19"/>
      <c r="K13" s="19"/>
      <c r="L13" s="19"/>
      <c r="M13" s="19"/>
      <c r="N13" s="19"/>
      <c r="O13" s="19"/>
      <c r="P13" s="19"/>
    </row>
    <row r="14" spans="1:16">
      <c r="A14" s="64">
        <f t="shared" si="0"/>
        <v>4</v>
      </c>
      <c r="C14" s="65" t="s">
        <v>47</v>
      </c>
      <c r="D14" s="69">
        <f t="shared" si="1"/>
        <v>8103</v>
      </c>
      <c r="E14" s="67"/>
      <c r="F14" s="19"/>
      <c r="G14" s="19"/>
      <c r="H14" s="19"/>
      <c r="I14" s="19"/>
      <c r="J14" s="19"/>
      <c r="K14" s="19"/>
      <c r="L14" s="19"/>
      <c r="M14" s="19"/>
      <c r="N14" s="19"/>
      <c r="O14" s="19"/>
      <c r="P14" s="19"/>
    </row>
    <row r="15" spans="1:16">
      <c r="A15" s="64">
        <f t="shared" si="0"/>
        <v>5</v>
      </c>
      <c r="C15" s="65" t="s">
        <v>48</v>
      </c>
      <c r="D15" s="69">
        <f t="shared" si="1"/>
        <v>8103</v>
      </c>
      <c r="E15" s="67"/>
      <c r="F15" s="19"/>
      <c r="G15" s="19"/>
      <c r="H15" s="19"/>
      <c r="I15" s="19"/>
      <c r="J15" s="19"/>
      <c r="K15" s="19"/>
      <c r="L15" s="19"/>
      <c r="M15" s="19"/>
      <c r="N15" s="19"/>
      <c r="O15" s="19"/>
      <c r="P15" s="19"/>
    </row>
    <row r="16" spans="1:16">
      <c r="A16" s="64">
        <f t="shared" si="0"/>
        <v>6</v>
      </c>
      <c r="C16" s="65" t="s">
        <v>49</v>
      </c>
      <c r="D16" s="69">
        <f t="shared" si="1"/>
        <v>8103</v>
      </c>
      <c r="E16" s="67"/>
      <c r="F16" s="19"/>
      <c r="G16" s="19"/>
      <c r="H16" s="19"/>
      <c r="I16" s="19"/>
      <c r="J16" s="19"/>
      <c r="K16" s="19"/>
      <c r="L16" s="19"/>
      <c r="M16" s="19"/>
      <c r="N16" s="19"/>
      <c r="O16" s="19"/>
      <c r="P16" s="19"/>
    </row>
    <row r="17" spans="1:16">
      <c r="A17" s="64">
        <f t="shared" si="0"/>
        <v>7</v>
      </c>
      <c r="C17" s="65" t="s">
        <v>21</v>
      </c>
      <c r="D17" s="69">
        <f t="shared" si="1"/>
        <v>8103</v>
      </c>
      <c r="E17" s="67"/>
      <c r="F17" s="19"/>
      <c r="G17" s="19"/>
      <c r="H17" s="19"/>
      <c r="I17" s="19"/>
      <c r="J17" s="19"/>
      <c r="K17" s="19"/>
      <c r="L17" s="19"/>
      <c r="M17" s="19"/>
      <c r="N17" s="19"/>
      <c r="O17" s="19"/>
      <c r="P17" s="19"/>
    </row>
    <row r="18" spans="1:16">
      <c r="A18" s="64">
        <f t="shared" si="0"/>
        <v>8</v>
      </c>
      <c r="C18" s="65" t="s">
        <v>50</v>
      </c>
      <c r="D18" s="69">
        <f t="shared" si="1"/>
        <v>8103</v>
      </c>
      <c r="E18" s="67"/>
      <c r="F18" s="19"/>
      <c r="G18" s="19"/>
      <c r="H18" s="19"/>
      <c r="I18" s="19"/>
      <c r="J18" s="19"/>
      <c r="K18" s="19"/>
      <c r="L18" s="19"/>
      <c r="M18" s="19"/>
      <c r="N18" s="19"/>
      <c r="O18" s="19"/>
      <c r="P18" s="19"/>
    </row>
    <row r="19" spans="1:16">
      <c r="A19" s="64">
        <f t="shared" si="0"/>
        <v>9</v>
      </c>
      <c r="C19" s="65" t="s">
        <v>51</v>
      </c>
      <c r="D19" s="69">
        <f t="shared" si="1"/>
        <v>8103</v>
      </c>
      <c r="E19" s="67"/>
      <c r="F19" s="19"/>
      <c r="G19" s="19"/>
      <c r="H19" s="19"/>
      <c r="I19" s="19"/>
      <c r="J19" s="19"/>
      <c r="K19" s="19"/>
      <c r="L19" s="19"/>
      <c r="M19" s="19"/>
      <c r="N19" s="19"/>
      <c r="O19" s="19"/>
      <c r="P19" s="19"/>
    </row>
    <row r="20" spans="1:16">
      <c r="A20" s="64">
        <f t="shared" si="0"/>
        <v>10</v>
      </c>
      <c r="C20" s="65" t="s">
        <v>52</v>
      </c>
      <c r="D20" s="69">
        <f t="shared" si="1"/>
        <v>8103</v>
      </c>
      <c r="E20" s="67"/>
      <c r="F20" s="19"/>
      <c r="G20" s="19"/>
      <c r="H20" s="19"/>
      <c r="I20" s="19"/>
      <c r="J20" s="19"/>
      <c r="K20" s="19"/>
      <c r="L20" s="19"/>
      <c r="M20" s="19"/>
      <c r="N20" s="19"/>
      <c r="O20" s="19"/>
      <c r="P20" s="19"/>
    </row>
    <row r="21" spans="1:16">
      <c r="A21" s="64">
        <f t="shared" si="0"/>
        <v>11</v>
      </c>
      <c r="C21" s="65" t="s">
        <v>53</v>
      </c>
      <c r="D21" s="69">
        <f t="shared" si="1"/>
        <v>8103</v>
      </c>
      <c r="E21" s="67"/>
      <c r="F21" s="19"/>
      <c r="G21" s="19"/>
      <c r="H21" s="19"/>
      <c r="I21" s="19"/>
      <c r="J21" s="19"/>
      <c r="K21" s="19"/>
      <c r="L21" s="19"/>
      <c r="M21" s="19"/>
      <c r="N21" s="19"/>
      <c r="O21" s="19"/>
      <c r="P21" s="19"/>
    </row>
    <row r="22" spans="1:16">
      <c r="A22" s="64">
        <f t="shared" si="0"/>
        <v>12</v>
      </c>
      <c r="C22" s="65" t="s">
        <v>54</v>
      </c>
      <c r="D22" s="69">
        <f t="shared" si="1"/>
        <v>8103</v>
      </c>
      <c r="E22" s="67"/>
      <c r="F22" s="19"/>
      <c r="G22" s="19"/>
      <c r="H22" s="19"/>
      <c r="I22" s="19"/>
      <c r="J22" s="19"/>
      <c r="K22" s="19"/>
      <c r="L22" s="19"/>
      <c r="M22" s="19"/>
      <c r="N22" s="19"/>
      <c r="O22" s="19"/>
      <c r="P22" s="19"/>
    </row>
    <row r="23" spans="1:16">
      <c r="A23" s="64">
        <f t="shared" si="0"/>
        <v>13</v>
      </c>
      <c r="C23" s="65" t="s">
        <v>55</v>
      </c>
      <c r="D23" s="69">
        <f t="shared" si="1"/>
        <v>8103</v>
      </c>
      <c r="E23" s="67"/>
      <c r="F23" s="19"/>
      <c r="G23" s="19"/>
      <c r="H23" s="19"/>
      <c r="I23" s="19"/>
      <c r="J23" s="19"/>
      <c r="K23" s="19"/>
      <c r="L23" s="19"/>
      <c r="M23" s="19"/>
      <c r="N23" s="19"/>
      <c r="O23" s="19"/>
      <c r="P23" s="19"/>
    </row>
    <row r="24" spans="1:16">
      <c r="A24" s="64">
        <f t="shared" si="0"/>
        <v>14</v>
      </c>
      <c r="C24" s="65" t="s">
        <v>1111</v>
      </c>
      <c r="D24" s="69">
        <f t="shared" si="1"/>
        <v>8103</v>
      </c>
      <c r="E24" s="67"/>
      <c r="F24" s="19"/>
      <c r="G24" s="19"/>
      <c r="H24" s="19"/>
      <c r="I24" s="19"/>
      <c r="J24" s="19"/>
      <c r="K24" s="19"/>
      <c r="L24" s="19"/>
      <c r="M24" s="19"/>
      <c r="N24" s="19"/>
      <c r="O24" s="19"/>
      <c r="P24" s="19"/>
    </row>
    <row r="25" spans="1:16">
      <c r="A25" s="64">
        <f t="shared" si="0"/>
        <v>15</v>
      </c>
      <c r="C25" s="65"/>
      <c r="D25" s="72"/>
      <c r="E25" s="73"/>
      <c r="F25" s="19"/>
      <c r="G25" s="19"/>
      <c r="H25" s="19"/>
      <c r="I25" s="19"/>
      <c r="J25" s="19"/>
      <c r="K25" s="19"/>
      <c r="L25" s="19"/>
      <c r="M25" s="19"/>
      <c r="N25" s="19"/>
      <c r="O25" s="19"/>
      <c r="P25" s="19"/>
    </row>
    <row r="26" spans="1:16" ht="12.75" thickBot="1">
      <c r="A26" s="64">
        <f t="shared" si="0"/>
        <v>16</v>
      </c>
      <c r="C26" s="77" t="s">
        <v>29</v>
      </c>
      <c r="D26" s="172">
        <f>(D12+D24)/2</f>
        <v>8103</v>
      </c>
      <c r="E26" s="73"/>
      <c r="F26" s="19"/>
      <c r="G26" s="19"/>
      <c r="H26" s="19"/>
      <c r="I26" s="19"/>
      <c r="J26" s="19"/>
      <c r="K26" s="19"/>
      <c r="L26" s="19"/>
      <c r="M26" s="19"/>
      <c r="N26" s="19"/>
      <c r="O26" s="19"/>
      <c r="P26" s="19"/>
    </row>
    <row r="27" spans="1:16" ht="12.75" customHeight="1">
      <c r="A27" s="64">
        <f t="shared" si="0"/>
        <v>17</v>
      </c>
      <c r="D27" s="73"/>
      <c r="E27" s="73"/>
      <c r="F27" s="19"/>
      <c r="G27" s="19"/>
      <c r="H27" s="19"/>
      <c r="I27" s="19"/>
      <c r="J27" s="19"/>
      <c r="K27" s="19"/>
      <c r="L27" s="19"/>
      <c r="M27" s="19"/>
      <c r="N27" s="19"/>
      <c r="O27" s="19"/>
      <c r="P27" s="19"/>
    </row>
    <row r="28" spans="1:16">
      <c r="A28" s="64">
        <f t="shared" si="0"/>
        <v>18</v>
      </c>
      <c r="D28" s="54" t="s">
        <v>64</v>
      </c>
      <c r="E28" s="57"/>
      <c r="F28" s="19"/>
      <c r="G28" s="19"/>
      <c r="H28" s="19"/>
      <c r="I28" s="19"/>
      <c r="J28" s="19"/>
      <c r="K28" s="19"/>
      <c r="L28" s="19"/>
      <c r="M28" s="19"/>
      <c r="N28" s="19"/>
      <c r="O28" s="19"/>
      <c r="P28" s="19"/>
    </row>
    <row r="29" spans="1:16">
      <c r="A29" s="64">
        <f t="shared" si="0"/>
        <v>19</v>
      </c>
      <c r="C29" s="19"/>
      <c r="D29" s="54">
        <v>105</v>
      </c>
      <c r="E29" s="57"/>
      <c r="F29" s="19"/>
      <c r="G29" s="19"/>
      <c r="H29" s="19"/>
      <c r="I29" s="19"/>
      <c r="J29" s="19"/>
      <c r="K29" s="19"/>
      <c r="L29" s="19"/>
      <c r="M29" s="19"/>
      <c r="N29" s="19"/>
      <c r="O29" s="19"/>
      <c r="P29" s="19"/>
    </row>
    <row r="30" spans="1:16">
      <c r="A30" s="64">
        <f t="shared" si="0"/>
        <v>20</v>
      </c>
      <c r="B30" s="180" t="s">
        <v>110</v>
      </c>
      <c r="C30" s="181"/>
      <c r="D30" s="63"/>
      <c r="F30" s="19"/>
      <c r="G30" s="19"/>
      <c r="H30" s="19"/>
      <c r="I30" s="19"/>
      <c r="J30" s="19"/>
      <c r="K30" s="19"/>
      <c r="L30" s="19"/>
      <c r="M30" s="19"/>
      <c r="N30" s="19"/>
      <c r="O30" s="19"/>
      <c r="P30" s="19"/>
    </row>
    <row r="31" spans="1:16">
      <c r="A31" s="64">
        <f t="shared" si="0"/>
        <v>21</v>
      </c>
      <c r="C31" s="65" t="s">
        <v>997</v>
      </c>
      <c r="D31" s="996">
        <v>0</v>
      </c>
      <c r="E31" s="67"/>
      <c r="F31" s="19"/>
      <c r="G31" s="19"/>
      <c r="H31" s="19"/>
      <c r="I31" s="19"/>
      <c r="J31" s="19"/>
      <c r="K31" s="19"/>
      <c r="L31" s="19"/>
      <c r="M31" s="19"/>
      <c r="N31" s="19"/>
      <c r="O31" s="19"/>
      <c r="P31" s="19"/>
    </row>
    <row r="32" spans="1:16">
      <c r="A32" s="64">
        <f t="shared" si="0"/>
        <v>22</v>
      </c>
      <c r="C32" s="65" t="s">
        <v>1110</v>
      </c>
      <c r="D32" s="1006">
        <v>0</v>
      </c>
      <c r="E32" s="67"/>
      <c r="F32" s="19"/>
      <c r="G32" s="19"/>
      <c r="H32" s="19"/>
      <c r="I32" s="19"/>
      <c r="J32" s="19"/>
      <c r="K32" s="19"/>
      <c r="L32" s="19"/>
      <c r="M32" s="19"/>
      <c r="N32" s="19"/>
      <c r="O32" s="19"/>
      <c r="P32" s="19"/>
    </row>
    <row r="33" spans="1:16">
      <c r="A33" s="64">
        <f t="shared" si="0"/>
        <v>23</v>
      </c>
      <c r="C33" s="65" t="s">
        <v>47</v>
      </c>
      <c r="D33" s="1006">
        <v>0</v>
      </c>
      <c r="E33" s="67"/>
      <c r="F33" s="19"/>
      <c r="G33" s="19"/>
      <c r="H33" s="19"/>
      <c r="I33" s="19"/>
      <c r="J33" s="19"/>
      <c r="K33" s="19"/>
      <c r="L33" s="19"/>
      <c r="M33" s="19"/>
      <c r="N33" s="19"/>
      <c r="O33" s="19"/>
      <c r="P33" s="19"/>
    </row>
    <row r="34" spans="1:16">
      <c r="A34" s="64">
        <f t="shared" si="0"/>
        <v>24</v>
      </c>
      <c r="C34" s="65" t="s">
        <v>48</v>
      </c>
      <c r="D34" s="1006">
        <v>0</v>
      </c>
      <c r="E34" s="67"/>
      <c r="F34" s="19"/>
      <c r="G34" s="19"/>
      <c r="H34" s="19"/>
      <c r="I34" s="19"/>
      <c r="J34" s="19"/>
      <c r="K34" s="19"/>
      <c r="L34" s="19"/>
      <c r="M34" s="19"/>
      <c r="N34" s="19"/>
      <c r="O34" s="19"/>
      <c r="P34" s="19"/>
    </row>
    <row r="35" spans="1:16">
      <c r="A35" s="64">
        <f t="shared" si="0"/>
        <v>25</v>
      </c>
      <c r="C35" s="65" t="s">
        <v>49</v>
      </c>
      <c r="D35" s="1006">
        <v>0</v>
      </c>
      <c r="E35" s="67"/>
      <c r="F35" s="19"/>
      <c r="G35" s="19"/>
      <c r="H35" s="19"/>
      <c r="I35" s="19"/>
      <c r="J35" s="19"/>
      <c r="K35" s="19"/>
      <c r="L35" s="19"/>
      <c r="M35" s="19"/>
      <c r="N35" s="19"/>
      <c r="O35" s="19"/>
      <c r="P35" s="19"/>
    </row>
    <row r="36" spans="1:16">
      <c r="A36" s="64">
        <f t="shared" si="0"/>
        <v>26</v>
      </c>
      <c r="C36" s="65" t="s">
        <v>21</v>
      </c>
      <c r="D36" s="1006">
        <v>0</v>
      </c>
      <c r="E36" s="67"/>
      <c r="F36" s="19"/>
      <c r="G36" s="19"/>
      <c r="H36" s="19"/>
      <c r="I36" s="19"/>
      <c r="J36" s="19"/>
      <c r="K36" s="19"/>
      <c r="L36" s="19"/>
      <c r="M36" s="19"/>
      <c r="N36" s="19"/>
      <c r="O36" s="19"/>
      <c r="P36" s="19"/>
    </row>
    <row r="37" spans="1:16">
      <c r="A37" s="64">
        <f t="shared" si="0"/>
        <v>27</v>
      </c>
      <c r="C37" s="65" t="s">
        <v>50</v>
      </c>
      <c r="D37" s="1006">
        <v>0</v>
      </c>
      <c r="E37" s="67"/>
      <c r="F37" s="19"/>
      <c r="G37" s="19"/>
      <c r="H37" s="19"/>
      <c r="I37" s="19"/>
      <c r="J37" s="19"/>
      <c r="K37" s="19"/>
      <c r="L37" s="19"/>
      <c r="M37" s="19"/>
      <c r="N37" s="19"/>
      <c r="O37" s="19"/>
      <c r="P37" s="19"/>
    </row>
    <row r="38" spans="1:16">
      <c r="A38" s="64">
        <f t="shared" si="0"/>
        <v>28</v>
      </c>
      <c r="C38" s="65" t="s">
        <v>51</v>
      </c>
      <c r="D38" s="1006">
        <v>0</v>
      </c>
      <c r="E38" s="67"/>
      <c r="F38" s="19"/>
      <c r="G38" s="19"/>
      <c r="H38" s="19"/>
      <c r="I38" s="19"/>
      <c r="J38" s="19"/>
      <c r="K38" s="19"/>
      <c r="L38" s="19"/>
      <c r="M38" s="19"/>
      <c r="N38" s="19"/>
      <c r="O38" s="19"/>
      <c r="P38" s="19"/>
    </row>
    <row r="39" spans="1:16">
      <c r="A39" s="64">
        <f t="shared" si="0"/>
        <v>29</v>
      </c>
      <c r="C39" s="65" t="s">
        <v>52</v>
      </c>
      <c r="D39" s="1006">
        <v>0</v>
      </c>
      <c r="E39" s="67"/>
      <c r="F39" s="19"/>
      <c r="G39" s="19"/>
      <c r="H39" s="19"/>
      <c r="I39" s="19"/>
      <c r="J39" s="19"/>
      <c r="K39" s="19"/>
      <c r="L39" s="19"/>
      <c r="M39" s="19"/>
      <c r="N39" s="19"/>
      <c r="O39" s="19"/>
      <c r="P39" s="19"/>
    </row>
    <row r="40" spans="1:16">
      <c r="A40" s="64">
        <f t="shared" si="0"/>
        <v>30</v>
      </c>
      <c r="C40" s="65" t="s">
        <v>53</v>
      </c>
      <c r="D40" s="1006">
        <v>0</v>
      </c>
      <c r="E40" s="67"/>
      <c r="F40" s="19"/>
      <c r="G40" s="19"/>
      <c r="H40" s="19"/>
      <c r="I40" s="19"/>
      <c r="J40" s="19"/>
      <c r="K40" s="19"/>
      <c r="L40" s="19"/>
      <c r="M40" s="19"/>
      <c r="N40" s="19"/>
      <c r="O40" s="19"/>
      <c r="P40" s="19"/>
    </row>
    <row r="41" spans="1:16">
      <c r="A41" s="64">
        <f t="shared" ref="A41:A64" si="2">+A40+1</f>
        <v>31</v>
      </c>
      <c r="C41" s="65" t="s">
        <v>54</v>
      </c>
      <c r="D41" s="1006">
        <v>0</v>
      </c>
      <c r="E41" s="67"/>
      <c r="F41" s="19"/>
      <c r="G41" s="19"/>
      <c r="H41" s="19"/>
      <c r="I41" s="19"/>
      <c r="J41" s="19"/>
      <c r="K41" s="19"/>
      <c r="L41" s="19"/>
      <c r="M41" s="19"/>
      <c r="N41" s="19"/>
      <c r="O41" s="19"/>
      <c r="P41" s="19"/>
    </row>
    <row r="42" spans="1:16">
      <c r="A42" s="64">
        <f t="shared" si="2"/>
        <v>32</v>
      </c>
      <c r="C42" s="65" t="s">
        <v>55</v>
      </c>
      <c r="D42" s="1006">
        <v>0</v>
      </c>
      <c r="E42" s="67"/>
      <c r="F42" s="19"/>
      <c r="G42" s="19"/>
      <c r="H42" s="19"/>
      <c r="I42" s="19"/>
      <c r="J42" s="19"/>
      <c r="K42" s="19"/>
      <c r="L42" s="19"/>
      <c r="M42" s="19"/>
      <c r="N42" s="19"/>
      <c r="O42" s="19"/>
      <c r="P42" s="19"/>
    </row>
    <row r="43" spans="1:16">
      <c r="A43" s="64">
        <f t="shared" si="2"/>
        <v>33</v>
      </c>
      <c r="C43" s="65" t="s">
        <v>1111</v>
      </c>
      <c r="D43" s="1006">
        <v>0</v>
      </c>
      <c r="E43" s="67"/>
      <c r="F43" s="19"/>
      <c r="G43" s="19"/>
      <c r="H43" s="19"/>
      <c r="I43" s="19"/>
      <c r="J43" s="19"/>
      <c r="K43" s="19"/>
      <c r="L43" s="19"/>
      <c r="M43" s="19"/>
      <c r="N43" s="19"/>
      <c r="O43" s="19"/>
      <c r="P43" s="19"/>
    </row>
    <row r="44" spans="1:16">
      <c r="A44" s="64">
        <f t="shared" si="2"/>
        <v>34</v>
      </c>
      <c r="C44" s="65"/>
      <c r="D44" s="72"/>
      <c r="E44" s="73"/>
      <c r="F44" s="19"/>
      <c r="G44" s="19"/>
      <c r="H44" s="19"/>
      <c r="I44" s="19"/>
      <c r="J44" s="19"/>
      <c r="K44" s="19"/>
      <c r="L44" s="19"/>
      <c r="M44" s="19"/>
      <c r="N44" s="19"/>
      <c r="O44" s="19"/>
      <c r="P44" s="19"/>
    </row>
    <row r="45" spans="1:16">
      <c r="A45" s="64">
        <f t="shared" si="2"/>
        <v>35</v>
      </c>
      <c r="C45" s="77" t="s">
        <v>29</v>
      </c>
      <c r="D45" s="120">
        <f>(D31+D43)/2</f>
        <v>0</v>
      </c>
      <c r="E45" s="73"/>
      <c r="F45" s="19"/>
      <c r="G45" s="19"/>
      <c r="H45" s="19"/>
      <c r="I45" s="19"/>
      <c r="J45" s="19"/>
      <c r="K45" s="19"/>
      <c r="L45" s="19"/>
      <c r="M45" s="19"/>
      <c r="N45" s="19"/>
      <c r="O45" s="19"/>
      <c r="P45" s="19"/>
    </row>
    <row r="46" spans="1:16">
      <c r="A46" s="64">
        <f t="shared" si="2"/>
        <v>36</v>
      </c>
      <c r="C46" s="19"/>
      <c r="D46" s="19"/>
      <c r="E46" s="19"/>
      <c r="F46" s="19"/>
      <c r="G46" s="19"/>
      <c r="H46" s="19"/>
      <c r="I46" s="19"/>
      <c r="J46" s="19"/>
      <c r="K46" s="19"/>
      <c r="L46" s="19"/>
      <c r="M46" s="19"/>
      <c r="N46" s="19"/>
      <c r="O46" s="19"/>
      <c r="P46" s="19"/>
    </row>
    <row r="47" spans="1:16">
      <c r="A47" s="64">
        <f t="shared" si="2"/>
        <v>37</v>
      </c>
      <c r="C47" s="19"/>
      <c r="D47" s="54" t="s">
        <v>64</v>
      </c>
      <c r="E47" s="57"/>
      <c r="F47" s="19"/>
      <c r="G47" s="19"/>
      <c r="H47" s="19"/>
      <c r="I47" s="19"/>
      <c r="J47" s="19"/>
      <c r="K47" s="19"/>
      <c r="L47" s="19"/>
      <c r="M47" s="19"/>
      <c r="N47" s="19"/>
      <c r="O47" s="19"/>
      <c r="P47" s="19"/>
    </row>
    <row r="48" spans="1:16">
      <c r="A48" s="64">
        <f t="shared" si="2"/>
        <v>38</v>
      </c>
      <c r="C48" s="19"/>
      <c r="D48" s="54">
        <v>105</v>
      </c>
      <c r="E48" s="57"/>
      <c r="F48" s="19"/>
      <c r="G48" s="19"/>
      <c r="H48" s="19"/>
      <c r="I48" s="19"/>
      <c r="J48" s="19"/>
      <c r="K48" s="19"/>
      <c r="L48" s="19"/>
      <c r="M48" s="19"/>
      <c r="N48" s="19"/>
      <c r="O48" s="19"/>
      <c r="P48" s="19"/>
    </row>
    <row r="49" spans="1:16">
      <c r="A49" s="64">
        <f t="shared" si="2"/>
        <v>39</v>
      </c>
      <c r="B49" s="180" t="s">
        <v>111</v>
      </c>
      <c r="C49" s="181"/>
      <c r="D49" s="63"/>
      <c r="F49" s="19"/>
      <c r="G49" s="19"/>
      <c r="H49" s="19"/>
      <c r="I49" s="19"/>
      <c r="J49" s="19"/>
      <c r="K49" s="19"/>
      <c r="L49" s="19"/>
      <c r="M49" s="19"/>
      <c r="N49" s="19"/>
      <c r="O49" s="19"/>
      <c r="P49" s="19"/>
    </row>
    <row r="50" spans="1:16">
      <c r="A50" s="64">
        <f t="shared" si="2"/>
        <v>40</v>
      </c>
      <c r="C50" s="65" t="s">
        <v>997</v>
      </c>
      <c r="D50" s="996">
        <v>8103</v>
      </c>
      <c r="E50" s="67"/>
      <c r="F50" s="19"/>
      <c r="G50" s="19"/>
      <c r="H50" s="19"/>
      <c r="I50" s="19"/>
      <c r="J50" s="19"/>
      <c r="K50" s="19"/>
      <c r="L50" s="19"/>
      <c r="M50" s="19"/>
      <c r="N50" s="19"/>
      <c r="O50" s="19"/>
      <c r="P50" s="19"/>
    </row>
    <row r="51" spans="1:16">
      <c r="A51" s="64">
        <f t="shared" si="2"/>
        <v>41</v>
      </c>
      <c r="C51" s="65" t="s">
        <v>1110</v>
      </c>
      <c r="D51" s="1018">
        <v>8103</v>
      </c>
      <c r="E51" s="67"/>
      <c r="F51" s="19"/>
      <c r="G51" s="19"/>
      <c r="H51" s="19"/>
      <c r="I51" s="19"/>
      <c r="J51" s="19"/>
      <c r="K51" s="19"/>
      <c r="L51" s="19"/>
      <c r="M51" s="19"/>
      <c r="N51" s="19"/>
      <c r="O51" s="19"/>
      <c r="P51" s="19"/>
    </row>
    <row r="52" spans="1:16">
      <c r="A52" s="64">
        <f t="shared" si="2"/>
        <v>42</v>
      </c>
      <c r="C52" s="65" t="s">
        <v>47</v>
      </c>
      <c r="D52" s="1018">
        <v>8103</v>
      </c>
      <c r="E52" s="67"/>
      <c r="F52" s="19"/>
      <c r="G52" s="19"/>
      <c r="H52" s="19"/>
      <c r="I52" s="19"/>
      <c r="J52" s="19"/>
      <c r="K52" s="19"/>
      <c r="L52" s="19"/>
      <c r="M52" s="19"/>
      <c r="N52" s="19"/>
      <c r="O52" s="19"/>
      <c r="P52" s="19"/>
    </row>
    <row r="53" spans="1:16">
      <c r="A53" s="64">
        <f t="shared" si="2"/>
        <v>43</v>
      </c>
      <c r="C53" s="65" t="s">
        <v>48</v>
      </c>
      <c r="D53" s="1018">
        <v>8103</v>
      </c>
      <c r="E53" s="67"/>
      <c r="F53" s="19"/>
      <c r="G53" s="19"/>
      <c r="H53" s="19"/>
      <c r="I53" s="19"/>
      <c r="J53" s="19"/>
      <c r="K53" s="19"/>
      <c r="L53" s="19"/>
      <c r="M53" s="19"/>
      <c r="N53" s="19"/>
      <c r="O53" s="19"/>
      <c r="P53" s="19"/>
    </row>
    <row r="54" spans="1:16">
      <c r="A54" s="64">
        <f t="shared" si="2"/>
        <v>44</v>
      </c>
      <c r="C54" s="65" t="s">
        <v>49</v>
      </c>
      <c r="D54" s="1018">
        <v>8103</v>
      </c>
      <c r="E54" s="67"/>
      <c r="F54" s="19"/>
      <c r="G54" s="19"/>
      <c r="H54" s="19"/>
      <c r="I54" s="19"/>
      <c r="J54" s="19"/>
      <c r="K54" s="19"/>
      <c r="L54" s="19"/>
      <c r="M54" s="19"/>
      <c r="N54" s="19"/>
      <c r="O54" s="19"/>
      <c r="P54" s="19"/>
    </row>
    <row r="55" spans="1:16">
      <c r="A55" s="64">
        <f t="shared" si="2"/>
        <v>45</v>
      </c>
      <c r="C55" s="65" t="s">
        <v>21</v>
      </c>
      <c r="D55" s="1018">
        <v>8103</v>
      </c>
      <c r="E55" s="67"/>
      <c r="F55" s="19"/>
      <c r="G55" s="19"/>
      <c r="H55" s="19"/>
      <c r="I55" s="19"/>
      <c r="J55" s="19"/>
      <c r="K55" s="19"/>
      <c r="L55" s="19"/>
      <c r="M55" s="19"/>
      <c r="N55" s="19"/>
      <c r="O55" s="19"/>
      <c r="P55" s="19"/>
    </row>
    <row r="56" spans="1:16">
      <c r="A56" s="64">
        <f t="shared" si="2"/>
        <v>46</v>
      </c>
      <c r="C56" s="65" t="s">
        <v>50</v>
      </c>
      <c r="D56" s="1018">
        <v>8103</v>
      </c>
      <c r="E56" s="67"/>
      <c r="F56" s="19"/>
      <c r="G56" s="19"/>
      <c r="H56" s="19"/>
      <c r="I56" s="19"/>
      <c r="J56" s="19"/>
      <c r="K56" s="19"/>
      <c r="L56" s="19"/>
      <c r="M56" s="19"/>
      <c r="N56" s="19"/>
      <c r="O56" s="19"/>
      <c r="P56" s="19"/>
    </row>
    <row r="57" spans="1:16">
      <c r="A57" s="64">
        <f t="shared" si="2"/>
        <v>47</v>
      </c>
      <c r="C57" s="65" t="s">
        <v>51</v>
      </c>
      <c r="D57" s="1018">
        <v>8103</v>
      </c>
      <c r="E57" s="67"/>
      <c r="F57" s="19"/>
      <c r="G57" s="19"/>
      <c r="H57" s="19"/>
      <c r="I57" s="19"/>
      <c r="J57" s="19"/>
      <c r="K57" s="19"/>
      <c r="L57" s="19"/>
      <c r="M57" s="19"/>
      <c r="N57" s="19"/>
      <c r="O57" s="19"/>
      <c r="P57" s="19"/>
    </row>
    <row r="58" spans="1:16">
      <c r="A58" s="64">
        <f t="shared" si="2"/>
        <v>48</v>
      </c>
      <c r="C58" s="65" t="s">
        <v>52</v>
      </c>
      <c r="D58" s="1018">
        <v>8103</v>
      </c>
      <c r="E58" s="67"/>
      <c r="F58" s="19"/>
      <c r="G58" s="19"/>
      <c r="H58" s="19"/>
      <c r="I58" s="19"/>
      <c r="J58" s="19"/>
      <c r="K58" s="19"/>
      <c r="L58" s="19"/>
      <c r="M58" s="19"/>
      <c r="N58" s="19"/>
      <c r="O58" s="19"/>
      <c r="P58" s="19"/>
    </row>
    <row r="59" spans="1:16">
      <c r="A59" s="64">
        <f t="shared" si="2"/>
        <v>49</v>
      </c>
      <c r="C59" s="65" t="s">
        <v>53</v>
      </c>
      <c r="D59" s="1018">
        <v>8103</v>
      </c>
      <c r="E59" s="67"/>
      <c r="F59" s="19"/>
      <c r="G59" s="19"/>
      <c r="H59" s="19"/>
      <c r="I59" s="19"/>
      <c r="J59" s="19"/>
      <c r="K59" s="19"/>
      <c r="L59" s="19"/>
      <c r="M59" s="19"/>
      <c r="N59" s="19"/>
      <c r="O59" s="19"/>
      <c r="P59" s="19"/>
    </row>
    <row r="60" spans="1:16">
      <c r="A60" s="64">
        <f t="shared" si="2"/>
        <v>50</v>
      </c>
      <c r="C60" s="65" t="s">
        <v>54</v>
      </c>
      <c r="D60" s="1018">
        <v>8103</v>
      </c>
      <c r="E60" s="67"/>
      <c r="F60" s="19"/>
      <c r="G60" s="19"/>
      <c r="H60" s="19"/>
      <c r="I60" s="19"/>
      <c r="J60" s="19"/>
      <c r="K60" s="19"/>
      <c r="L60" s="19"/>
      <c r="M60" s="19"/>
      <c r="N60" s="19"/>
      <c r="O60" s="19"/>
      <c r="P60" s="19"/>
    </row>
    <row r="61" spans="1:16">
      <c r="A61" s="64">
        <f t="shared" si="2"/>
        <v>51</v>
      </c>
      <c r="C61" s="65" t="s">
        <v>55</v>
      </c>
      <c r="D61" s="1018">
        <v>8103</v>
      </c>
      <c r="E61" s="67"/>
      <c r="F61" s="19"/>
      <c r="G61" s="19"/>
      <c r="H61" s="19"/>
      <c r="I61" s="19"/>
      <c r="J61" s="19"/>
      <c r="K61" s="19"/>
      <c r="L61" s="19"/>
      <c r="M61" s="19"/>
      <c r="N61" s="19"/>
      <c r="O61" s="19"/>
      <c r="P61" s="19"/>
    </row>
    <row r="62" spans="1:16">
      <c r="A62" s="64">
        <f t="shared" si="2"/>
        <v>52</v>
      </c>
      <c r="C62" s="65" t="s">
        <v>1111</v>
      </c>
      <c r="D62" s="1018">
        <v>8103</v>
      </c>
      <c r="E62" s="67"/>
      <c r="F62" s="19"/>
      <c r="G62" s="19"/>
      <c r="H62" s="19"/>
      <c r="I62" s="19"/>
      <c r="J62" s="19"/>
      <c r="K62" s="19"/>
      <c r="L62" s="19"/>
      <c r="M62" s="19"/>
      <c r="N62" s="19"/>
      <c r="O62" s="19"/>
      <c r="P62" s="19"/>
    </row>
    <row r="63" spans="1:16">
      <c r="A63" s="64">
        <f t="shared" si="2"/>
        <v>53</v>
      </c>
      <c r="C63" s="65"/>
      <c r="D63" s="72"/>
      <c r="E63" s="73"/>
      <c r="F63" s="19"/>
      <c r="G63" s="19"/>
      <c r="H63" s="19"/>
      <c r="I63" s="19"/>
      <c r="J63" s="19"/>
      <c r="K63" s="19"/>
      <c r="L63" s="19"/>
      <c r="M63" s="19"/>
      <c r="N63" s="19"/>
      <c r="O63" s="19"/>
      <c r="P63" s="19"/>
    </row>
    <row r="64" spans="1:16">
      <c r="A64" s="64">
        <f t="shared" si="2"/>
        <v>54</v>
      </c>
      <c r="C64" s="77" t="s">
        <v>29</v>
      </c>
      <c r="D64" s="120">
        <f>(D50+D62)/2</f>
        <v>8103</v>
      </c>
      <c r="E64" s="73"/>
      <c r="F64" s="19"/>
      <c r="G64" s="19"/>
      <c r="H64" s="19"/>
      <c r="I64" s="19"/>
      <c r="J64" s="19"/>
      <c r="K64" s="19"/>
      <c r="L64" s="19"/>
      <c r="M64" s="19"/>
      <c r="N64" s="19"/>
      <c r="O64" s="19"/>
      <c r="P64" s="19"/>
    </row>
  </sheetData>
  <phoneticPr fontId="10" type="noConversion"/>
  <pageMargins left="0.5" right="0.25" top="0.5" bottom="0.25" header="0.75" footer="0.5"/>
  <pageSetup scale="73" orientation="portrait" r:id="rId1"/>
  <headerFooter alignWithMargins="0">
    <oddFooter>&amp;CPage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00FFCC"/>
    <pageSetUpPr autoPageBreaks="0" fitToPage="1"/>
  </sheetPr>
  <dimension ref="A1:P62"/>
  <sheetViews>
    <sheetView showGridLines="0" topLeftCell="A13" zoomScaleNormal="80" workbookViewId="0">
      <selection activeCell="H40" sqref="H40"/>
    </sheetView>
  </sheetViews>
  <sheetFormatPr defaultColWidth="14.44140625" defaultRowHeight="12"/>
  <cols>
    <col min="1" max="1" width="4.5546875" style="51" customWidth="1"/>
    <col min="2" max="2" width="2.77734375" style="49" customWidth="1"/>
    <col min="3" max="3" width="34.6640625" style="49" customWidth="1"/>
    <col min="4" max="4" width="14.44140625" style="49" customWidth="1"/>
    <col min="5" max="5" width="4.77734375" style="49" customWidth="1"/>
    <col min="6" max="6" width="13.109375" style="49" bestFit="1" customWidth="1"/>
    <col min="7" max="7" width="0.88671875" style="49" customWidth="1"/>
    <col min="8" max="8" width="12.88671875" style="49" bestFit="1" customWidth="1"/>
    <col min="9" max="9" width="0.88671875" style="49" customWidth="1"/>
    <col min="10" max="10" width="12.88671875" style="49" bestFit="1" customWidth="1"/>
    <col min="11" max="11" width="0.88671875" style="49" customWidth="1"/>
    <col min="12" max="12" width="12.88671875" style="49" customWidth="1"/>
    <col min="13" max="13" width="0.88671875" style="49" customWidth="1"/>
    <col min="14" max="14" width="18.109375" style="49" bestFit="1" customWidth="1"/>
    <col min="15" max="15" width="0.6640625" style="49" customWidth="1"/>
    <col min="16" max="16" width="14.44140625" style="49" bestFit="1" customWidth="1"/>
    <col min="17" max="16384" width="14.44140625" style="49"/>
  </cols>
  <sheetData>
    <row r="1" spans="1:16">
      <c r="A1" s="6" t="s">
        <v>855</v>
      </c>
      <c r="B1" s="47"/>
      <c r="C1" s="47"/>
      <c r="D1" s="47"/>
      <c r="E1" s="47"/>
      <c r="F1" s="48" t="str">
        <f>Cover!C1</f>
        <v>2018 Workpapers</v>
      </c>
      <c r="G1" s="47"/>
      <c r="H1" s="47"/>
      <c r="I1" s="47"/>
      <c r="J1" s="47"/>
      <c r="K1" s="47"/>
      <c r="L1" s="47"/>
      <c r="M1" s="47"/>
      <c r="N1" s="47"/>
      <c r="O1" s="47"/>
    </row>
    <row r="2" spans="1:16">
      <c r="A2" s="6" t="s">
        <v>852</v>
      </c>
      <c r="B2" s="47"/>
      <c r="C2" s="47"/>
      <c r="D2" s="47"/>
      <c r="E2" s="47"/>
      <c r="F2" s="50"/>
      <c r="G2" s="47"/>
      <c r="H2" s="47"/>
      <c r="I2" s="47"/>
      <c r="J2" s="47"/>
      <c r="K2" s="47"/>
      <c r="L2" s="47"/>
      <c r="M2" s="47"/>
      <c r="N2" s="47"/>
      <c r="O2" s="47"/>
    </row>
    <row r="3" spans="1:16">
      <c r="A3" s="6" t="s">
        <v>1109</v>
      </c>
      <c r="B3" s="47"/>
      <c r="C3" s="47"/>
      <c r="D3" s="182"/>
      <c r="E3" s="47"/>
      <c r="F3" s="47"/>
      <c r="G3" s="47"/>
      <c r="H3" s="47"/>
      <c r="I3" s="47"/>
      <c r="J3" s="47"/>
      <c r="K3" s="47"/>
      <c r="L3" s="47"/>
      <c r="M3" s="47"/>
      <c r="N3" s="47"/>
      <c r="O3" s="47"/>
    </row>
    <row r="4" spans="1:16">
      <c r="A4" s="418"/>
    </row>
    <row r="5" spans="1:16">
      <c r="A5" s="51" t="s">
        <v>46</v>
      </c>
      <c r="D5" s="54" t="s">
        <v>871</v>
      </c>
      <c r="E5" s="57"/>
      <c r="F5" s="31" t="s">
        <v>45</v>
      </c>
      <c r="G5" s="19"/>
      <c r="H5" s="19"/>
      <c r="I5" s="19"/>
      <c r="J5" s="19"/>
      <c r="K5" s="19"/>
      <c r="L5" s="19"/>
      <c r="M5" s="19"/>
      <c r="N5" s="19"/>
      <c r="O5" s="19"/>
      <c r="P5" s="19"/>
    </row>
    <row r="6" spans="1:16">
      <c r="A6" s="58" t="s">
        <v>22</v>
      </c>
      <c r="D6" s="54" t="s">
        <v>872</v>
      </c>
      <c r="E6" s="57"/>
      <c r="F6" s="30" t="s">
        <v>873</v>
      </c>
      <c r="G6" s="19"/>
      <c r="H6" s="19"/>
      <c r="I6" s="19"/>
      <c r="J6" s="19"/>
      <c r="K6" s="19"/>
      <c r="L6" s="19"/>
      <c r="M6" s="19"/>
      <c r="N6" s="19"/>
      <c r="O6" s="19"/>
      <c r="P6" s="19"/>
    </row>
    <row r="7" spans="1:16">
      <c r="A7" s="64">
        <v>1</v>
      </c>
      <c r="B7" s="61" t="s">
        <v>856</v>
      </c>
      <c r="C7" s="62"/>
      <c r="D7" s="63"/>
      <c r="F7" s="19"/>
      <c r="G7" s="19"/>
      <c r="H7" s="19"/>
      <c r="I7" s="19"/>
      <c r="J7" s="19"/>
      <c r="K7" s="19"/>
      <c r="L7" s="19"/>
      <c r="M7" s="19"/>
      <c r="N7" s="19"/>
      <c r="O7" s="19"/>
      <c r="P7" s="19"/>
    </row>
    <row r="8" spans="1:16">
      <c r="A8" s="64">
        <v>2</v>
      </c>
      <c r="C8" s="65" t="s">
        <v>1124</v>
      </c>
      <c r="D8" s="66">
        <f>D23+D38</f>
        <v>218403230.66999999</v>
      </c>
      <c r="E8" s="67"/>
      <c r="F8" s="66">
        <f>F23+F38</f>
        <v>54948725.209999993</v>
      </c>
      <c r="G8" s="19"/>
      <c r="H8" s="19"/>
      <c r="I8" s="19"/>
      <c r="J8" s="19"/>
      <c r="K8" s="19"/>
      <c r="L8" s="19"/>
      <c r="M8" s="19"/>
      <c r="N8" s="19"/>
      <c r="O8" s="19"/>
      <c r="P8" s="19"/>
    </row>
    <row r="9" spans="1:16">
      <c r="A9" s="64">
        <f>A8+1</f>
        <v>3</v>
      </c>
      <c r="C9" s="65" t="s">
        <v>1125</v>
      </c>
      <c r="D9" s="116">
        <f>D24+D39</f>
        <v>223040025.57999998</v>
      </c>
      <c r="E9" s="67"/>
      <c r="F9" s="116">
        <f>F24+F39</f>
        <v>61324609.25999999</v>
      </c>
      <c r="G9" s="19"/>
      <c r="H9" s="19"/>
      <c r="I9" s="19"/>
      <c r="J9" s="19"/>
      <c r="K9" s="19"/>
      <c r="L9" s="19"/>
      <c r="M9" s="19"/>
      <c r="N9" s="19"/>
      <c r="O9" s="19"/>
      <c r="P9" s="19"/>
    </row>
    <row r="10" spans="1:16">
      <c r="A10" s="64"/>
      <c r="C10" s="65"/>
      <c r="D10" s="72"/>
      <c r="E10" s="73"/>
      <c r="F10" s="72"/>
      <c r="G10" s="19"/>
      <c r="H10" s="19"/>
      <c r="I10" s="19"/>
      <c r="J10" s="19"/>
      <c r="K10" s="19"/>
      <c r="L10" s="19"/>
      <c r="M10" s="19"/>
      <c r="N10" s="19"/>
      <c r="O10" s="19"/>
      <c r="P10" s="19"/>
    </row>
    <row r="11" spans="1:16">
      <c r="A11" s="64">
        <f>A9+1</f>
        <v>4</v>
      </c>
      <c r="C11" s="65" t="s">
        <v>66</v>
      </c>
      <c r="D11" s="116">
        <f>+D26</f>
        <v>0</v>
      </c>
      <c r="E11" s="73"/>
      <c r="F11" s="117"/>
      <c r="G11" s="19"/>
      <c r="H11" s="19"/>
      <c r="I11" s="19"/>
      <c r="J11" s="19"/>
      <c r="K11" s="19"/>
      <c r="L11" s="19"/>
      <c r="M11" s="19"/>
      <c r="N11" s="19"/>
      <c r="O11" s="19"/>
      <c r="P11" s="19"/>
    </row>
    <row r="12" spans="1:16">
      <c r="A12" s="64"/>
      <c r="C12" s="65"/>
      <c r="D12" s="118"/>
      <c r="E12" s="73"/>
      <c r="F12" s="118"/>
      <c r="G12" s="19"/>
      <c r="H12" s="19"/>
      <c r="I12" s="19"/>
      <c r="J12" s="19"/>
      <c r="K12" s="19"/>
      <c r="L12" s="19"/>
      <c r="M12" s="19"/>
      <c r="N12" s="19"/>
      <c r="O12" s="19"/>
      <c r="P12" s="19"/>
    </row>
    <row r="13" spans="1:16">
      <c r="A13" s="64">
        <f>A11+1</f>
        <v>5</v>
      </c>
      <c r="C13" s="119" t="s">
        <v>90</v>
      </c>
      <c r="D13" s="120">
        <f>D28+D41</f>
        <v>220721628.125</v>
      </c>
      <c r="E13" s="118"/>
      <c r="F13" s="120">
        <f>F28+F41</f>
        <v>58136667.234999992</v>
      </c>
      <c r="G13" s="19"/>
      <c r="H13" s="19"/>
      <c r="I13" s="19"/>
      <c r="J13" s="19"/>
      <c r="K13" s="19"/>
      <c r="L13" s="19"/>
      <c r="M13" s="19"/>
      <c r="N13" s="19"/>
      <c r="O13" s="19"/>
      <c r="P13" s="19"/>
    </row>
    <row r="14" spans="1:16">
      <c r="A14" s="64">
        <f>A13+1</f>
        <v>6</v>
      </c>
      <c r="C14" s="65" t="s">
        <v>86</v>
      </c>
      <c r="D14" s="73"/>
      <c r="E14" s="73"/>
      <c r="F14" s="19"/>
      <c r="G14" s="19"/>
      <c r="H14" s="19"/>
      <c r="I14" s="19"/>
      <c r="J14" s="19"/>
      <c r="K14" s="19"/>
      <c r="L14" s="19"/>
      <c r="M14" s="19"/>
      <c r="N14" s="19"/>
      <c r="O14" s="19"/>
      <c r="P14" s="19"/>
    </row>
    <row r="15" spans="1:16">
      <c r="A15" s="64">
        <f>A14+1</f>
        <v>7</v>
      </c>
      <c r="C15" s="65" t="s">
        <v>1131</v>
      </c>
      <c r="D15" s="168" t="s">
        <v>95</v>
      </c>
      <c r="E15" s="169"/>
      <c r="F15" s="168" t="s">
        <v>95</v>
      </c>
      <c r="H15" s="73"/>
      <c r="J15" s="73"/>
      <c r="K15" s="73"/>
      <c r="L15" s="73"/>
      <c r="M15" s="73"/>
      <c r="N15" s="73"/>
      <c r="O15" s="73"/>
      <c r="P15" s="71"/>
    </row>
    <row r="16" spans="1:16" ht="3" customHeight="1">
      <c r="A16" s="64"/>
      <c r="C16" s="65"/>
      <c r="D16" s="73"/>
      <c r="E16" s="73"/>
      <c r="F16" s="73"/>
      <c r="H16" s="73"/>
      <c r="J16" s="73"/>
      <c r="K16" s="73"/>
      <c r="L16" s="73"/>
      <c r="M16" s="73"/>
      <c r="N16" s="73"/>
      <c r="O16" s="73"/>
      <c r="P16" s="71"/>
    </row>
    <row r="17" spans="1:16" ht="12.75" thickBot="1">
      <c r="A17" s="64">
        <f>A15+1</f>
        <v>8</v>
      </c>
      <c r="C17" s="121" t="s">
        <v>90</v>
      </c>
      <c r="D17" s="78">
        <f>D32+D45</f>
        <v>898524.27549250005</v>
      </c>
      <c r="E17" s="122"/>
      <c r="F17" s="78">
        <f>F32+F45</f>
        <v>53775875.222225994</v>
      </c>
      <c r="H17" s="73"/>
      <c r="J17" s="73"/>
      <c r="K17" s="73"/>
      <c r="L17" s="73"/>
      <c r="M17" s="73"/>
      <c r="N17" s="73"/>
      <c r="O17" s="73"/>
      <c r="P17" s="71"/>
    </row>
    <row r="18" spans="1:16" ht="6.75" customHeight="1" thickTop="1">
      <c r="A18" s="64"/>
      <c r="D18" s="19"/>
      <c r="E18" s="19"/>
      <c r="F18" s="19"/>
      <c r="G18" s="19"/>
      <c r="H18" s="19"/>
      <c r="I18" s="19"/>
      <c r="J18" s="19"/>
      <c r="K18" s="19"/>
      <c r="L18" s="19"/>
      <c r="M18" s="19"/>
      <c r="N18" s="19"/>
      <c r="O18" s="19"/>
      <c r="P18" s="19"/>
    </row>
    <row r="19" spans="1:16" ht="7.5" customHeight="1">
      <c r="A19" s="64"/>
      <c r="D19" s="19"/>
      <c r="E19" s="19"/>
      <c r="F19" s="19"/>
      <c r="G19" s="19"/>
      <c r="H19" s="19"/>
      <c r="I19" s="19"/>
      <c r="J19" s="19"/>
      <c r="K19" s="19"/>
      <c r="L19" s="19"/>
      <c r="M19" s="19"/>
      <c r="N19" s="19"/>
      <c r="O19" s="19"/>
      <c r="P19" s="19"/>
    </row>
    <row r="20" spans="1:16">
      <c r="A20" s="64"/>
      <c r="D20" s="54" t="s">
        <v>871</v>
      </c>
      <c r="E20" s="57"/>
      <c r="F20" s="31" t="s">
        <v>45</v>
      </c>
      <c r="G20" s="19"/>
      <c r="H20" s="19"/>
      <c r="I20" s="19"/>
      <c r="J20" s="19"/>
      <c r="K20" s="19"/>
      <c r="L20" s="19"/>
      <c r="M20" s="19"/>
      <c r="N20" s="19"/>
      <c r="O20" s="19"/>
      <c r="P20" s="19"/>
    </row>
    <row r="21" spans="1:16">
      <c r="A21" s="64"/>
      <c r="C21" s="19"/>
      <c r="D21" s="54" t="s">
        <v>872</v>
      </c>
      <c r="E21" s="57"/>
      <c r="F21" s="30" t="s">
        <v>873</v>
      </c>
      <c r="G21" s="19"/>
      <c r="H21" s="19"/>
      <c r="I21" s="19"/>
      <c r="J21" s="19"/>
      <c r="K21" s="19"/>
      <c r="L21" s="19"/>
      <c r="M21" s="19"/>
      <c r="N21" s="19"/>
      <c r="O21" s="19"/>
      <c r="P21" s="19"/>
    </row>
    <row r="22" spans="1:16">
      <c r="A22" s="64">
        <f>A17+1</f>
        <v>9</v>
      </c>
      <c r="B22" s="180" t="s">
        <v>110</v>
      </c>
      <c r="C22" s="181"/>
      <c r="D22" s="63"/>
      <c r="F22" s="19"/>
      <c r="G22" s="19"/>
      <c r="H22" s="19"/>
      <c r="I22" s="19"/>
      <c r="J22" s="19"/>
      <c r="K22" s="19"/>
      <c r="L22" s="19"/>
      <c r="M22" s="19"/>
      <c r="N22" s="19"/>
      <c r="O22" s="19"/>
      <c r="P22" s="19"/>
    </row>
    <row r="23" spans="1:16">
      <c r="A23" s="64">
        <f>A22+1</f>
        <v>10</v>
      </c>
      <c r="C23" s="65" t="s">
        <v>1124</v>
      </c>
      <c r="D23" s="1006">
        <v>211281129.81999999</v>
      </c>
      <c r="E23" s="331"/>
      <c r="F23" s="1006">
        <v>30523791.669999994</v>
      </c>
      <c r="G23" s="19"/>
      <c r="H23" s="123"/>
      <c r="I23" s="19"/>
      <c r="J23" s="19"/>
      <c r="K23" s="19"/>
      <c r="L23" s="19"/>
      <c r="M23" s="19"/>
      <c r="N23" s="19"/>
      <c r="O23" s="19"/>
      <c r="P23" s="19"/>
    </row>
    <row r="24" spans="1:16">
      <c r="A24" s="64">
        <f>A23+1</f>
        <v>11</v>
      </c>
      <c r="C24" s="65" t="s">
        <v>1125</v>
      </c>
      <c r="D24" s="1006">
        <v>215923103.63</v>
      </c>
      <c r="E24" s="331"/>
      <c r="F24" s="1006">
        <v>35823131.459999993</v>
      </c>
      <c r="G24" s="19"/>
      <c r="H24" s="67"/>
      <c r="I24" s="19"/>
      <c r="J24" s="19"/>
      <c r="K24" s="19"/>
      <c r="L24" s="19"/>
      <c r="M24" s="19"/>
      <c r="N24" s="19"/>
      <c r="O24" s="19"/>
      <c r="P24" s="19"/>
    </row>
    <row r="25" spans="1:16">
      <c r="A25" s="64"/>
      <c r="C25" s="65"/>
      <c r="D25" s="141"/>
      <c r="E25" s="331"/>
      <c r="F25" s="331"/>
      <c r="G25" s="19"/>
      <c r="H25" s="67"/>
      <c r="I25" s="19"/>
      <c r="J25" s="19"/>
      <c r="K25" s="19"/>
      <c r="L25" s="19"/>
      <c r="M25" s="19"/>
      <c r="N25" s="19"/>
      <c r="O25" s="19"/>
      <c r="P25" s="19"/>
    </row>
    <row r="26" spans="1:16">
      <c r="A26" s="64">
        <f>A24+1</f>
        <v>12</v>
      </c>
      <c r="C26" s="65" t="s">
        <v>191</v>
      </c>
      <c r="D26" s="141">
        <v>0</v>
      </c>
      <c r="E26" s="331"/>
      <c r="F26" s="331">
        <v>0</v>
      </c>
      <c r="G26" s="19"/>
      <c r="H26" s="67"/>
      <c r="I26" s="19"/>
      <c r="J26" s="19"/>
      <c r="K26" s="19"/>
      <c r="L26" s="19"/>
      <c r="M26" s="19"/>
      <c r="N26" s="19"/>
      <c r="O26" s="19"/>
      <c r="P26" s="19"/>
    </row>
    <row r="27" spans="1:16">
      <c r="A27" s="64"/>
      <c r="C27" s="65"/>
      <c r="D27" s="72"/>
      <c r="E27" s="73"/>
      <c r="F27" s="72"/>
      <c r="G27" s="19"/>
      <c r="H27" s="118"/>
      <c r="I27" s="19"/>
      <c r="J27" s="19"/>
      <c r="K27" s="19"/>
      <c r="L27" s="19"/>
      <c r="M27" s="19"/>
      <c r="N27" s="19"/>
      <c r="O27" s="19"/>
      <c r="P27" s="19"/>
    </row>
    <row r="28" spans="1:16">
      <c r="A28" s="64">
        <f>A26+1</f>
        <v>13</v>
      </c>
      <c r="C28" s="119" t="s">
        <v>90</v>
      </c>
      <c r="D28" s="125">
        <f>(D23+D24)/2+D26</f>
        <v>213602116.72499999</v>
      </c>
      <c r="E28" s="118"/>
      <c r="F28" s="125">
        <f>(F23+F24)/2+F26</f>
        <v>33173461.564999994</v>
      </c>
      <c r="G28" s="19"/>
      <c r="H28" s="120"/>
      <c r="I28" s="19"/>
      <c r="J28" s="19"/>
      <c r="K28" s="19"/>
      <c r="L28" s="19"/>
      <c r="M28" s="19"/>
      <c r="N28" s="19"/>
      <c r="O28" s="19"/>
      <c r="P28" s="19"/>
    </row>
    <row r="29" spans="1:16">
      <c r="A29" s="64">
        <f>A28+1</f>
        <v>14</v>
      </c>
      <c r="C29" s="65" t="s">
        <v>86</v>
      </c>
      <c r="D29" s="19"/>
      <c r="E29" s="19"/>
      <c r="F29" s="19"/>
      <c r="G29" s="19"/>
      <c r="H29" s="19"/>
      <c r="I29" s="19"/>
      <c r="J29" s="19"/>
      <c r="K29" s="19"/>
      <c r="L29" s="19"/>
      <c r="M29" s="19"/>
      <c r="N29" s="19"/>
      <c r="O29" s="19"/>
      <c r="P29" s="19"/>
    </row>
    <row r="30" spans="1:16">
      <c r="A30" s="64">
        <f>A29+1</f>
        <v>15</v>
      </c>
      <c r="C30" s="65" t="s">
        <v>1131</v>
      </c>
      <c r="D30" s="326">
        <f>D50</f>
        <v>2.5000000000000001E-3</v>
      </c>
      <c r="E30" s="332"/>
      <c r="F30" s="326">
        <f>F53</f>
        <v>0.93740000000000001</v>
      </c>
      <c r="G30" s="19"/>
      <c r="H30" s="19"/>
      <c r="I30" s="19"/>
      <c r="J30" s="19"/>
      <c r="K30" s="19"/>
      <c r="L30" s="19"/>
      <c r="M30" s="19"/>
      <c r="N30" s="19"/>
      <c r="O30" s="19"/>
      <c r="P30" s="19"/>
    </row>
    <row r="31" spans="1:16" ht="3" customHeight="1">
      <c r="A31" s="64"/>
      <c r="C31" s="65"/>
      <c r="D31" s="73"/>
      <c r="E31" s="73"/>
      <c r="F31" s="73"/>
      <c r="H31" s="73"/>
      <c r="J31" s="73"/>
      <c r="K31" s="73"/>
      <c r="L31" s="73"/>
      <c r="M31" s="73"/>
      <c r="N31" s="73"/>
      <c r="O31" s="73"/>
      <c r="P31" s="71"/>
    </row>
    <row r="32" spans="1:16" s="47" customFormat="1" ht="12.75" thickBot="1">
      <c r="A32" s="64">
        <f>A30+1</f>
        <v>16</v>
      </c>
      <c r="C32" s="121" t="s">
        <v>90</v>
      </c>
      <c r="D32" s="78">
        <f>D28*D30</f>
        <v>534005.29181249999</v>
      </c>
      <c r="E32" s="122"/>
      <c r="F32" s="78">
        <f>F28*F30</f>
        <v>31096802.871030994</v>
      </c>
      <c r="G32" s="122"/>
      <c r="H32" s="122"/>
      <c r="I32" s="122"/>
      <c r="J32" s="122"/>
      <c r="K32" s="122"/>
      <c r="L32" s="122"/>
      <c r="M32" s="122"/>
      <c r="N32" s="122"/>
      <c r="O32" s="122"/>
      <c r="P32" s="122"/>
    </row>
    <row r="33" spans="1:16" ht="7.5" customHeight="1" thickTop="1">
      <c r="A33" s="64"/>
      <c r="C33" s="19"/>
      <c r="D33" s="19"/>
      <c r="E33" s="19"/>
      <c r="F33" s="19"/>
      <c r="G33" s="19"/>
      <c r="K33" s="54"/>
      <c r="M33" s="54"/>
      <c r="N33" s="54"/>
      <c r="O33" s="54"/>
      <c r="P33" s="55"/>
    </row>
    <row r="34" spans="1:16" ht="6" customHeight="1">
      <c r="A34" s="64"/>
      <c r="C34" s="19"/>
      <c r="D34" s="19"/>
      <c r="E34" s="19"/>
      <c r="F34" s="19"/>
      <c r="G34" s="19"/>
      <c r="H34" s="19"/>
      <c r="I34" s="19"/>
      <c r="J34" s="19"/>
      <c r="K34" s="19"/>
      <c r="L34" s="19"/>
      <c r="M34" s="19"/>
      <c r="N34" s="19"/>
      <c r="O34" s="19"/>
      <c r="P34" s="19"/>
    </row>
    <row r="35" spans="1:16">
      <c r="A35" s="64"/>
      <c r="C35" s="19"/>
      <c r="D35" s="54" t="s">
        <v>871</v>
      </c>
      <c r="E35" s="57"/>
      <c r="F35" s="31" t="s">
        <v>45</v>
      </c>
      <c r="G35" s="19"/>
      <c r="H35" s="19"/>
      <c r="I35" s="19"/>
      <c r="J35" s="19"/>
      <c r="K35" s="19"/>
      <c r="L35" s="19"/>
      <c r="M35" s="19"/>
      <c r="N35" s="19"/>
      <c r="O35" s="19"/>
      <c r="P35" s="19"/>
    </row>
    <row r="36" spans="1:16">
      <c r="A36" s="64"/>
      <c r="C36" s="19"/>
      <c r="D36" s="54" t="s">
        <v>872</v>
      </c>
      <c r="E36" s="57"/>
      <c r="F36" s="30" t="s">
        <v>873</v>
      </c>
      <c r="G36" s="19"/>
      <c r="H36" s="19"/>
      <c r="I36" s="19"/>
      <c r="J36" s="19"/>
      <c r="K36" s="19"/>
      <c r="L36" s="19"/>
      <c r="M36" s="19"/>
      <c r="N36" s="19"/>
      <c r="O36" s="19"/>
      <c r="P36" s="19"/>
    </row>
    <row r="37" spans="1:16">
      <c r="A37" s="64">
        <f>A32+1</f>
        <v>17</v>
      </c>
      <c r="B37" s="180" t="s">
        <v>111</v>
      </c>
      <c r="C37" s="181"/>
      <c r="D37" s="63"/>
      <c r="F37" s="19"/>
      <c r="G37" s="19"/>
      <c r="H37" s="19"/>
      <c r="I37" s="19"/>
      <c r="J37" s="19"/>
      <c r="K37" s="19"/>
      <c r="L37" s="19"/>
      <c r="M37" s="19"/>
      <c r="N37" s="19"/>
      <c r="O37" s="19"/>
      <c r="P37" s="19"/>
    </row>
    <row r="38" spans="1:16">
      <c r="A38" s="64">
        <f>A37+1</f>
        <v>18</v>
      </c>
      <c r="C38" s="65" t="s">
        <v>1124</v>
      </c>
      <c r="D38" s="1006">
        <v>7122100.8499999996</v>
      </c>
      <c r="E38" s="141"/>
      <c r="F38" s="1006">
        <v>24424933.539999999</v>
      </c>
      <c r="G38" s="19"/>
      <c r="H38" s="19"/>
      <c r="I38" s="19"/>
      <c r="J38" s="19"/>
      <c r="K38" s="19"/>
      <c r="L38" s="19"/>
      <c r="M38" s="19"/>
      <c r="N38" s="19"/>
      <c r="O38" s="19"/>
      <c r="P38" s="19"/>
    </row>
    <row r="39" spans="1:16">
      <c r="A39" s="64">
        <f>A38+1</f>
        <v>19</v>
      </c>
      <c r="C39" s="65" t="s">
        <v>1125</v>
      </c>
      <c r="D39" s="1006">
        <v>7116921.9500000002</v>
      </c>
      <c r="E39" s="896"/>
      <c r="F39" s="1006">
        <v>25501477.799999997</v>
      </c>
      <c r="G39" s="19"/>
      <c r="H39" s="19"/>
      <c r="I39" s="19"/>
      <c r="J39" s="19"/>
      <c r="K39" s="19"/>
      <c r="L39" s="19"/>
      <c r="M39" s="19"/>
      <c r="N39" s="19"/>
      <c r="O39" s="19"/>
      <c r="P39" s="19"/>
    </row>
    <row r="40" spans="1:16">
      <c r="A40" s="64"/>
      <c r="C40" s="65"/>
      <c r="D40" s="159"/>
      <c r="E40" s="142"/>
      <c r="F40" s="159"/>
      <c r="G40" s="19"/>
      <c r="H40" s="19"/>
      <c r="I40" s="19"/>
      <c r="J40" s="19"/>
      <c r="K40" s="19"/>
      <c r="L40" s="19"/>
      <c r="M40" s="19"/>
      <c r="N40" s="19"/>
      <c r="O40" s="19"/>
      <c r="P40" s="19"/>
    </row>
    <row r="41" spans="1:16">
      <c r="A41" s="64">
        <f>A39+1</f>
        <v>20</v>
      </c>
      <c r="C41" s="119" t="s">
        <v>90</v>
      </c>
      <c r="D41" s="155">
        <f>(D38+D39)/2</f>
        <v>7119511.4000000004</v>
      </c>
      <c r="E41" s="143"/>
      <c r="F41" s="155">
        <f>(F38+F39)/2</f>
        <v>24963205.669999998</v>
      </c>
      <c r="G41" s="19"/>
      <c r="H41" s="19"/>
      <c r="I41" s="19"/>
      <c r="J41" s="19"/>
      <c r="K41" s="19"/>
      <c r="L41" s="19"/>
      <c r="M41" s="19"/>
      <c r="N41" s="19"/>
      <c r="O41" s="19"/>
      <c r="P41" s="19"/>
    </row>
    <row r="42" spans="1:16">
      <c r="A42" s="64">
        <f>A41+1</f>
        <v>21</v>
      </c>
      <c r="C42" s="65" t="s">
        <v>86</v>
      </c>
      <c r="D42" s="144"/>
      <c r="E42" s="144"/>
      <c r="F42" s="144"/>
      <c r="G42" s="19"/>
      <c r="H42" s="19"/>
      <c r="I42" s="19"/>
      <c r="J42" s="19"/>
      <c r="K42" s="19"/>
      <c r="L42" s="19"/>
      <c r="M42" s="19"/>
      <c r="N42" s="19"/>
      <c r="O42" s="19"/>
      <c r="P42" s="19"/>
    </row>
    <row r="43" spans="1:16">
      <c r="A43" s="64">
        <f>A42+1</f>
        <v>22</v>
      </c>
      <c r="C43" s="65" t="s">
        <v>1063</v>
      </c>
      <c r="D43" s="326">
        <f>D58</f>
        <v>5.1200000000000002E-2</v>
      </c>
      <c r="E43" s="332"/>
      <c r="F43" s="326">
        <f>F61</f>
        <v>0.90849999999999997</v>
      </c>
      <c r="G43" s="19"/>
      <c r="H43" s="19"/>
      <c r="I43" s="19"/>
      <c r="J43" s="19"/>
      <c r="K43" s="19"/>
      <c r="L43" s="19"/>
      <c r="M43" s="19"/>
      <c r="N43" s="19"/>
      <c r="O43" s="19"/>
      <c r="P43" s="19"/>
    </row>
    <row r="44" spans="1:16" ht="3" customHeight="1">
      <c r="A44" s="64"/>
      <c r="C44" s="65"/>
      <c r="D44" s="73"/>
      <c r="E44" s="73"/>
      <c r="F44" s="73"/>
      <c r="H44" s="73"/>
      <c r="J44" s="73"/>
      <c r="K44" s="73"/>
      <c r="L44" s="73"/>
      <c r="M44" s="73"/>
      <c r="N44" s="73"/>
      <c r="O44" s="73"/>
      <c r="P44" s="71"/>
    </row>
    <row r="45" spans="1:16" ht="12.75" thickBot="1">
      <c r="A45" s="64">
        <f>A43+1</f>
        <v>23</v>
      </c>
      <c r="C45" s="121" t="s">
        <v>90</v>
      </c>
      <c r="D45" s="86">
        <f>D41*D43</f>
        <v>364518.98368000006</v>
      </c>
      <c r="E45" s="145"/>
      <c r="F45" s="86">
        <f>F41*F43</f>
        <v>22679072.351194996</v>
      </c>
    </row>
    <row r="46" spans="1:16" ht="12.75" thickTop="1"/>
    <row r="47" spans="1:16">
      <c r="A47" s="64">
        <f>A45+1</f>
        <v>24</v>
      </c>
      <c r="C47" s="49" t="s">
        <v>1123</v>
      </c>
    </row>
    <row r="48" spans="1:16">
      <c r="A48" s="64">
        <f t="shared" ref="A48:A61" si="0">+A47+1</f>
        <v>25</v>
      </c>
      <c r="C48" s="49" t="s">
        <v>215</v>
      </c>
      <c r="D48" s="1014">
        <v>532649</v>
      </c>
    </row>
    <row r="49" spans="1:10">
      <c r="A49" s="64">
        <f t="shared" si="0"/>
        <v>26</v>
      </c>
      <c r="C49" s="49" t="s">
        <v>216</v>
      </c>
      <c r="D49" s="1014">
        <v>213287451</v>
      </c>
    </row>
    <row r="50" spans="1:10">
      <c r="A50" s="64">
        <f t="shared" si="0"/>
        <v>27</v>
      </c>
      <c r="C50" s="49" t="s">
        <v>5</v>
      </c>
      <c r="D50" s="370">
        <f>ROUND(D48/D49,4)</f>
        <v>2.5000000000000001E-3</v>
      </c>
    </row>
    <row r="51" spans="1:10">
      <c r="A51" s="64">
        <f t="shared" si="0"/>
        <v>28</v>
      </c>
      <c r="C51" s="49" t="s">
        <v>217</v>
      </c>
      <c r="F51" s="1014">
        <v>11155227696</v>
      </c>
    </row>
    <row r="52" spans="1:10">
      <c r="A52" s="64">
        <f t="shared" si="0"/>
        <v>29</v>
      </c>
      <c r="C52" s="49" t="s">
        <v>218</v>
      </c>
      <c r="F52" s="1014">
        <v>745231828</v>
      </c>
    </row>
    <row r="53" spans="1:10">
      <c r="A53" s="64">
        <f t="shared" si="0"/>
        <v>30</v>
      </c>
      <c r="C53" s="49" t="s">
        <v>219</v>
      </c>
      <c r="F53" s="370">
        <f>ROUND(F51/(F51+F52),4)</f>
        <v>0.93740000000000001</v>
      </c>
    </row>
    <row r="54" spans="1:10">
      <c r="A54" s="64">
        <f t="shared" si="0"/>
        <v>31</v>
      </c>
      <c r="C54" s="49" t="s">
        <v>5</v>
      </c>
    </row>
    <row r="55" spans="1:10">
      <c r="A55" s="64">
        <f t="shared" si="0"/>
        <v>32</v>
      </c>
      <c r="C55" s="49" t="s">
        <v>999</v>
      </c>
    </row>
    <row r="56" spans="1:10">
      <c r="A56" s="64">
        <f t="shared" si="0"/>
        <v>33</v>
      </c>
      <c r="C56" s="49" t="s">
        <v>215</v>
      </c>
      <c r="D56" s="1014">
        <v>336940</v>
      </c>
    </row>
    <row r="57" spans="1:10">
      <c r="A57" s="64">
        <f t="shared" si="0"/>
        <v>34</v>
      </c>
      <c r="C57" s="49" t="s">
        <v>216</v>
      </c>
      <c r="D57" s="1014">
        <v>6576269</v>
      </c>
    </row>
    <row r="58" spans="1:10">
      <c r="A58" s="64">
        <f t="shared" si="0"/>
        <v>35</v>
      </c>
      <c r="C58" s="49" t="s">
        <v>5</v>
      </c>
      <c r="D58" s="370">
        <f>ROUND(D56/D57,4)</f>
        <v>5.1200000000000002E-2</v>
      </c>
    </row>
    <row r="59" spans="1:10">
      <c r="A59" s="64">
        <f t="shared" si="0"/>
        <v>36</v>
      </c>
      <c r="C59" s="49" t="s">
        <v>217</v>
      </c>
      <c r="F59" s="1014">
        <v>1542770067</v>
      </c>
    </row>
    <row r="60" spans="1:10">
      <c r="A60" s="64">
        <f t="shared" si="0"/>
        <v>37</v>
      </c>
      <c r="C60" s="49" t="s">
        <v>218</v>
      </c>
      <c r="F60" s="1014">
        <v>155447742</v>
      </c>
    </row>
    <row r="61" spans="1:10">
      <c r="A61" s="64">
        <f t="shared" si="0"/>
        <v>38</v>
      </c>
      <c r="C61" s="49" t="s">
        <v>219</v>
      </c>
      <c r="F61" s="370">
        <f>ROUND(F59/(F59+F60),4)</f>
        <v>0.90849999999999997</v>
      </c>
    </row>
    <row r="62" spans="1:10">
      <c r="J62" s="49" t="str">
        <f>CONCATENATE(A62," ",C62)</f>
        <v xml:space="preserve"> </v>
      </c>
    </row>
  </sheetData>
  <phoneticPr fontId="10" type="noConversion"/>
  <pageMargins left="0.5" right="0.25" top="0.35" bottom="0.5" header="0.75" footer="0.25"/>
  <pageSetup orientation="portrait" r:id="rId1"/>
  <headerFooter alignWithMargins="0">
    <oddFooter>&amp;CPage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00FFCC"/>
    <pageSetUpPr fitToPage="1"/>
  </sheetPr>
  <dimension ref="A1:M60"/>
  <sheetViews>
    <sheetView showGridLines="0" topLeftCell="A17" zoomScaleNormal="100" workbookViewId="0">
      <selection activeCell="F14" sqref="F14"/>
    </sheetView>
  </sheetViews>
  <sheetFormatPr defaultColWidth="8" defaultRowHeight="12.75"/>
  <cols>
    <col min="1" max="1" width="4.33203125" style="248" customWidth="1"/>
    <col min="2" max="2" width="6.44140625" style="248" bestFit="1" customWidth="1"/>
    <col min="3" max="3" width="0.88671875" style="244" customWidth="1"/>
    <col min="4" max="4" width="42" style="244" customWidth="1"/>
    <col min="5" max="5" width="0.88671875" style="281" customWidth="1"/>
    <col min="6" max="6" width="12.109375" style="244" customWidth="1"/>
    <col min="7" max="7" width="0.88671875" style="315" customWidth="1"/>
    <col min="8" max="8" width="12" style="244" customWidth="1"/>
    <col min="9" max="9" width="0.88671875" style="244" customWidth="1"/>
    <col min="10" max="10" width="13.109375" style="245" customWidth="1"/>
    <col min="11" max="11" width="9.88671875" style="244" customWidth="1"/>
    <col min="12" max="12" width="15.6640625" style="313" bestFit="1" customWidth="1"/>
    <col min="13" max="13" width="9.109375" style="244" bestFit="1" customWidth="1"/>
    <col min="14" max="16384" width="8" style="244"/>
  </cols>
  <sheetData>
    <row r="1" spans="1:13">
      <c r="A1" s="280" t="s">
        <v>855</v>
      </c>
      <c r="I1" s="205"/>
      <c r="J1" s="282" t="str">
        <f>Cover!C1</f>
        <v>2018 Workpapers</v>
      </c>
    </row>
    <row r="2" spans="1:13">
      <c r="A2" s="205" t="s">
        <v>1</v>
      </c>
      <c r="I2" s="283"/>
      <c r="J2" s="246"/>
    </row>
    <row r="3" spans="1:13">
      <c r="A3" s="6" t="s">
        <v>1109</v>
      </c>
      <c r="I3" s="205"/>
      <c r="J3" s="247"/>
    </row>
    <row r="4" spans="1:13" ht="12" customHeight="1">
      <c r="A4" s="419"/>
      <c r="I4" s="284"/>
    </row>
    <row r="5" spans="1:13" ht="4.5" customHeight="1">
      <c r="F5" s="285"/>
      <c r="G5" s="316"/>
      <c r="H5" s="285"/>
      <c r="I5" s="285"/>
      <c r="K5" s="285"/>
      <c r="L5" s="394"/>
    </row>
    <row r="6" spans="1:13">
      <c r="A6" s="205" t="s">
        <v>46</v>
      </c>
      <c r="B6" s="205" t="s">
        <v>56</v>
      </c>
      <c r="C6" s="283"/>
      <c r="D6" s="283"/>
      <c r="E6" s="286"/>
      <c r="F6" s="250"/>
      <c r="G6" s="317"/>
      <c r="H6" s="250"/>
      <c r="I6" s="250"/>
      <c r="J6" s="250" t="s">
        <v>23</v>
      </c>
      <c r="K6" s="285"/>
      <c r="L6" s="394"/>
    </row>
    <row r="7" spans="1:13">
      <c r="A7" s="252" t="s">
        <v>22</v>
      </c>
      <c r="B7" s="252" t="s">
        <v>22</v>
      </c>
      <c r="C7" s="205" t="s">
        <v>43</v>
      </c>
      <c r="D7" s="252" t="s">
        <v>33</v>
      </c>
      <c r="E7" s="286"/>
      <c r="F7" s="254" t="s">
        <v>876</v>
      </c>
      <c r="G7" s="317"/>
      <c r="H7" s="255" t="s">
        <v>877</v>
      </c>
      <c r="I7" s="250"/>
      <c r="J7" s="255" t="s">
        <v>878</v>
      </c>
      <c r="K7" s="285"/>
      <c r="L7" s="395"/>
    </row>
    <row r="8" spans="1:13" ht="6.75" customHeight="1">
      <c r="K8" s="285"/>
      <c r="L8" s="396"/>
    </row>
    <row r="9" spans="1:13">
      <c r="A9" s="248">
        <v>1</v>
      </c>
      <c r="D9" s="287" t="s">
        <v>853</v>
      </c>
      <c r="H9" s="260"/>
      <c r="K9" s="285"/>
      <c r="L9" s="396"/>
    </row>
    <row r="10" spans="1:13">
      <c r="A10" s="248">
        <f>+A9+1</f>
        <v>2</v>
      </c>
      <c r="D10" s="288" t="s">
        <v>44</v>
      </c>
      <c r="H10" s="260"/>
      <c r="K10" s="285"/>
      <c r="L10" s="396"/>
    </row>
    <row r="11" spans="1:13">
      <c r="A11" s="248">
        <f t="shared" ref="A11:A54" si="0">+A10+1</f>
        <v>3</v>
      </c>
      <c r="B11" s="248">
        <v>560</v>
      </c>
      <c r="D11" s="248" t="s">
        <v>40</v>
      </c>
      <c r="F11" s="994">
        <v>11141883</v>
      </c>
      <c r="G11" s="289"/>
      <c r="H11" s="994">
        <v>2636571</v>
      </c>
      <c r="I11" s="266"/>
      <c r="J11" s="290">
        <f>SUM(F11:I11)</f>
        <v>13778454</v>
      </c>
      <c r="K11" s="285"/>
      <c r="L11" s="396"/>
    </row>
    <row r="12" spans="1:13">
      <c r="A12" s="248">
        <f t="shared" si="0"/>
        <v>4</v>
      </c>
      <c r="B12" s="291" t="s">
        <v>879</v>
      </c>
      <c r="D12" s="248" t="s">
        <v>10</v>
      </c>
      <c r="F12" s="995">
        <v>0</v>
      </c>
      <c r="G12" s="293"/>
      <c r="H12" s="995">
        <v>0</v>
      </c>
      <c r="I12" s="260"/>
      <c r="J12" s="294">
        <f>SUM(F12:I12)</f>
        <v>0</v>
      </c>
      <c r="K12" s="285"/>
      <c r="L12" s="396"/>
    </row>
    <row r="13" spans="1:13">
      <c r="A13" s="248">
        <f>A11+1</f>
        <v>4</v>
      </c>
      <c r="B13" s="291" t="s">
        <v>880</v>
      </c>
      <c r="D13" s="248" t="s">
        <v>886</v>
      </c>
      <c r="F13" s="995">
        <v>0</v>
      </c>
      <c r="G13" s="293"/>
      <c r="H13" s="995">
        <v>0</v>
      </c>
      <c r="I13" s="260"/>
      <c r="J13" s="294">
        <f t="shared" ref="J13:J26" si="1">SUM(F13:I13)</f>
        <v>0</v>
      </c>
      <c r="K13" s="285"/>
      <c r="L13" s="396"/>
      <c r="M13" s="292"/>
    </row>
    <row r="14" spans="1:13">
      <c r="A14" s="248">
        <f t="shared" si="0"/>
        <v>5</v>
      </c>
      <c r="B14" s="291" t="s">
        <v>881</v>
      </c>
      <c r="D14" s="248" t="s">
        <v>887</v>
      </c>
      <c r="F14" s="995">
        <v>5980333</v>
      </c>
      <c r="G14" s="293"/>
      <c r="H14" s="995">
        <v>1603163</v>
      </c>
      <c r="I14" s="260"/>
      <c r="J14" s="294">
        <f t="shared" si="1"/>
        <v>7583496</v>
      </c>
      <c r="K14" s="285"/>
      <c r="L14" s="396"/>
      <c r="M14" s="292"/>
    </row>
    <row r="15" spans="1:13">
      <c r="A15" s="248">
        <f t="shared" si="0"/>
        <v>6</v>
      </c>
      <c r="B15" s="291" t="s">
        <v>882</v>
      </c>
      <c r="D15" s="248" t="s">
        <v>888</v>
      </c>
      <c r="F15" s="995">
        <v>0</v>
      </c>
      <c r="G15" s="293"/>
      <c r="H15" s="995">
        <v>0</v>
      </c>
      <c r="I15" s="260"/>
      <c r="J15" s="294">
        <f t="shared" si="1"/>
        <v>0</v>
      </c>
      <c r="K15" s="285"/>
      <c r="L15" s="396"/>
      <c r="M15" s="292"/>
    </row>
    <row r="16" spans="1:13">
      <c r="A16" s="248">
        <f t="shared" si="0"/>
        <v>7</v>
      </c>
      <c r="B16" s="291" t="s">
        <v>890</v>
      </c>
      <c r="D16" s="248" t="s">
        <v>889</v>
      </c>
      <c r="F16" s="995">
        <v>7057099</v>
      </c>
      <c r="G16" s="293"/>
      <c r="H16" s="995">
        <v>0</v>
      </c>
      <c r="I16" s="260"/>
      <c r="J16" s="294">
        <f t="shared" si="1"/>
        <v>7057099</v>
      </c>
      <c r="K16" s="285"/>
      <c r="L16" s="396"/>
      <c r="M16" s="292"/>
    </row>
    <row r="17" spans="1:13">
      <c r="A17" s="248">
        <f t="shared" si="0"/>
        <v>8</v>
      </c>
      <c r="B17" s="291" t="s">
        <v>883</v>
      </c>
      <c r="D17" s="248" t="s">
        <v>891</v>
      </c>
      <c r="F17" s="995">
        <v>8451</v>
      </c>
      <c r="G17" s="293"/>
      <c r="H17" s="995">
        <v>1533</v>
      </c>
      <c r="I17" s="260"/>
      <c r="J17" s="294">
        <f t="shared" si="1"/>
        <v>9984</v>
      </c>
      <c r="K17" s="285"/>
      <c r="L17" s="396"/>
      <c r="M17" s="292"/>
    </row>
    <row r="18" spans="1:13">
      <c r="A18" s="248">
        <f t="shared" si="0"/>
        <v>9</v>
      </c>
      <c r="B18" s="291" t="s">
        <v>884</v>
      </c>
      <c r="D18" s="248" t="s">
        <v>892</v>
      </c>
      <c r="F18" s="995">
        <v>-5280</v>
      </c>
      <c r="G18" s="293"/>
      <c r="H18" s="995">
        <v>0</v>
      </c>
      <c r="I18" s="260"/>
      <c r="J18" s="294">
        <f t="shared" si="1"/>
        <v>-5280</v>
      </c>
      <c r="K18" s="285"/>
      <c r="L18" s="396"/>
      <c r="M18" s="292"/>
    </row>
    <row r="19" spans="1:13">
      <c r="A19" s="248">
        <f t="shared" si="0"/>
        <v>10</v>
      </c>
      <c r="B19" s="248">
        <v>561.70000000000005</v>
      </c>
      <c r="D19" s="248" t="s">
        <v>893</v>
      </c>
      <c r="F19" s="995">
        <v>10641</v>
      </c>
      <c r="G19" s="293"/>
      <c r="H19" s="995">
        <v>0</v>
      </c>
      <c r="I19" s="260"/>
      <c r="J19" s="294">
        <f t="shared" si="1"/>
        <v>10641</v>
      </c>
      <c r="K19" s="285"/>
      <c r="L19" s="396"/>
      <c r="M19" s="292"/>
    </row>
    <row r="20" spans="1:13">
      <c r="A20" s="248">
        <f t="shared" si="0"/>
        <v>11</v>
      </c>
      <c r="B20" s="291" t="s">
        <v>885</v>
      </c>
      <c r="D20" s="248" t="s">
        <v>894</v>
      </c>
      <c r="F20" s="995">
        <v>2930972</v>
      </c>
      <c r="G20" s="293"/>
      <c r="H20" s="995">
        <v>0</v>
      </c>
      <c r="I20" s="260"/>
      <c r="J20" s="294">
        <f t="shared" si="1"/>
        <v>2930972</v>
      </c>
      <c r="K20" s="285"/>
      <c r="L20" s="396"/>
      <c r="M20" s="292"/>
    </row>
    <row r="21" spans="1:13">
      <c r="A21" s="248">
        <f t="shared" si="0"/>
        <v>12</v>
      </c>
      <c r="B21" s="248">
        <v>562</v>
      </c>
      <c r="D21" s="248" t="s">
        <v>11</v>
      </c>
      <c r="F21" s="995">
        <v>1568807</v>
      </c>
      <c r="G21" s="293"/>
      <c r="H21" s="995">
        <v>338621</v>
      </c>
      <c r="I21" s="260"/>
      <c r="J21" s="294">
        <f t="shared" si="1"/>
        <v>1907428</v>
      </c>
      <c r="K21" s="260"/>
      <c r="L21" s="396"/>
      <c r="M21" s="292"/>
    </row>
    <row r="22" spans="1:13">
      <c r="A22" s="248">
        <f t="shared" si="0"/>
        <v>13</v>
      </c>
      <c r="B22" s="248">
        <v>563</v>
      </c>
      <c r="D22" s="248" t="s">
        <v>12</v>
      </c>
      <c r="F22" s="995">
        <v>1263292</v>
      </c>
      <c r="G22" s="293"/>
      <c r="H22" s="995">
        <v>819270</v>
      </c>
      <c r="I22" s="260"/>
      <c r="J22" s="294">
        <f t="shared" si="1"/>
        <v>2082562</v>
      </c>
      <c r="K22" s="260"/>
      <c r="L22" s="396"/>
      <c r="M22" s="292"/>
    </row>
    <row r="23" spans="1:13">
      <c r="A23" s="248">
        <f t="shared" si="0"/>
        <v>14</v>
      </c>
      <c r="B23" s="291" t="s">
        <v>895</v>
      </c>
      <c r="D23" s="248" t="s">
        <v>896</v>
      </c>
      <c r="F23" s="995">
        <v>0</v>
      </c>
      <c r="G23" s="293"/>
      <c r="H23" s="995">
        <v>0</v>
      </c>
      <c r="I23" s="260"/>
      <c r="J23" s="294">
        <f t="shared" si="1"/>
        <v>0</v>
      </c>
      <c r="K23" s="260"/>
      <c r="L23" s="396"/>
      <c r="M23" s="292"/>
    </row>
    <row r="24" spans="1:13">
      <c r="A24" s="248">
        <f t="shared" si="0"/>
        <v>15</v>
      </c>
      <c r="B24" s="248">
        <v>565</v>
      </c>
      <c r="D24" s="248" t="s">
        <v>62</v>
      </c>
      <c r="F24" s="995">
        <v>193894526</v>
      </c>
      <c r="G24" s="293"/>
      <c r="H24" s="995">
        <v>0</v>
      </c>
      <c r="I24" s="260"/>
      <c r="J24" s="294">
        <f t="shared" si="1"/>
        <v>193894526</v>
      </c>
      <c r="K24" s="260"/>
      <c r="L24" s="396"/>
      <c r="M24" s="292"/>
    </row>
    <row r="25" spans="1:13">
      <c r="A25" s="248">
        <f t="shared" si="0"/>
        <v>16</v>
      </c>
      <c r="B25" s="248">
        <v>566</v>
      </c>
      <c r="D25" s="248" t="s">
        <v>945</v>
      </c>
      <c r="F25" s="995">
        <v>112069854</v>
      </c>
      <c r="G25" s="293"/>
      <c r="H25" s="995">
        <v>54292351</v>
      </c>
      <c r="I25" s="260"/>
      <c r="J25" s="294">
        <f t="shared" si="1"/>
        <v>166362205</v>
      </c>
      <c r="K25" s="260"/>
      <c r="L25" s="396"/>
      <c r="M25" s="292"/>
    </row>
    <row r="26" spans="1:13">
      <c r="A26" s="248">
        <f t="shared" si="0"/>
        <v>17</v>
      </c>
      <c r="B26" s="248">
        <v>567</v>
      </c>
      <c r="D26" s="248" t="s">
        <v>850</v>
      </c>
      <c r="F26" s="995">
        <v>2879927</v>
      </c>
      <c r="G26" s="293"/>
      <c r="H26" s="995">
        <v>725224</v>
      </c>
      <c r="I26" s="260"/>
      <c r="J26" s="294">
        <f t="shared" si="1"/>
        <v>3605151</v>
      </c>
      <c r="K26" s="260"/>
      <c r="L26" s="396"/>
      <c r="M26" s="292"/>
    </row>
    <row r="27" spans="1:13">
      <c r="A27" s="248">
        <f t="shared" si="0"/>
        <v>18</v>
      </c>
      <c r="D27" s="248" t="s">
        <v>13</v>
      </c>
      <c r="F27" s="295">
        <f>SUM(F11:F26)</f>
        <v>338800505</v>
      </c>
      <c r="G27" s="318"/>
      <c r="H27" s="295">
        <f>SUM(H11:H26)</f>
        <v>60416733</v>
      </c>
      <c r="I27" s="266"/>
      <c r="J27" s="295">
        <f>SUM(J11:J26)</f>
        <v>399217238</v>
      </c>
      <c r="K27" s="260"/>
      <c r="L27" s="396"/>
    </row>
    <row r="28" spans="1:13" ht="7.5" customHeight="1">
      <c r="F28" s="294"/>
      <c r="G28" s="319"/>
      <c r="H28" s="294"/>
      <c r="I28" s="260"/>
      <c r="J28" s="294"/>
      <c r="K28" s="260"/>
      <c r="L28" s="396"/>
    </row>
    <row r="29" spans="1:13">
      <c r="A29" s="248">
        <f>A27+1</f>
        <v>19</v>
      </c>
      <c r="D29" s="288" t="s">
        <v>14</v>
      </c>
      <c r="F29" s="294"/>
      <c r="G29" s="319"/>
      <c r="H29" s="294"/>
      <c r="I29" s="260"/>
      <c r="J29" s="294"/>
      <c r="K29" s="260"/>
      <c r="L29" s="396"/>
    </row>
    <row r="30" spans="1:13">
      <c r="A30" s="248">
        <f t="shared" si="0"/>
        <v>20</v>
      </c>
      <c r="B30" s="248">
        <v>568</v>
      </c>
      <c r="D30" s="248" t="s">
        <v>40</v>
      </c>
      <c r="F30" s="994">
        <v>180957</v>
      </c>
      <c r="G30" s="289"/>
      <c r="H30" s="994">
        <v>18575</v>
      </c>
      <c r="I30" s="266"/>
      <c r="J30" s="290">
        <f t="shared" ref="J30:J43" si="2">SUM(F30:I30)</f>
        <v>199532</v>
      </c>
      <c r="K30" s="260"/>
      <c r="L30" s="396"/>
    </row>
    <row r="31" spans="1:13">
      <c r="A31" s="248">
        <f t="shared" si="0"/>
        <v>21</v>
      </c>
      <c r="B31" s="248">
        <v>569</v>
      </c>
      <c r="D31" s="248" t="s">
        <v>847</v>
      </c>
      <c r="F31" s="995">
        <v>0</v>
      </c>
      <c r="G31" s="293"/>
      <c r="H31" s="995"/>
      <c r="I31" s="260"/>
      <c r="J31" s="294">
        <f t="shared" si="2"/>
        <v>0</v>
      </c>
      <c r="K31" s="260"/>
      <c r="L31" s="396"/>
    </row>
    <row r="32" spans="1:13">
      <c r="A32" s="248">
        <f t="shared" si="0"/>
        <v>22</v>
      </c>
      <c r="B32" s="291" t="s">
        <v>897</v>
      </c>
      <c r="D32" s="248" t="s">
        <v>898</v>
      </c>
      <c r="F32" s="995">
        <v>0</v>
      </c>
      <c r="G32" s="293"/>
      <c r="H32" s="995"/>
      <c r="I32" s="260"/>
      <c r="J32" s="294">
        <f t="shared" si="2"/>
        <v>0</v>
      </c>
      <c r="K32" s="260"/>
      <c r="L32" s="396"/>
    </row>
    <row r="33" spans="1:12">
      <c r="A33" s="248">
        <f t="shared" si="0"/>
        <v>23</v>
      </c>
      <c r="B33" s="291" t="s">
        <v>899</v>
      </c>
      <c r="D33" s="248" t="s">
        <v>944</v>
      </c>
      <c r="F33" s="995">
        <v>0</v>
      </c>
      <c r="G33" s="293"/>
      <c r="H33" s="995"/>
      <c r="I33" s="260"/>
      <c r="J33" s="294">
        <f t="shared" si="2"/>
        <v>0</v>
      </c>
      <c r="K33" s="260"/>
      <c r="L33" s="396"/>
    </row>
    <row r="34" spans="1:12">
      <c r="A34" s="248">
        <f t="shared" si="0"/>
        <v>24</v>
      </c>
      <c r="B34" s="291" t="s">
        <v>900</v>
      </c>
      <c r="D34" s="248" t="s">
        <v>3</v>
      </c>
      <c r="F34" s="995">
        <v>0</v>
      </c>
      <c r="G34" s="293"/>
      <c r="H34" s="995"/>
      <c r="I34" s="260"/>
      <c r="J34" s="294">
        <f t="shared" si="2"/>
        <v>0</v>
      </c>
      <c r="K34" s="260"/>
      <c r="L34" s="396"/>
    </row>
    <row r="35" spans="1:12">
      <c r="A35" s="248">
        <f t="shared" si="0"/>
        <v>25</v>
      </c>
      <c r="B35" s="291" t="s">
        <v>901</v>
      </c>
      <c r="D35" s="248" t="s">
        <v>902</v>
      </c>
      <c r="F35" s="995">
        <v>0</v>
      </c>
      <c r="G35" s="293"/>
      <c r="H35" s="995"/>
      <c r="I35" s="260"/>
      <c r="J35" s="294">
        <f t="shared" si="2"/>
        <v>0</v>
      </c>
      <c r="K35" s="260"/>
      <c r="L35" s="396"/>
    </row>
    <row r="36" spans="1:12">
      <c r="A36" s="248">
        <f>A30+1</f>
        <v>21</v>
      </c>
      <c r="B36" s="248">
        <v>570</v>
      </c>
      <c r="D36" s="248" t="s">
        <v>35</v>
      </c>
      <c r="F36" s="995">
        <v>7526675</v>
      </c>
      <c r="G36" s="293"/>
      <c r="H36" s="995">
        <v>3452990</v>
      </c>
      <c r="I36" s="260"/>
      <c r="J36" s="294">
        <f t="shared" si="2"/>
        <v>10979665</v>
      </c>
      <c r="K36" s="260"/>
      <c r="L36" s="396"/>
    </row>
    <row r="37" spans="1:12">
      <c r="A37" s="248">
        <f t="shared" si="0"/>
        <v>22</v>
      </c>
      <c r="B37" s="248">
        <v>571</v>
      </c>
      <c r="D37" s="248" t="s">
        <v>849</v>
      </c>
      <c r="F37" s="995">
        <v>8923868</v>
      </c>
      <c r="G37" s="293"/>
      <c r="H37" s="995">
        <v>2683311</v>
      </c>
      <c r="I37" s="260"/>
      <c r="J37" s="294">
        <f t="shared" si="2"/>
        <v>11607179</v>
      </c>
      <c r="K37" s="260"/>
      <c r="L37" s="396"/>
    </row>
    <row r="38" spans="1:12">
      <c r="A38" s="248">
        <f t="shared" si="0"/>
        <v>23</v>
      </c>
      <c r="B38" s="248">
        <v>572</v>
      </c>
      <c r="D38" s="248" t="s">
        <v>851</v>
      </c>
      <c r="F38" s="995">
        <v>289207</v>
      </c>
      <c r="G38" s="293"/>
      <c r="H38" s="995">
        <v>607</v>
      </c>
      <c r="I38" s="260"/>
      <c r="J38" s="294">
        <f t="shared" si="2"/>
        <v>289814</v>
      </c>
      <c r="K38" s="260"/>
      <c r="L38" s="396"/>
    </row>
    <row r="39" spans="1:12">
      <c r="A39" s="248">
        <f t="shared" si="0"/>
        <v>24</v>
      </c>
      <c r="B39" s="248">
        <v>573</v>
      </c>
      <c r="D39" s="248" t="s">
        <v>946</v>
      </c>
      <c r="F39" s="995">
        <v>30414</v>
      </c>
      <c r="G39" s="293"/>
      <c r="H39" s="995">
        <v>13625</v>
      </c>
      <c r="I39" s="260"/>
      <c r="J39" s="294">
        <f t="shared" si="2"/>
        <v>44039</v>
      </c>
      <c r="K39" s="260"/>
      <c r="L39" s="396"/>
    </row>
    <row r="40" spans="1:12" hidden="1">
      <c r="A40" s="248">
        <f t="shared" si="0"/>
        <v>25</v>
      </c>
      <c r="B40" s="248">
        <v>575.1</v>
      </c>
      <c r="D40" s="248" t="s">
        <v>67</v>
      </c>
      <c r="F40" s="322">
        <v>0</v>
      </c>
      <c r="G40" s="293"/>
      <c r="H40" s="314"/>
      <c r="I40" s="260"/>
      <c r="J40" s="296">
        <f t="shared" si="2"/>
        <v>0</v>
      </c>
      <c r="K40" s="260"/>
      <c r="L40" s="396"/>
    </row>
    <row r="41" spans="1:12" hidden="1">
      <c r="A41" s="248">
        <f t="shared" si="0"/>
        <v>26</v>
      </c>
      <c r="B41" s="248">
        <v>575.5</v>
      </c>
      <c r="D41" s="248" t="s">
        <v>68</v>
      </c>
      <c r="F41" s="322">
        <v>0</v>
      </c>
      <c r="G41" s="293"/>
      <c r="H41" s="314"/>
      <c r="I41" s="260"/>
      <c r="J41" s="296">
        <f t="shared" si="2"/>
        <v>0</v>
      </c>
      <c r="K41" s="260"/>
      <c r="L41" s="396"/>
    </row>
    <row r="42" spans="1:12" hidden="1">
      <c r="A42" s="248">
        <f t="shared" si="0"/>
        <v>27</v>
      </c>
      <c r="B42" s="248">
        <v>575.6</v>
      </c>
      <c r="D42" s="248" t="s">
        <v>69</v>
      </c>
      <c r="F42" s="322">
        <v>0</v>
      </c>
      <c r="G42" s="293"/>
      <c r="H42" s="314"/>
      <c r="I42" s="260"/>
      <c r="J42" s="296">
        <f t="shared" si="2"/>
        <v>0</v>
      </c>
      <c r="K42" s="260"/>
      <c r="L42" s="396"/>
    </row>
    <row r="43" spans="1:12" hidden="1">
      <c r="A43" s="248">
        <f t="shared" si="0"/>
        <v>28</v>
      </c>
      <c r="B43" s="248">
        <v>575.79999999999995</v>
      </c>
      <c r="D43" s="248" t="s">
        <v>70</v>
      </c>
      <c r="F43" s="323">
        <v>0</v>
      </c>
      <c r="G43" s="293"/>
      <c r="H43" s="303"/>
      <c r="I43" s="260"/>
      <c r="J43" s="297">
        <f t="shared" si="2"/>
        <v>0</v>
      </c>
      <c r="K43" s="260"/>
      <c r="L43" s="396"/>
    </row>
    <row r="44" spans="1:12">
      <c r="A44" s="248">
        <f>A39+1</f>
        <v>25</v>
      </c>
      <c r="D44" s="248" t="s">
        <v>15</v>
      </c>
      <c r="F44" s="295">
        <f>SUM(F30:F43)</f>
        <v>16951121</v>
      </c>
      <c r="G44" s="318"/>
      <c r="H44" s="295">
        <f>SUM(H30:H43)</f>
        <v>6169108</v>
      </c>
      <c r="I44" s="266"/>
      <c r="J44" s="295">
        <f>SUM(J30:J43)</f>
        <v>23120229</v>
      </c>
      <c r="K44" s="260"/>
      <c r="L44" s="396"/>
    </row>
    <row r="45" spans="1:12" ht="7.5" customHeight="1">
      <c r="F45" s="294"/>
      <c r="G45" s="319"/>
      <c r="H45" s="294"/>
      <c r="I45" s="260"/>
      <c r="J45" s="294"/>
      <c r="K45" s="260"/>
      <c r="L45" s="396"/>
    </row>
    <row r="46" spans="1:12" ht="13.5" thickBot="1">
      <c r="A46" s="248">
        <f>A44+1</f>
        <v>26</v>
      </c>
      <c r="D46" s="248" t="s">
        <v>0</v>
      </c>
      <c r="F46" s="298">
        <f>+F27+F44</f>
        <v>355751626</v>
      </c>
      <c r="G46" s="318"/>
      <c r="H46" s="298">
        <f>+H27+H44</f>
        <v>66585841</v>
      </c>
      <c r="I46" s="266"/>
      <c r="J46" s="298">
        <f>+J27+J44</f>
        <v>422337467</v>
      </c>
      <c r="K46" s="260"/>
      <c r="L46" s="396"/>
    </row>
    <row r="47" spans="1:12" ht="13.5" thickTop="1">
      <c r="D47" s="248"/>
      <c r="F47" s="299"/>
      <c r="G47" s="318"/>
      <c r="H47" s="299"/>
      <c r="I47" s="266"/>
      <c r="J47" s="299"/>
      <c r="K47" s="260"/>
      <c r="L47" s="396"/>
    </row>
    <row r="48" spans="1:12">
      <c r="A48" s="248">
        <f>A46+1</f>
        <v>27</v>
      </c>
      <c r="D48" s="248" t="s">
        <v>903</v>
      </c>
      <c r="F48" s="300"/>
      <c r="G48" s="289"/>
      <c r="H48" s="300"/>
      <c r="I48" s="266"/>
      <c r="J48" s="290"/>
      <c r="K48" s="260"/>
    </row>
    <row r="49" spans="1:11">
      <c r="A49" s="248">
        <f t="shared" si="0"/>
        <v>28</v>
      </c>
      <c r="D49" s="248" t="s">
        <v>71</v>
      </c>
      <c r="F49" s="994">
        <v>107465543</v>
      </c>
      <c r="G49" s="289"/>
      <c r="H49" s="994">
        <v>54005161</v>
      </c>
      <c r="I49" s="266"/>
      <c r="J49" s="300">
        <f>F49+H49</f>
        <v>161470704</v>
      </c>
      <c r="K49" s="260"/>
    </row>
    <row r="50" spans="1:11" ht="13.5" thickBot="1">
      <c r="A50" s="248">
        <f t="shared" si="0"/>
        <v>29</v>
      </c>
      <c r="D50" s="248" t="s">
        <v>87</v>
      </c>
      <c r="F50" s="374">
        <f>F46-F49</f>
        <v>248286083</v>
      </c>
      <c r="G50" s="289"/>
      <c r="H50" s="374">
        <f>H46-H49</f>
        <v>12580680</v>
      </c>
      <c r="I50" s="266"/>
      <c r="J50" s="301">
        <f>J46-J49</f>
        <v>260866763</v>
      </c>
      <c r="K50" s="260"/>
    </row>
    <row r="51" spans="1:11" ht="13.5" thickTop="1">
      <c r="A51" s="248">
        <f t="shared" si="0"/>
        <v>30</v>
      </c>
      <c r="D51" s="248" t="s">
        <v>184</v>
      </c>
      <c r="F51" s="300"/>
      <c r="G51" s="289"/>
      <c r="H51" s="300"/>
      <c r="I51" s="266"/>
      <c r="J51" s="300"/>
      <c r="K51" s="260"/>
    </row>
    <row r="52" spans="1:11">
      <c r="A52" s="248">
        <f t="shared" si="0"/>
        <v>31</v>
      </c>
      <c r="D52" s="248" t="s">
        <v>906</v>
      </c>
      <c r="F52" s="347">
        <f>F16</f>
        <v>7057099</v>
      </c>
      <c r="G52" s="289"/>
      <c r="H52" s="347">
        <f>H16</f>
        <v>0</v>
      </c>
      <c r="I52" s="266"/>
      <c r="J52" s="300">
        <f>F52+H52</f>
        <v>7057099</v>
      </c>
      <c r="K52" s="260"/>
    </row>
    <row r="53" spans="1:11">
      <c r="A53" s="248">
        <f t="shared" si="0"/>
        <v>32</v>
      </c>
      <c r="D53" s="248" t="s">
        <v>907</v>
      </c>
      <c r="F53" s="346">
        <f>F20</f>
        <v>2930972</v>
      </c>
      <c r="G53" s="293"/>
      <c r="H53" s="346">
        <f>H20</f>
        <v>0</v>
      </c>
      <c r="I53" s="260"/>
      <c r="J53" s="302">
        <f>F53+H53</f>
        <v>2930972</v>
      </c>
      <c r="K53" s="260"/>
    </row>
    <row r="54" spans="1:11">
      <c r="A54" s="248">
        <f t="shared" si="0"/>
        <v>33</v>
      </c>
      <c r="D54" s="248"/>
      <c r="F54" s="375">
        <f>SUM(F52:F53)</f>
        <v>9988071</v>
      </c>
      <c r="G54" s="293"/>
      <c r="H54" s="375">
        <f>SUM(H52:H53)</f>
        <v>0</v>
      </c>
      <c r="I54" s="260"/>
      <c r="J54" s="292">
        <f>SUM(J52:J53)</f>
        <v>9988071</v>
      </c>
      <c r="K54" s="260"/>
    </row>
    <row r="55" spans="1:11" ht="5.25" customHeight="1">
      <c r="D55" s="248"/>
      <c r="F55" s="292"/>
      <c r="G55" s="293"/>
      <c r="H55" s="347"/>
      <c r="I55" s="260"/>
      <c r="J55" s="300"/>
      <c r="K55" s="260"/>
    </row>
    <row r="56" spans="1:11">
      <c r="A56" s="248">
        <f>A54+1</f>
        <v>34</v>
      </c>
      <c r="D56" s="248" t="s">
        <v>904</v>
      </c>
      <c r="F56" s="376">
        <f>F24</f>
        <v>193894526</v>
      </c>
      <c r="G56" s="293"/>
      <c r="H56" s="376">
        <f>H24</f>
        <v>0</v>
      </c>
      <c r="I56" s="260"/>
      <c r="J56" s="304">
        <f>F56+H56</f>
        <v>193894526</v>
      </c>
      <c r="K56" s="260"/>
    </row>
    <row r="57" spans="1:11" ht="5.25" customHeight="1">
      <c r="D57" s="248"/>
      <c r="F57" s="299"/>
      <c r="G57" s="318"/>
      <c r="H57" s="299"/>
      <c r="I57" s="266"/>
      <c r="J57" s="299"/>
      <c r="K57" s="260"/>
    </row>
    <row r="58" spans="1:11" ht="13.5" thickBot="1">
      <c r="A58" s="248">
        <f>A56+1</f>
        <v>35</v>
      </c>
      <c r="D58" s="248" t="s">
        <v>905</v>
      </c>
      <c r="F58" s="387">
        <f>F50-F54-F56</f>
        <v>44403486</v>
      </c>
      <c r="G58" s="318"/>
      <c r="H58" s="387">
        <f>H50-H54-H56</f>
        <v>12580680</v>
      </c>
      <c r="I58" s="266"/>
      <c r="J58" s="305">
        <f>J50-J54-J56</f>
        <v>56984166</v>
      </c>
      <c r="K58" s="260"/>
    </row>
    <row r="59" spans="1:11" ht="5.25" customHeight="1" thickTop="1">
      <c r="D59" s="248"/>
      <c r="F59" s="299"/>
      <c r="G59" s="318"/>
      <c r="H59" s="299"/>
      <c r="I59" s="266"/>
      <c r="J59" s="299"/>
      <c r="K59" s="260"/>
    </row>
    <row r="60" spans="1:11">
      <c r="F60" s="313"/>
    </row>
  </sheetData>
  <phoneticPr fontId="15" type="noConversion"/>
  <pageMargins left="0.5" right="0.25" top="0.25" bottom="0.55000000000000004" header="0.75" footer="0"/>
  <pageSetup scale="73" orientation="portrait"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D47"/>
  <sheetViews>
    <sheetView showGridLines="0" topLeftCell="A2" workbookViewId="0">
      <selection activeCell="B24" sqref="B24"/>
    </sheetView>
  </sheetViews>
  <sheetFormatPr defaultRowHeight="12.75"/>
  <cols>
    <col min="1" max="1" width="13.77734375" style="862" customWidth="1"/>
    <col min="2" max="2" width="41.77734375" style="861" customWidth="1"/>
    <col min="3" max="3" width="67.88671875" style="862" customWidth="1"/>
    <col min="4" max="16384" width="8.88671875" style="862"/>
  </cols>
  <sheetData>
    <row r="1" spans="1:4" ht="24.75" customHeight="1">
      <c r="A1" s="860" t="s">
        <v>1101</v>
      </c>
    </row>
    <row r="2" spans="1:4">
      <c r="A2" s="863" t="s">
        <v>947</v>
      </c>
      <c r="B2" s="863" t="s">
        <v>948</v>
      </c>
      <c r="C2" s="863" t="s">
        <v>949</v>
      </c>
    </row>
    <row r="3" spans="1:4" ht="38.25">
      <c r="A3" s="864" t="s">
        <v>950</v>
      </c>
      <c r="B3" s="865" t="s">
        <v>951</v>
      </c>
      <c r="C3" s="866" t="s">
        <v>1102</v>
      </c>
    </row>
    <row r="4" spans="1:4" ht="38.25">
      <c r="A4" s="864" t="s">
        <v>952</v>
      </c>
      <c r="B4" s="865" t="s">
        <v>953</v>
      </c>
      <c r="C4" s="866" t="s">
        <v>1102</v>
      </c>
    </row>
    <row r="5" spans="1:4" ht="51">
      <c r="A5" s="864" t="s">
        <v>954</v>
      </c>
      <c r="B5" s="865" t="s">
        <v>955</v>
      </c>
      <c r="C5" s="866" t="s">
        <v>1102</v>
      </c>
    </row>
    <row r="6" spans="1:4" ht="38.25">
      <c r="A6" s="864">
        <v>4</v>
      </c>
      <c r="B6" s="865" t="s">
        <v>956</v>
      </c>
      <c r="C6" s="867" t="s">
        <v>1103</v>
      </c>
    </row>
    <row r="7" spans="1:4">
      <c r="A7" s="868" t="s">
        <v>957</v>
      </c>
      <c r="B7" s="877" t="s">
        <v>958</v>
      </c>
      <c r="C7" s="874"/>
      <c r="D7" s="870"/>
    </row>
    <row r="8" spans="1:4" ht="25.5" customHeight="1">
      <c r="A8" s="871" t="s">
        <v>959</v>
      </c>
      <c r="B8" s="875" t="s">
        <v>960</v>
      </c>
      <c r="C8" s="876" t="s">
        <v>1104</v>
      </c>
      <c r="D8" s="870"/>
    </row>
    <row r="9" spans="1:4" ht="38.25">
      <c r="A9" s="872" t="s">
        <v>961</v>
      </c>
      <c r="B9" s="869" t="s">
        <v>962</v>
      </c>
      <c r="C9" s="876" t="s">
        <v>1104</v>
      </c>
      <c r="D9" s="870"/>
    </row>
    <row r="10" spans="1:4" ht="25.5">
      <c r="A10" s="872" t="s">
        <v>963</v>
      </c>
      <c r="B10" s="869" t="s">
        <v>964</v>
      </c>
      <c r="C10" s="876" t="s">
        <v>1104</v>
      </c>
      <c r="D10" s="870"/>
    </row>
    <row r="11" spans="1:4" ht="25.5">
      <c r="A11" s="872" t="s">
        <v>965</v>
      </c>
      <c r="B11" s="869" t="s">
        <v>966</v>
      </c>
      <c r="C11" s="876" t="s">
        <v>1104</v>
      </c>
    </row>
    <row r="12" spans="1:4" ht="16.5" customHeight="1">
      <c r="A12" s="872" t="s">
        <v>967</v>
      </c>
      <c r="B12" s="869" t="s">
        <v>968</v>
      </c>
      <c r="C12" s="876" t="s">
        <v>1104</v>
      </c>
      <c r="D12" s="870"/>
    </row>
    <row r="13" spans="1:4" ht="38.25">
      <c r="A13" s="872" t="s">
        <v>969</v>
      </c>
      <c r="B13" s="869" t="s">
        <v>970</v>
      </c>
      <c r="C13" s="866" t="s">
        <v>1105</v>
      </c>
    </row>
    <row r="14" spans="1:4" ht="51">
      <c r="A14" s="873" t="s">
        <v>971</v>
      </c>
      <c r="B14" s="865" t="s">
        <v>972</v>
      </c>
      <c r="C14" s="866" t="s">
        <v>973</v>
      </c>
    </row>
    <row r="15" spans="1:4" ht="51">
      <c r="A15" s="873" t="s">
        <v>974</v>
      </c>
      <c r="B15" s="865" t="s">
        <v>975</v>
      </c>
      <c r="C15" s="867" t="s">
        <v>1106</v>
      </c>
    </row>
    <row r="16" spans="1:4">
      <c r="A16" s="861"/>
      <c r="C16" s="861"/>
    </row>
    <row r="17" spans="1:3">
      <c r="A17" s="861"/>
      <c r="C17" s="861"/>
    </row>
    <row r="18" spans="1:3">
      <c r="A18" s="861"/>
      <c r="C18" s="861"/>
    </row>
    <row r="19" spans="1:3">
      <c r="A19" s="861"/>
      <c r="C19" s="861"/>
    </row>
    <row r="20" spans="1:3">
      <c r="A20" s="861"/>
      <c r="C20" s="861"/>
    </row>
    <row r="21" spans="1:3">
      <c r="A21" s="861"/>
      <c r="C21" s="861"/>
    </row>
    <row r="22" spans="1:3">
      <c r="A22" s="861"/>
      <c r="C22" s="861"/>
    </row>
    <row r="23" spans="1:3">
      <c r="A23" s="861"/>
      <c r="C23" s="861"/>
    </row>
    <row r="24" spans="1:3">
      <c r="A24" s="861"/>
      <c r="C24" s="861"/>
    </row>
    <row r="25" spans="1:3">
      <c r="A25" s="861"/>
      <c r="C25" s="861"/>
    </row>
    <row r="26" spans="1:3">
      <c r="A26" s="861"/>
      <c r="C26" s="861"/>
    </row>
    <row r="27" spans="1:3">
      <c r="A27" s="861"/>
      <c r="C27" s="861"/>
    </row>
    <row r="28" spans="1:3">
      <c r="A28" s="861"/>
      <c r="C28" s="861"/>
    </row>
    <row r="29" spans="1:3">
      <c r="A29" s="861"/>
      <c r="C29" s="861"/>
    </row>
    <row r="30" spans="1:3">
      <c r="A30" s="861"/>
      <c r="C30" s="861"/>
    </row>
    <row r="31" spans="1:3">
      <c r="A31" s="861"/>
      <c r="C31" s="861"/>
    </row>
    <row r="32" spans="1:3">
      <c r="A32" s="861"/>
      <c r="C32" s="861"/>
    </row>
    <row r="33" spans="1:3">
      <c r="A33" s="861"/>
      <c r="C33" s="861"/>
    </row>
    <row r="34" spans="1:3">
      <c r="A34" s="861"/>
      <c r="C34" s="861"/>
    </row>
    <row r="35" spans="1:3">
      <c r="A35" s="861"/>
      <c r="C35" s="861"/>
    </row>
    <row r="36" spans="1:3">
      <c r="A36" s="861"/>
      <c r="C36" s="861"/>
    </row>
    <row r="37" spans="1:3">
      <c r="A37" s="861"/>
      <c r="C37" s="861"/>
    </row>
    <row r="38" spans="1:3">
      <c r="A38" s="861"/>
    </row>
    <row r="39" spans="1:3">
      <c r="A39" s="861"/>
      <c r="B39" s="862"/>
    </row>
    <row r="40" spans="1:3">
      <c r="A40" s="861"/>
      <c r="B40" s="862"/>
    </row>
    <row r="41" spans="1:3">
      <c r="A41" s="861"/>
      <c r="B41" s="862"/>
    </row>
    <row r="42" spans="1:3">
      <c r="A42" s="861"/>
      <c r="B42" s="862"/>
    </row>
    <row r="43" spans="1:3">
      <c r="A43" s="861"/>
      <c r="B43" s="862"/>
    </row>
    <row r="44" spans="1:3">
      <c r="A44" s="861"/>
      <c r="B44" s="862"/>
    </row>
    <row r="45" spans="1:3">
      <c r="A45" s="861"/>
      <c r="B45" s="862"/>
    </row>
    <row r="46" spans="1:3">
      <c r="A46" s="861"/>
      <c r="B46" s="862"/>
    </row>
    <row r="47" spans="1:3">
      <c r="A47" s="861"/>
      <c r="B47" s="862"/>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CC"/>
    <pageSetUpPr fitToPage="1"/>
  </sheetPr>
  <dimension ref="A1:M46"/>
  <sheetViews>
    <sheetView showGridLines="0" zoomScaleNormal="100" workbookViewId="0">
      <selection activeCell="H46" sqref="H46"/>
    </sheetView>
  </sheetViews>
  <sheetFormatPr defaultColWidth="8" defaultRowHeight="12.75"/>
  <cols>
    <col min="1" max="1" width="4.33203125" style="248" customWidth="1"/>
    <col min="2" max="2" width="6.44140625" style="248" bestFit="1" customWidth="1"/>
    <col min="3" max="3" width="0.88671875" style="244" customWidth="1"/>
    <col min="4" max="4" width="42" style="244" customWidth="1"/>
    <col min="5" max="5" width="0.88671875" style="281" customWidth="1"/>
    <col min="6" max="6" width="12.109375" style="244" customWidth="1"/>
    <col min="7" max="7" width="0.88671875" style="315" customWidth="1"/>
    <col min="8" max="8" width="12" style="244" customWidth="1"/>
    <col min="9" max="9" width="0.88671875" style="244" customWidth="1"/>
    <col min="10" max="10" width="13.109375" style="245" customWidth="1"/>
    <col min="11" max="11" width="9.88671875" style="244" customWidth="1"/>
    <col min="12" max="12" width="15.6640625" style="313" bestFit="1" customWidth="1"/>
    <col min="13" max="13" width="9.109375" style="244" bestFit="1" customWidth="1"/>
    <col min="14" max="16384" width="8" style="244"/>
  </cols>
  <sheetData>
    <row r="1" spans="1:13">
      <c r="A1" s="280" t="s">
        <v>855</v>
      </c>
      <c r="I1" s="205"/>
      <c r="J1" s="282" t="str">
        <f>Cover!C1</f>
        <v>2018 Workpapers</v>
      </c>
    </row>
    <row r="2" spans="1:13">
      <c r="A2" s="205" t="s">
        <v>1</v>
      </c>
      <c r="I2" s="283"/>
      <c r="J2" s="246"/>
    </row>
    <row r="3" spans="1:13">
      <c r="A3" s="6" t="s">
        <v>1109</v>
      </c>
      <c r="I3" s="205"/>
      <c r="J3" s="247"/>
    </row>
    <row r="4" spans="1:13" ht="12" customHeight="1">
      <c r="A4" s="419"/>
      <c r="I4" s="284"/>
    </row>
    <row r="5" spans="1:13" ht="4.5" customHeight="1">
      <c r="F5" s="285"/>
      <c r="G5" s="316"/>
      <c r="H5" s="285"/>
      <c r="I5" s="285"/>
      <c r="K5" s="285"/>
      <c r="L5" s="394"/>
    </row>
    <row r="6" spans="1:13">
      <c r="A6" s="205" t="s">
        <v>46</v>
      </c>
      <c r="B6" s="205" t="s">
        <v>56</v>
      </c>
      <c r="C6" s="283"/>
      <c r="D6" s="283"/>
      <c r="E6" s="286"/>
      <c r="F6" s="250"/>
      <c r="G6" s="317"/>
      <c r="H6" s="250"/>
      <c r="I6" s="250"/>
      <c r="J6" s="250" t="s">
        <v>23</v>
      </c>
      <c r="K6" s="285"/>
      <c r="L6" s="394"/>
    </row>
    <row r="7" spans="1:13">
      <c r="A7" s="252" t="s">
        <v>22</v>
      </c>
      <c r="B7" s="252" t="s">
        <v>22</v>
      </c>
      <c r="C7" s="205" t="s">
        <v>43</v>
      </c>
      <c r="D7" s="252" t="s">
        <v>33</v>
      </c>
      <c r="E7" s="286"/>
      <c r="F7" s="254" t="s">
        <v>876</v>
      </c>
      <c r="G7" s="317"/>
      <c r="H7" s="255" t="s">
        <v>877</v>
      </c>
      <c r="I7" s="250"/>
      <c r="J7" s="255" t="s">
        <v>878</v>
      </c>
      <c r="K7" s="285"/>
      <c r="L7" s="395"/>
    </row>
    <row r="8" spans="1:13" ht="6.75" customHeight="1">
      <c r="K8" s="285"/>
      <c r="L8" s="396"/>
    </row>
    <row r="9" spans="1:13" s="313" customFormat="1">
      <c r="A9" s="248">
        <v>1</v>
      </c>
      <c r="B9" s="248"/>
      <c r="C9" s="244"/>
      <c r="D9" s="287" t="s">
        <v>34</v>
      </c>
      <c r="E9" s="281"/>
      <c r="F9" s="306"/>
      <c r="G9" s="315"/>
      <c r="H9" s="260"/>
      <c r="I9" s="244"/>
      <c r="J9" s="245"/>
      <c r="K9" s="285"/>
      <c r="M9" s="244"/>
    </row>
    <row r="10" spans="1:13" s="313" customFormat="1">
      <c r="A10" s="248">
        <f t="shared" ref="A10:A37" si="0">+A9+1</f>
        <v>2</v>
      </c>
      <c r="B10" s="248"/>
      <c r="C10" s="244"/>
      <c r="D10" s="288" t="s">
        <v>44</v>
      </c>
      <c r="E10" s="281"/>
      <c r="F10" s="306"/>
      <c r="G10" s="315"/>
      <c r="H10" s="260"/>
      <c r="I10" s="244"/>
      <c r="J10" s="245"/>
      <c r="K10" s="285"/>
      <c r="M10" s="244"/>
    </row>
    <row r="11" spans="1:13" s="313" customFormat="1">
      <c r="A11" s="248">
        <f t="shared" si="0"/>
        <v>3</v>
      </c>
      <c r="B11" s="248">
        <v>920</v>
      </c>
      <c r="C11" s="244"/>
      <c r="D11" s="248" t="s">
        <v>17</v>
      </c>
      <c r="E11" s="281"/>
      <c r="F11" s="994">
        <v>72782921</v>
      </c>
      <c r="G11" s="289"/>
      <c r="H11" s="994">
        <v>11466001</v>
      </c>
      <c r="I11" s="266"/>
      <c r="J11" s="290">
        <f>SUM(F11:I11)</f>
        <v>84248922</v>
      </c>
      <c r="K11" s="294"/>
      <c r="M11" s="244"/>
    </row>
    <row r="12" spans="1:13" s="313" customFormat="1">
      <c r="A12" s="248">
        <f t="shared" si="0"/>
        <v>4</v>
      </c>
      <c r="B12" s="248">
        <v>921</v>
      </c>
      <c r="C12" s="244"/>
      <c r="D12" s="248" t="s">
        <v>18</v>
      </c>
      <c r="E12" s="281"/>
      <c r="F12" s="995">
        <v>56649158</v>
      </c>
      <c r="G12" s="293"/>
      <c r="H12" s="995">
        <v>7754213</v>
      </c>
      <c r="I12" s="260"/>
      <c r="J12" s="294">
        <f>SUM(F12:I12)</f>
        <v>64403371</v>
      </c>
      <c r="K12" s="260"/>
      <c r="M12" s="244"/>
    </row>
    <row r="13" spans="1:13" s="313" customFormat="1">
      <c r="A13" s="248">
        <f t="shared" si="0"/>
        <v>5</v>
      </c>
      <c r="B13" s="248">
        <v>922</v>
      </c>
      <c r="C13" s="244"/>
      <c r="D13" s="248" t="s">
        <v>19</v>
      </c>
      <c r="E13" s="281"/>
      <c r="F13" s="995">
        <v>-41946226</v>
      </c>
      <c r="G13" s="293"/>
      <c r="H13" s="995">
        <v>-3632740</v>
      </c>
      <c r="I13" s="260"/>
      <c r="J13" s="294">
        <f t="shared" ref="J13:J24" si="1">SUM(F13:I13)</f>
        <v>-45578966</v>
      </c>
      <c r="K13" s="260"/>
      <c r="M13" s="244"/>
    </row>
    <row r="14" spans="1:13" s="313" customFormat="1">
      <c r="A14" s="248">
        <f t="shared" si="0"/>
        <v>6</v>
      </c>
      <c r="B14" s="248">
        <v>923</v>
      </c>
      <c r="C14" s="244"/>
      <c r="D14" s="248" t="s">
        <v>20</v>
      </c>
      <c r="E14" s="281"/>
      <c r="F14" s="995">
        <v>28050158</v>
      </c>
      <c r="G14" s="293"/>
      <c r="H14" s="995">
        <v>3635324</v>
      </c>
      <c r="I14" s="260"/>
      <c r="J14" s="294">
        <f t="shared" si="1"/>
        <v>31685482</v>
      </c>
      <c r="K14" s="260"/>
      <c r="M14" s="244"/>
    </row>
    <row r="15" spans="1:13" s="313" customFormat="1">
      <c r="A15" s="248">
        <f t="shared" si="0"/>
        <v>7</v>
      </c>
      <c r="B15" s="248">
        <v>924</v>
      </c>
      <c r="C15" s="244"/>
      <c r="D15" s="248" t="s">
        <v>2</v>
      </c>
      <c r="E15" s="281"/>
      <c r="F15" s="995">
        <v>7358647</v>
      </c>
      <c r="G15" s="293"/>
      <c r="H15" s="995">
        <v>881088</v>
      </c>
      <c r="I15" s="260"/>
      <c r="J15" s="294">
        <f t="shared" si="1"/>
        <v>8239735</v>
      </c>
      <c r="K15" s="260"/>
      <c r="M15" s="244"/>
    </row>
    <row r="16" spans="1:13" s="313" customFormat="1">
      <c r="A16" s="248">
        <f t="shared" si="0"/>
        <v>8</v>
      </c>
      <c r="B16" s="248">
        <v>925</v>
      </c>
      <c r="C16" s="244"/>
      <c r="D16" s="248" t="s">
        <v>58</v>
      </c>
      <c r="E16" s="281"/>
      <c r="F16" s="995">
        <v>11951414</v>
      </c>
      <c r="G16" s="293"/>
      <c r="H16" s="995">
        <v>746603</v>
      </c>
      <c r="I16" s="260"/>
      <c r="J16" s="294">
        <f t="shared" si="1"/>
        <v>12698017</v>
      </c>
      <c r="K16" s="260"/>
      <c r="M16" s="244"/>
    </row>
    <row r="17" spans="1:13" s="313" customFormat="1">
      <c r="A17" s="248">
        <f t="shared" si="0"/>
        <v>9</v>
      </c>
      <c r="B17" s="248">
        <v>926</v>
      </c>
      <c r="C17" s="244"/>
      <c r="D17" s="248" t="s">
        <v>59</v>
      </c>
      <c r="E17" s="281"/>
      <c r="F17" s="995">
        <v>88142330</v>
      </c>
      <c r="G17" s="293"/>
      <c r="H17" s="995">
        <v>13849758</v>
      </c>
      <c r="I17" s="260"/>
      <c r="J17" s="294">
        <f t="shared" si="1"/>
        <v>101992088</v>
      </c>
      <c r="K17" s="260"/>
      <c r="M17" s="244"/>
    </row>
    <row r="18" spans="1:13" s="313" customFormat="1">
      <c r="A18" s="248">
        <f t="shared" si="0"/>
        <v>10</v>
      </c>
      <c r="B18" s="248">
        <v>928</v>
      </c>
      <c r="C18" s="244"/>
      <c r="D18" s="248" t="s">
        <v>37</v>
      </c>
      <c r="E18" s="281"/>
      <c r="F18" s="995">
        <v>0</v>
      </c>
      <c r="G18" s="893"/>
      <c r="H18" s="995">
        <v>0</v>
      </c>
      <c r="I18" s="260"/>
      <c r="J18" s="294">
        <f t="shared" si="1"/>
        <v>0</v>
      </c>
      <c r="K18" s="260"/>
      <c r="M18" s="244"/>
    </row>
    <row r="19" spans="1:13" s="313" customFormat="1">
      <c r="A19" s="248">
        <f t="shared" si="0"/>
        <v>11</v>
      </c>
      <c r="B19" s="248">
        <v>928</v>
      </c>
      <c r="C19" s="244"/>
      <c r="D19" s="248" t="s">
        <v>908</v>
      </c>
      <c r="E19" s="281"/>
      <c r="F19" s="995">
        <f>7748595-F20-F18</f>
        <v>7731600.3600000003</v>
      </c>
      <c r="G19" s="293"/>
      <c r="H19" s="995">
        <v>1051567</v>
      </c>
      <c r="I19" s="260"/>
      <c r="J19" s="294">
        <f t="shared" si="1"/>
        <v>8783167.3599999994</v>
      </c>
      <c r="K19" s="260"/>
      <c r="M19" s="244"/>
    </row>
    <row r="20" spans="1:13" s="313" customFormat="1">
      <c r="A20" s="248">
        <f t="shared" si="0"/>
        <v>12</v>
      </c>
      <c r="B20" s="248">
        <v>928</v>
      </c>
      <c r="C20" s="244"/>
      <c r="D20" s="248" t="s">
        <v>909</v>
      </c>
      <c r="E20" s="281"/>
      <c r="F20" s="995">
        <v>16994.64</v>
      </c>
      <c r="G20" s="293"/>
      <c r="H20" s="995">
        <v>0</v>
      </c>
      <c r="I20" s="260"/>
      <c r="J20" s="294">
        <f t="shared" si="1"/>
        <v>16994.64</v>
      </c>
      <c r="K20" s="260"/>
      <c r="M20" s="244"/>
    </row>
    <row r="21" spans="1:13" s="313" customFormat="1">
      <c r="A21" s="248">
        <f t="shared" si="0"/>
        <v>13</v>
      </c>
      <c r="B21" s="248">
        <v>929</v>
      </c>
      <c r="C21" s="244"/>
      <c r="D21" s="248" t="s">
        <v>60</v>
      </c>
      <c r="E21" s="281"/>
      <c r="F21" s="995">
        <v>-4899638</v>
      </c>
      <c r="G21" s="293"/>
      <c r="H21" s="995">
        <v>-587355</v>
      </c>
      <c r="I21" s="260"/>
      <c r="J21" s="294">
        <f t="shared" si="1"/>
        <v>-5486993</v>
      </c>
      <c r="K21" s="260"/>
      <c r="M21" s="244"/>
    </row>
    <row r="22" spans="1:13" s="313" customFormat="1">
      <c r="A22" s="248">
        <f t="shared" si="0"/>
        <v>14</v>
      </c>
      <c r="B22" s="248">
        <v>930.1</v>
      </c>
      <c r="C22" s="244"/>
      <c r="D22" s="244" t="s">
        <v>910</v>
      </c>
      <c r="E22" s="281"/>
      <c r="F22" s="995">
        <v>3077317</v>
      </c>
      <c r="G22" s="293"/>
      <c r="H22" s="995">
        <v>538461</v>
      </c>
      <c r="I22" s="260"/>
      <c r="J22" s="294">
        <f t="shared" si="1"/>
        <v>3615778</v>
      </c>
      <c r="K22" s="307"/>
      <c r="M22" s="244"/>
    </row>
    <row r="23" spans="1:13" s="313" customFormat="1">
      <c r="A23" s="248">
        <f t="shared" si="0"/>
        <v>15</v>
      </c>
      <c r="B23" s="248">
        <v>930.2</v>
      </c>
      <c r="C23" s="244"/>
      <c r="D23" s="248" t="s">
        <v>911</v>
      </c>
      <c r="E23" s="281"/>
      <c r="F23" s="995">
        <v>3315655</v>
      </c>
      <c r="G23" s="293"/>
      <c r="H23" s="995">
        <v>505687</v>
      </c>
      <c r="I23" s="260"/>
      <c r="J23" s="294">
        <f t="shared" si="1"/>
        <v>3821342</v>
      </c>
      <c r="K23" s="260"/>
      <c r="M23" s="244"/>
    </row>
    <row r="24" spans="1:13" s="313" customFormat="1">
      <c r="A24" s="248">
        <f t="shared" si="0"/>
        <v>16</v>
      </c>
      <c r="B24" s="248">
        <v>931</v>
      </c>
      <c r="C24" s="244"/>
      <c r="D24" s="248" t="s">
        <v>850</v>
      </c>
      <c r="E24" s="281"/>
      <c r="F24" s="995">
        <v>31089269</v>
      </c>
      <c r="G24" s="293"/>
      <c r="H24" s="995">
        <v>4852384</v>
      </c>
      <c r="I24" s="260"/>
      <c r="J24" s="294">
        <f t="shared" si="1"/>
        <v>35941653</v>
      </c>
      <c r="K24" s="260"/>
      <c r="M24" s="244"/>
    </row>
    <row r="25" spans="1:13" s="313" customFormat="1">
      <c r="A25" s="248">
        <f t="shared" si="0"/>
        <v>17</v>
      </c>
      <c r="B25" s="248"/>
      <c r="C25" s="244"/>
      <c r="D25" s="248" t="s">
        <v>13</v>
      </c>
      <c r="E25" s="281"/>
      <c r="F25" s="321">
        <f>SUM(F11:F24)</f>
        <v>263319600</v>
      </c>
      <c r="G25" s="319"/>
      <c r="H25" s="295">
        <f>SUM(H11:H24)</f>
        <v>41060991</v>
      </c>
      <c r="I25" s="260"/>
      <c r="J25" s="295">
        <f>SUM(J11:J24)</f>
        <v>304380591</v>
      </c>
      <c r="K25" s="260"/>
      <c r="M25" s="244"/>
    </row>
    <row r="26" spans="1:13" s="313" customFormat="1" ht="6" customHeight="1">
      <c r="A26" s="248"/>
      <c r="B26" s="248"/>
      <c r="C26" s="244"/>
      <c r="D26" s="244"/>
      <c r="E26" s="281"/>
      <c r="F26" s="308"/>
      <c r="G26" s="319"/>
      <c r="H26" s="294"/>
      <c r="I26" s="260"/>
      <c r="J26" s="294"/>
      <c r="K26" s="260"/>
      <c r="M26" s="244"/>
    </row>
    <row r="27" spans="1:13" s="313" customFormat="1">
      <c r="A27" s="248">
        <f>A25+1</f>
        <v>18</v>
      </c>
      <c r="B27" s="248"/>
      <c r="C27" s="244"/>
      <c r="D27" s="288" t="s">
        <v>14</v>
      </c>
      <c r="E27" s="281"/>
      <c r="F27" s="308"/>
      <c r="G27" s="319"/>
      <c r="H27" s="294"/>
      <c r="I27" s="260"/>
      <c r="J27" s="294"/>
      <c r="K27" s="260"/>
      <c r="M27" s="244"/>
    </row>
    <row r="28" spans="1:13" s="313" customFormat="1">
      <c r="A28" s="248">
        <f t="shared" si="0"/>
        <v>19</v>
      </c>
      <c r="B28" s="248">
        <v>935</v>
      </c>
      <c r="C28" s="244"/>
      <c r="D28" s="248" t="s">
        <v>61</v>
      </c>
      <c r="E28" s="281"/>
      <c r="F28" s="1005">
        <v>2212100</v>
      </c>
      <c r="G28" s="289"/>
      <c r="H28" s="1005">
        <v>305676</v>
      </c>
      <c r="I28" s="266"/>
      <c r="J28" s="297">
        <f>SUM(F28:I28)</f>
        <v>2517776</v>
      </c>
      <c r="K28" s="260"/>
      <c r="M28" s="244"/>
    </row>
    <row r="29" spans="1:13" s="313" customFormat="1" ht="6" customHeight="1">
      <c r="A29" s="248"/>
      <c r="B29" s="248"/>
      <c r="C29" s="244"/>
      <c r="D29" s="244"/>
      <c r="E29" s="281"/>
      <c r="F29" s="308"/>
      <c r="G29" s="319"/>
      <c r="H29" s="308"/>
      <c r="I29" s="260"/>
      <c r="J29" s="294"/>
      <c r="K29" s="260"/>
      <c r="M29" s="244"/>
    </row>
    <row r="30" spans="1:13" s="313" customFormat="1" ht="13.5" thickBot="1">
      <c r="A30" s="248">
        <f>A28+1</f>
        <v>20</v>
      </c>
      <c r="B30" s="248"/>
      <c r="C30" s="244"/>
      <c r="D30" s="248" t="s">
        <v>185</v>
      </c>
      <c r="E30" s="281"/>
      <c r="F30" s="377">
        <f>SUM(F25:F28)</f>
        <v>265531700</v>
      </c>
      <c r="G30" s="318"/>
      <c r="H30" s="377">
        <f>SUM(H25:H28)</f>
        <v>41366667</v>
      </c>
      <c r="I30" s="266"/>
      <c r="J30" s="298">
        <f>SUM(J25:J28)</f>
        <v>306898367</v>
      </c>
      <c r="K30" s="260"/>
      <c r="M30" s="244"/>
    </row>
    <row r="31" spans="1:13" s="313" customFormat="1" ht="6" customHeight="1" thickTop="1">
      <c r="A31" s="248"/>
      <c r="B31" s="248"/>
      <c r="C31" s="244"/>
      <c r="D31" s="248"/>
      <c r="E31" s="281"/>
      <c r="F31" s="294"/>
      <c r="G31" s="319"/>
      <c r="H31" s="294"/>
      <c r="I31" s="260"/>
      <c r="J31" s="294"/>
      <c r="K31" s="260"/>
      <c r="M31" s="244"/>
    </row>
    <row r="32" spans="1:13" s="313" customFormat="1">
      <c r="A32" s="248">
        <f>A30+1</f>
        <v>21</v>
      </c>
      <c r="B32" s="248"/>
      <c r="C32" s="309"/>
      <c r="D32" s="248" t="s">
        <v>186</v>
      </c>
      <c r="E32" s="281"/>
      <c r="F32" s="378">
        <f>+F18</f>
        <v>0</v>
      </c>
      <c r="G32" s="319"/>
      <c r="H32" s="378">
        <f>+H18</f>
        <v>0</v>
      </c>
      <c r="I32" s="260"/>
      <c r="J32" s="294">
        <f>+J18</f>
        <v>0</v>
      </c>
      <c r="K32" s="260"/>
      <c r="M32" s="244"/>
    </row>
    <row r="33" spans="1:13" s="313" customFormat="1" ht="6" customHeight="1">
      <c r="A33" s="248"/>
      <c r="B33" s="248"/>
      <c r="C33" s="309"/>
      <c r="D33" s="248"/>
      <c r="E33" s="281"/>
      <c r="F33" s="308"/>
      <c r="G33" s="319"/>
      <c r="H33" s="308"/>
      <c r="I33" s="260"/>
      <c r="J33" s="294"/>
      <c r="K33" s="260"/>
      <c r="M33" s="244"/>
    </row>
    <row r="34" spans="1:13" s="313" customFormat="1">
      <c r="A34" s="248">
        <f>A32+1</f>
        <v>22</v>
      </c>
      <c r="B34" s="248"/>
      <c r="C34" s="244"/>
      <c r="D34" s="248" t="s">
        <v>187</v>
      </c>
      <c r="E34" s="281"/>
      <c r="F34" s="995">
        <f>526295+58504</f>
        <v>584799</v>
      </c>
      <c r="G34" s="293"/>
      <c r="H34" s="995">
        <f>8232+85207</f>
        <v>93439</v>
      </c>
      <c r="I34" s="260"/>
      <c r="J34" s="294">
        <f>F34+H34</f>
        <v>678238</v>
      </c>
      <c r="K34" s="260"/>
      <c r="M34" s="244"/>
    </row>
    <row r="35" spans="1:13" s="313" customFormat="1">
      <c r="A35" s="248">
        <f t="shared" si="0"/>
        <v>23</v>
      </c>
      <c r="B35" s="248"/>
      <c r="C35" s="200"/>
      <c r="D35" s="248" t="s">
        <v>188</v>
      </c>
      <c r="E35" s="200"/>
      <c r="F35" s="324">
        <f>F19+F20</f>
        <v>7748595</v>
      </c>
      <c r="G35" s="199"/>
      <c r="H35" s="324">
        <f>H19+H20</f>
        <v>1051567</v>
      </c>
      <c r="I35" s="200"/>
      <c r="J35" s="207">
        <f>+J19+J20</f>
        <v>8800162</v>
      </c>
      <c r="K35" s="260"/>
      <c r="M35" s="244"/>
    </row>
    <row r="36" spans="1:13" s="313" customFormat="1">
      <c r="A36" s="248">
        <f t="shared" si="0"/>
        <v>24</v>
      </c>
      <c r="B36" s="248"/>
      <c r="C36" s="200"/>
      <c r="D36" s="248" t="s">
        <v>189</v>
      </c>
      <c r="E36" s="200"/>
      <c r="F36" s="337">
        <f>+F22</f>
        <v>3077317</v>
      </c>
      <c r="G36" s="199"/>
      <c r="H36" s="337">
        <f>+H22</f>
        <v>538461</v>
      </c>
      <c r="I36" s="200"/>
      <c r="J36" s="208">
        <f>+J22</f>
        <v>3615778</v>
      </c>
      <c r="K36" s="244"/>
      <c r="M36" s="244"/>
    </row>
    <row r="37" spans="1:13" s="313" customFormat="1">
      <c r="A37" s="248">
        <f t="shared" si="0"/>
        <v>25</v>
      </c>
      <c r="B37" s="248"/>
      <c r="C37" s="200"/>
      <c r="D37" s="248"/>
      <c r="E37" s="200"/>
      <c r="F37" s="379">
        <f>SUM(F34:F36)</f>
        <v>11410711</v>
      </c>
      <c r="G37" s="199"/>
      <c r="H37" s="379">
        <f>SUM(H34:H36)</f>
        <v>1683467</v>
      </c>
      <c r="I37" s="200"/>
      <c r="J37" s="212">
        <f>SUM(J34:J36)</f>
        <v>13094178</v>
      </c>
      <c r="K37" s="244"/>
      <c r="M37" s="244"/>
    </row>
    <row r="38" spans="1:13" s="313" customFormat="1" ht="4.5" customHeight="1">
      <c r="A38" s="248"/>
      <c r="B38" s="248"/>
      <c r="C38" s="200"/>
      <c r="D38" s="248"/>
      <c r="E38" s="200"/>
      <c r="F38" s="212"/>
      <c r="G38" s="199"/>
      <c r="H38" s="212"/>
      <c r="I38" s="200"/>
      <c r="J38" s="212"/>
      <c r="K38" s="244"/>
      <c r="M38" s="244"/>
    </row>
    <row r="39" spans="1:13" s="313" customFormat="1">
      <c r="A39" s="248">
        <f>A37+1</f>
        <v>26</v>
      </c>
      <c r="B39" s="248"/>
      <c r="C39" s="200"/>
      <c r="D39" s="248" t="s">
        <v>194</v>
      </c>
      <c r="E39" s="200"/>
      <c r="F39" s="379">
        <f>F20</f>
        <v>16994.64</v>
      </c>
      <c r="G39" s="199"/>
      <c r="H39" s="379">
        <f>H20</f>
        <v>0</v>
      </c>
      <c r="I39" s="200"/>
      <c r="J39" s="212">
        <f>J20</f>
        <v>16994.64</v>
      </c>
      <c r="K39" s="244"/>
      <c r="M39" s="244"/>
    </row>
    <row r="40" spans="1:13" s="313" customFormat="1" ht="5.25" customHeight="1">
      <c r="A40" s="248"/>
      <c r="B40" s="248"/>
      <c r="C40" s="244"/>
      <c r="D40" s="283"/>
      <c r="E40" s="281"/>
      <c r="F40" s="244"/>
      <c r="G40" s="315"/>
      <c r="H40" s="311"/>
      <c r="I40" s="244"/>
      <c r="J40" s="244"/>
      <c r="K40" s="244"/>
      <c r="M40" s="244"/>
    </row>
    <row r="41" spans="1:13" s="313" customFormat="1" ht="13.5" thickBot="1">
      <c r="A41" s="248">
        <f>A39+1</f>
        <v>27</v>
      </c>
      <c r="B41" s="248"/>
      <c r="C41" s="244"/>
      <c r="D41" s="244" t="s">
        <v>912</v>
      </c>
      <c r="E41" s="281"/>
      <c r="F41" s="312">
        <f>F30-F32-F37+F39</f>
        <v>254137983.63999999</v>
      </c>
      <c r="G41" s="315"/>
      <c r="H41" s="312">
        <f>H30-H32-H37+H39</f>
        <v>39683200</v>
      </c>
      <c r="I41" s="244"/>
      <c r="J41" s="310">
        <f>J30-J32-J37+J39</f>
        <v>293821183.63999999</v>
      </c>
      <c r="K41" s="244"/>
      <c r="M41" s="244"/>
    </row>
    <row r="42" spans="1:13" ht="13.5" thickTop="1">
      <c r="F42" s="311"/>
      <c r="H42" s="311"/>
      <c r="J42" s="244"/>
    </row>
    <row r="43" spans="1:13" ht="13.5" thickBot="1">
      <c r="A43" s="248">
        <f>A41+1</f>
        <v>28</v>
      </c>
      <c r="D43" s="244" t="s">
        <v>1122</v>
      </c>
      <c r="F43" s="380">
        <f>'O&amp;M'!F58+'A&amp;G'!F41</f>
        <v>298541469.63999999</v>
      </c>
      <c r="H43" s="380">
        <f>'O&amp;M'!H58+'A&amp;G'!H41</f>
        <v>52263880</v>
      </c>
      <c r="I43" s="311"/>
      <c r="J43" s="312">
        <f>'O&amp;M'!J58+'A&amp;G'!J41</f>
        <v>350805349.63999999</v>
      </c>
    </row>
    <row r="44" spans="1:13" ht="13.5" thickTop="1"/>
    <row r="46" spans="1:13">
      <c r="F46" s="313"/>
    </row>
  </sheetData>
  <pageMargins left="0.5" right="0.25" top="0.25" bottom="0.55000000000000004" header="0.75" footer="0"/>
  <pageSetup scale="73" orientation="portrait" r:id="rId1"/>
  <headerFooter alignWithMargins="0">
    <oddFooter>&amp;CPage  &amp;P  of  &amp;N</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rgb="FF00FFCC"/>
    <pageSetUpPr fitToPage="1"/>
  </sheetPr>
  <dimension ref="A1:Q80"/>
  <sheetViews>
    <sheetView showGridLines="0" topLeftCell="A19" zoomScaleNormal="75" workbookViewId="0">
      <selection activeCell="T67" sqref="T67"/>
    </sheetView>
  </sheetViews>
  <sheetFormatPr defaultColWidth="8" defaultRowHeight="12"/>
  <cols>
    <col min="1" max="1" width="4.109375" style="8" customWidth="1"/>
    <col min="2" max="2" width="3.21875" style="2" bestFit="1" customWidth="1"/>
    <col min="3" max="3" width="33.33203125" style="2" customWidth="1"/>
    <col min="4" max="4" width="9.44140625" style="2" bestFit="1" customWidth="1"/>
    <col min="5" max="5" width="0.88671875" style="2" customWidth="1"/>
    <col min="6" max="6" width="11.5546875" style="2" bestFit="1" customWidth="1"/>
    <col min="7" max="7" width="0.88671875" style="2" customWidth="1"/>
    <col min="8" max="8" width="8.5546875" style="2" bestFit="1" customWidth="1"/>
    <col min="9" max="9" width="0.88671875" style="2" customWidth="1"/>
    <col min="10" max="10" width="8.88671875" style="2" bestFit="1" customWidth="1"/>
    <col min="11" max="11" width="0.88671875" style="2" customWidth="1"/>
    <col min="12" max="12" width="8.88671875" style="2" bestFit="1" customWidth="1"/>
    <col min="13" max="13" width="0.88671875" style="2" customWidth="1"/>
    <col min="14" max="14" width="14.88671875" style="3" customWidth="1"/>
    <col min="15" max="22" width="9.44140625" style="2" customWidth="1"/>
    <col min="23" max="16384" width="8" style="2"/>
  </cols>
  <sheetData>
    <row r="1" spans="1:17">
      <c r="A1" s="94" t="s">
        <v>855</v>
      </c>
      <c r="N1" s="48" t="str">
        <f>Cover!C1</f>
        <v>2018 Workpapers</v>
      </c>
    </row>
    <row r="2" spans="1:17">
      <c r="A2" s="5" t="s">
        <v>63</v>
      </c>
      <c r="D2" s="95"/>
      <c r="N2" s="4"/>
    </row>
    <row r="3" spans="1:17">
      <c r="A3" s="6" t="s">
        <v>1109</v>
      </c>
      <c r="N3" s="7"/>
    </row>
    <row r="4" spans="1:17">
      <c r="A4" s="418"/>
      <c r="D4" s="397"/>
    </row>
    <row r="5" spans="1:17">
      <c r="B5" s="52"/>
      <c r="F5" s="1019"/>
    </row>
    <row r="6" spans="1:17">
      <c r="C6" s="96"/>
    </row>
    <row r="7" spans="1:17">
      <c r="D7" s="3"/>
      <c r="E7" s="96"/>
      <c r="G7" s="96"/>
      <c r="H7" s="96"/>
      <c r="I7" s="96"/>
      <c r="J7" s="3"/>
      <c r="K7" s="96"/>
      <c r="M7" s="97"/>
      <c r="N7" s="10" t="s">
        <v>23</v>
      </c>
    </row>
    <row r="8" spans="1:17">
      <c r="A8" s="98" t="s">
        <v>46</v>
      </c>
      <c r="D8" s="99"/>
      <c r="E8" s="10"/>
      <c r="F8" s="11" t="s">
        <v>23</v>
      </c>
      <c r="G8" s="10"/>
      <c r="H8" s="10" t="s">
        <v>915</v>
      </c>
      <c r="I8" s="10"/>
      <c r="J8" s="99"/>
      <c r="K8" s="10"/>
      <c r="L8" s="11" t="s">
        <v>23</v>
      </c>
      <c r="M8" s="10"/>
      <c r="N8" s="10" t="s">
        <v>6</v>
      </c>
    </row>
    <row r="9" spans="1:17">
      <c r="A9" s="100" t="s">
        <v>22</v>
      </c>
      <c r="D9" s="15" t="s">
        <v>24</v>
      </c>
      <c r="E9" s="101"/>
      <c r="F9" s="15" t="s">
        <v>143</v>
      </c>
      <c r="G9" s="101"/>
      <c r="H9" s="15" t="s">
        <v>916</v>
      </c>
      <c r="I9" s="101"/>
      <c r="J9" s="15" t="s">
        <v>26</v>
      </c>
      <c r="K9" s="101"/>
      <c r="L9" s="15" t="s">
        <v>857</v>
      </c>
      <c r="M9" s="101"/>
      <c r="N9" s="15" t="s">
        <v>914</v>
      </c>
    </row>
    <row r="10" spans="1:17">
      <c r="A10" s="8">
        <v>1</v>
      </c>
      <c r="B10" s="42" t="s">
        <v>913</v>
      </c>
      <c r="C10" s="42"/>
      <c r="D10" s="102"/>
      <c r="E10" s="102"/>
      <c r="F10" s="102"/>
      <c r="G10" s="102"/>
      <c r="H10" s="102"/>
      <c r="I10" s="102"/>
      <c r="J10" s="102"/>
      <c r="K10" s="102"/>
      <c r="L10" s="102"/>
      <c r="M10" s="102"/>
      <c r="N10" s="102"/>
    </row>
    <row r="11" spans="1:17">
      <c r="A11" s="8">
        <f t="shared" ref="A11:A64" si="0">A10+1</f>
        <v>2</v>
      </c>
      <c r="C11" s="103" t="s">
        <v>996</v>
      </c>
      <c r="D11" s="104">
        <f t="shared" ref="D11:F22" si="1">+D31+D51</f>
        <v>0</v>
      </c>
      <c r="E11" s="105"/>
      <c r="F11" s="104">
        <f t="shared" si="1"/>
        <v>0</v>
      </c>
      <c r="G11" s="105"/>
      <c r="H11" s="104">
        <f t="shared" ref="H11:H22" si="2">+H31+H51</f>
        <v>0</v>
      </c>
      <c r="I11" s="105"/>
      <c r="J11" s="104">
        <f t="shared" ref="J11:J22" si="3">+J31+J51</f>
        <v>0</v>
      </c>
      <c r="K11" s="105"/>
      <c r="L11" s="104">
        <f t="shared" ref="L11:L22" si="4">+L31+L51</f>
        <v>0</v>
      </c>
      <c r="M11" s="105"/>
      <c r="N11" s="106">
        <f t="shared" ref="N11:N22" si="5">SUM(D11:M11)</f>
        <v>0</v>
      </c>
      <c r="P11" s="371"/>
      <c r="Q11" s="371"/>
    </row>
    <row r="12" spans="1:17">
      <c r="A12" s="8">
        <f t="shared" si="0"/>
        <v>3</v>
      </c>
      <c r="C12" s="103" t="s">
        <v>47</v>
      </c>
      <c r="D12" s="107">
        <f t="shared" si="1"/>
        <v>0</v>
      </c>
      <c r="E12" s="107"/>
      <c r="F12" s="107">
        <f t="shared" si="1"/>
        <v>0</v>
      </c>
      <c r="G12" s="107"/>
      <c r="H12" s="107">
        <f t="shared" si="2"/>
        <v>0</v>
      </c>
      <c r="I12" s="107"/>
      <c r="J12" s="107">
        <f t="shared" si="3"/>
        <v>0</v>
      </c>
      <c r="K12" s="107"/>
      <c r="L12" s="107">
        <f t="shared" si="4"/>
        <v>0</v>
      </c>
      <c r="M12" s="107"/>
      <c r="N12" s="26">
        <f t="shared" si="5"/>
        <v>0</v>
      </c>
      <c r="P12" s="371"/>
      <c r="Q12" s="371"/>
    </row>
    <row r="13" spans="1:17">
      <c r="A13" s="8">
        <f t="shared" si="0"/>
        <v>4</v>
      </c>
      <c r="C13" s="103" t="s">
        <v>48</v>
      </c>
      <c r="D13" s="107">
        <f t="shared" si="1"/>
        <v>0</v>
      </c>
      <c r="E13" s="107"/>
      <c r="F13" s="107">
        <f t="shared" si="1"/>
        <v>0</v>
      </c>
      <c r="G13" s="107"/>
      <c r="H13" s="107">
        <f t="shared" si="2"/>
        <v>0</v>
      </c>
      <c r="I13" s="107"/>
      <c r="J13" s="107">
        <f t="shared" si="3"/>
        <v>0</v>
      </c>
      <c r="K13" s="107"/>
      <c r="L13" s="107">
        <f t="shared" si="4"/>
        <v>0</v>
      </c>
      <c r="M13" s="107"/>
      <c r="N13" s="26">
        <f t="shared" si="5"/>
        <v>0</v>
      </c>
      <c r="P13" s="371"/>
      <c r="Q13" s="371"/>
    </row>
    <row r="14" spans="1:17">
      <c r="A14" s="8">
        <f t="shared" si="0"/>
        <v>5</v>
      </c>
      <c r="C14" s="103" t="s">
        <v>49</v>
      </c>
      <c r="D14" s="107">
        <f t="shared" si="1"/>
        <v>0</v>
      </c>
      <c r="E14" s="107"/>
      <c r="F14" s="107">
        <f t="shared" si="1"/>
        <v>0</v>
      </c>
      <c r="G14" s="107"/>
      <c r="H14" s="107">
        <f t="shared" si="2"/>
        <v>0</v>
      </c>
      <c r="I14" s="107"/>
      <c r="J14" s="107">
        <f t="shared" si="3"/>
        <v>0</v>
      </c>
      <c r="K14" s="107"/>
      <c r="L14" s="107">
        <f t="shared" si="4"/>
        <v>0</v>
      </c>
      <c r="M14" s="107"/>
      <c r="N14" s="26">
        <f t="shared" si="5"/>
        <v>0</v>
      </c>
      <c r="P14" s="371"/>
      <c r="Q14" s="371"/>
    </row>
    <row r="15" spans="1:17">
      <c r="A15" s="8">
        <f t="shared" si="0"/>
        <v>6</v>
      </c>
      <c r="C15" s="103" t="s">
        <v>21</v>
      </c>
      <c r="D15" s="107">
        <f t="shared" si="1"/>
        <v>0</v>
      </c>
      <c r="E15" s="107"/>
      <c r="F15" s="107">
        <f t="shared" si="1"/>
        <v>0</v>
      </c>
      <c r="G15" s="107"/>
      <c r="H15" s="107">
        <f t="shared" si="2"/>
        <v>0</v>
      </c>
      <c r="I15" s="107"/>
      <c r="J15" s="107">
        <f t="shared" si="3"/>
        <v>0</v>
      </c>
      <c r="K15" s="107"/>
      <c r="L15" s="107">
        <f t="shared" si="4"/>
        <v>0</v>
      </c>
      <c r="M15" s="107"/>
      <c r="N15" s="26">
        <f t="shared" si="5"/>
        <v>0</v>
      </c>
      <c r="P15" s="371"/>
      <c r="Q15" s="371"/>
    </row>
    <row r="16" spans="1:17">
      <c r="A16" s="8">
        <f t="shared" si="0"/>
        <v>7</v>
      </c>
      <c r="C16" s="103" t="s">
        <v>50</v>
      </c>
      <c r="D16" s="107">
        <f t="shared" si="1"/>
        <v>0</v>
      </c>
      <c r="E16" s="107"/>
      <c r="F16" s="107">
        <f t="shared" si="1"/>
        <v>0</v>
      </c>
      <c r="G16" s="107"/>
      <c r="H16" s="107">
        <f t="shared" si="2"/>
        <v>0</v>
      </c>
      <c r="I16" s="107"/>
      <c r="J16" s="107">
        <f t="shared" si="3"/>
        <v>0</v>
      </c>
      <c r="K16" s="107"/>
      <c r="L16" s="107">
        <f t="shared" si="4"/>
        <v>0</v>
      </c>
      <c r="M16" s="107"/>
      <c r="N16" s="26">
        <f t="shared" si="5"/>
        <v>0</v>
      </c>
      <c r="P16" s="371"/>
      <c r="Q16" s="371"/>
    </row>
    <row r="17" spans="1:17">
      <c r="A17" s="8">
        <f t="shared" si="0"/>
        <v>8</v>
      </c>
      <c r="C17" s="103" t="s">
        <v>51</v>
      </c>
      <c r="D17" s="107">
        <f t="shared" si="1"/>
        <v>0</v>
      </c>
      <c r="E17" s="107"/>
      <c r="F17" s="107">
        <f t="shared" si="1"/>
        <v>0</v>
      </c>
      <c r="G17" s="107"/>
      <c r="H17" s="107">
        <f t="shared" si="2"/>
        <v>0</v>
      </c>
      <c r="I17" s="107"/>
      <c r="J17" s="107">
        <f t="shared" si="3"/>
        <v>0</v>
      </c>
      <c r="K17" s="107"/>
      <c r="L17" s="107">
        <f t="shared" si="4"/>
        <v>0</v>
      </c>
      <c r="M17" s="107"/>
      <c r="N17" s="26">
        <f t="shared" si="5"/>
        <v>0</v>
      </c>
      <c r="P17" s="371"/>
      <c r="Q17" s="371"/>
    </row>
    <row r="18" spans="1:17">
      <c r="A18" s="8">
        <f t="shared" si="0"/>
        <v>9</v>
      </c>
      <c r="C18" s="103" t="s">
        <v>52</v>
      </c>
      <c r="D18" s="107">
        <f t="shared" si="1"/>
        <v>0</v>
      </c>
      <c r="E18" s="107"/>
      <c r="F18" s="107">
        <f t="shared" si="1"/>
        <v>0</v>
      </c>
      <c r="G18" s="107"/>
      <c r="H18" s="107">
        <f t="shared" si="2"/>
        <v>0</v>
      </c>
      <c r="I18" s="107"/>
      <c r="J18" s="107">
        <f t="shared" si="3"/>
        <v>0</v>
      </c>
      <c r="K18" s="107"/>
      <c r="L18" s="107">
        <f t="shared" si="4"/>
        <v>0</v>
      </c>
      <c r="M18" s="107"/>
      <c r="N18" s="26">
        <f t="shared" si="5"/>
        <v>0</v>
      </c>
      <c r="P18" s="371"/>
      <c r="Q18" s="371"/>
    </row>
    <row r="19" spans="1:17">
      <c r="A19" s="8">
        <f t="shared" si="0"/>
        <v>10</v>
      </c>
      <c r="C19" s="103" t="s">
        <v>53</v>
      </c>
      <c r="D19" s="107">
        <f t="shared" si="1"/>
        <v>0</v>
      </c>
      <c r="E19" s="107"/>
      <c r="F19" s="107">
        <f t="shared" si="1"/>
        <v>0</v>
      </c>
      <c r="G19" s="107"/>
      <c r="H19" s="107">
        <f t="shared" si="2"/>
        <v>0</v>
      </c>
      <c r="I19" s="107"/>
      <c r="J19" s="107">
        <f t="shared" si="3"/>
        <v>0</v>
      </c>
      <c r="K19" s="107"/>
      <c r="L19" s="107">
        <f t="shared" si="4"/>
        <v>0</v>
      </c>
      <c r="M19" s="107"/>
      <c r="N19" s="26">
        <f t="shared" si="5"/>
        <v>0</v>
      </c>
      <c r="P19" s="371"/>
      <c r="Q19" s="371"/>
    </row>
    <row r="20" spans="1:17">
      <c r="A20" s="8">
        <f t="shared" si="0"/>
        <v>11</v>
      </c>
      <c r="C20" s="103" t="s">
        <v>54</v>
      </c>
      <c r="D20" s="107">
        <f t="shared" si="1"/>
        <v>0</v>
      </c>
      <c r="E20" s="107"/>
      <c r="F20" s="107">
        <f t="shared" si="1"/>
        <v>0</v>
      </c>
      <c r="G20" s="107"/>
      <c r="H20" s="107">
        <f t="shared" si="2"/>
        <v>0</v>
      </c>
      <c r="I20" s="107"/>
      <c r="J20" s="107">
        <f t="shared" si="3"/>
        <v>0</v>
      </c>
      <c r="K20" s="107"/>
      <c r="L20" s="107">
        <f t="shared" si="4"/>
        <v>0</v>
      </c>
      <c r="M20" s="107"/>
      <c r="N20" s="26">
        <f t="shared" si="5"/>
        <v>0</v>
      </c>
      <c r="P20" s="371"/>
      <c r="Q20" s="371"/>
    </row>
    <row r="21" spans="1:17">
      <c r="A21" s="8">
        <f t="shared" si="0"/>
        <v>12</v>
      </c>
      <c r="C21" s="103" t="s">
        <v>55</v>
      </c>
      <c r="D21" s="107">
        <f t="shared" si="1"/>
        <v>0</v>
      </c>
      <c r="E21" s="107"/>
      <c r="F21" s="107">
        <f t="shared" si="1"/>
        <v>0</v>
      </c>
      <c r="G21" s="107"/>
      <c r="H21" s="107">
        <f t="shared" si="2"/>
        <v>0</v>
      </c>
      <c r="I21" s="107"/>
      <c r="J21" s="107">
        <f t="shared" si="3"/>
        <v>0</v>
      </c>
      <c r="K21" s="107"/>
      <c r="L21" s="107">
        <f t="shared" si="4"/>
        <v>0</v>
      </c>
      <c r="M21" s="107"/>
      <c r="N21" s="26">
        <f t="shared" si="5"/>
        <v>0</v>
      </c>
      <c r="P21" s="371"/>
      <c r="Q21" s="371"/>
    </row>
    <row r="22" spans="1:17">
      <c r="A22" s="8">
        <f>A21+1</f>
        <v>13</v>
      </c>
      <c r="C22" s="103" t="s">
        <v>997</v>
      </c>
      <c r="D22" s="107">
        <f t="shared" si="1"/>
        <v>98396647.659999982</v>
      </c>
      <c r="E22" s="107"/>
      <c r="F22" s="107">
        <f t="shared" si="1"/>
        <v>-1100613.96</v>
      </c>
      <c r="G22" s="107"/>
      <c r="H22" s="107">
        <f t="shared" si="2"/>
        <v>0</v>
      </c>
      <c r="I22" s="107"/>
      <c r="J22" s="107">
        <f t="shared" si="3"/>
        <v>53619426.537546545</v>
      </c>
      <c r="K22" s="107"/>
      <c r="L22" s="107">
        <f t="shared" si="4"/>
        <v>77323912.630401701</v>
      </c>
      <c r="M22" s="107"/>
      <c r="N22" s="26">
        <f t="shared" si="5"/>
        <v>228239372.86794823</v>
      </c>
      <c r="P22" s="371"/>
      <c r="Q22" s="371"/>
    </row>
    <row r="23" spans="1:17">
      <c r="A23" s="8">
        <f t="shared" si="0"/>
        <v>14</v>
      </c>
      <c r="C23" s="103"/>
      <c r="D23" s="108"/>
      <c r="E23" s="107"/>
      <c r="F23" s="108"/>
      <c r="G23" s="107"/>
      <c r="H23" s="108"/>
      <c r="I23" s="107"/>
      <c r="J23" s="108"/>
      <c r="K23" s="107"/>
      <c r="L23" s="108"/>
      <c r="M23" s="107"/>
      <c r="N23" s="88"/>
    </row>
    <row r="24" spans="1:17" ht="12.75" thickBot="1">
      <c r="A24" s="8">
        <f t="shared" si="0"/>
        <v>15</v>
      </c>
      <c r="C24" s="5" t="s">
        <v>36</v>
      </c>
      <c r="D24" s="109">
        <f>SUM(D11:D22)</f>
        <v>98396647.659999982</v>
      </c>
      <c r="E24" s="107"/>
      <c r="F24" s="109">
        <f>SUM(F11:F22)</f>
        <v>-1100613.96</v>
      </c>
      <c r="G24" s="107"/>
      <c r="H24" s="109">
        <f>SUM(H11:H22)</f>
        <v>0</v>
      </c>
      <c r="I24" s="107"/>
      <c r="J24" s="109">
        <f>SUM(J11:J22)</f>
        <v>53619426.537546545</v>
      </c>
      <c r="K24" s="107"/>
      <c r="L24" s="109">
        <f>SUM(L11:L22)</f>
        <v>77323912.630401701</v>
      </c>
      <c r="M24" s="107"/>
      <c r="N24" s="110">
        <f>SUM(D24:M24)</f>
        <v>228239372.86794823</v>
      </c>
    </row>
    <row r="25" spans="1:17" ht="12.75" thickTop="1">
      <c r="A25" s="8">
        <f t="shared" si="0"/>
        <v>16</v>
      </c>
      <c r="C25" s="5"/>
      <c r="D25" s="111"/>
      <c r="E25" s="107"/>
      <c r="F25" s="111"/>
      <c r="G25" s="107"/>
      <c r="H25" s="107"/>
      <c r="I25" s="107"/>
      <c r="J25" s="111"/>
      <c r="K25" s="107"/>
      <c r="L25" s="111"/>
      <c r="M25" s="107"/>
      <c r="N25" s="112"/>
    </row>
    <row r="26" spans="1:17">
      <c r="A26" s="8">
        <f t="shared" si="0"/>
        <v>17</v>
      </c>
      <c r="C26" s="19"/>
      <c r="D26" s="19"/>
      <c r="E26" s="19"/>
      <c r="F26" s="19"/>
      <c r="G26" s="19"/>
      <c r="H26" s="19"/>
      <c r="I26" s="19"/>
      <c r="J26" s="19"/>
      <c r="K26" s="19"/>
      <c r="L26" s="19"/>
      <c r="M26" s="19"/>
      <c r="N26" s="19"/>
    </row>
    <row r="27" spans="1:17">
      <c r="A27" s="8">
        <f t="shared" si="0"/>
        <v>18</v>
      </c>
      <c r="D27" s="3"/>
      <c r="E27" s="96"/>
      <c r="G27" s="96"/>
      <c r="H27" s="96"/>
      <c r="I27" s="96"/>
      <c r="J27" s="3"/>
      <c r="K27" s="96"/>
      <c r="M27" s="97"/>
      <c r="N27" s="10" t="s">
        <v>23</v>
      </c>
    </row>
    <row r="28" spans="1:17">
      <c r="A28" s="8">
        <f t="shared" si="0"/>
        <v>19</v>
      </c>
      <c r="D28" s="99"/>
      <c r="E28" s="10"/>
      <c r="F28" s="11" t="s">
        <v>23</v>
      </c>
      <c r="G28" s="10"/>
      <c r="H28" s="10" t="s">
        <v>915</v>
      </c>
      <c r="I28" s="10"/>
      <c r="J28" s="99"/>
      <c r="K28" s="10"/>
      <c r="L28" s="11" t="s">
        <v>23</v>
      </c>
      <c r="M28" s="10"/>
      <c r="N28" s="10" t="s">
        <v>6</v>
      </c>
    </row>
    <row r="29" spans="1:17">
      <c r="A29" s="8">
        <f t="shared" si="0"/>
        <v>20</v>
      </c>
      <c r="D29" s="15" t="s">
        <v>24</v>
      </c>
      <c r="E29" s="101"/>
      <c r="F29" s="15" t="s">
        <v>143</v>
      </c>
      <c r="G29" s="101"/>
      <c r="H29" s="15" t="s">
        <v>916</v>
      </c>
      <c r="I29" s="101"/>
      <c r="J29" s="15" t="s">
        <v>26</v>
      </c>
      <c r="K29" s="101"/>
      <c r="L29" s="15" t="s">
        <v>857</v>
      </c>
      <c r="M29" s="101"/>
      <c r="N29" s="15" t="s">
        <v>914</v>
      </c>
    </row>
    <row r="30" spans="1:17">
      <c r="A30" s="8">
        <f t="shared" si="0"/>
        <v>21</v>
      </c>
      <c r="B30" s="183" t="s">
        <v>115</v>
      </c>
      <c r="C30" s="183"/>
      <c r="D30" s="102"/>
      <c r="E30" s="102"/>
      <c r="F30" s="102"/>
      <c r="G30" s="102"/>
      <c r="H30" s="102"/>
      <c r="I30" s="102"/>
      <c r="J30" s="102"/>
      <c r="K30" s="102"/>
      <c r="L30" s="102"/>
      <c r="M30" s="102"/>
      <c r="N30" s="102"/>
    </row>
    <row r="31" spans="1:17">
      <c r="A31" s="8">
        <f t="shared" si="0"/>
        <v>22</v>
      </c>
      <c r="C31" s="103" t="s">
        <v>996</v>
      </c>
      <c r="D31" s="161">
        <v>0</v>
      </c>
      <c r="E31" s="105"/>
      <c r="F31" s="161">
        <v>0</v>
      </c>
      <c r="G31" s="105"/>
      <c r="H31" s="113"/>
      <c r="I31" s="105"/>
      <c r="J31" s="161">
        <v>0</v>
      </c>
      <c r="K31" s="105"/>
      <c r="L31" s="161">
        <v>0</v>
      </c>
      <c r="M31" s="105"/>
      <c r="N31" s="114">
        <f t="shared" ref="N31:N42" si="6">SUM(D31:M31)</f>
        <v>0</v>
      </c>
    </row>
    <row r="32" spans="1:17">
      <c r="A32" s="8">
        <f t="shared" si="0"/>
        <v>23</v>
      </c>
      <c r="C32" s="103" t="s">
        <v>47</v>
      </c>
      <c r="D32" s="160">
        <v>0</v>
      </c>
      <c r="E32" s="107"/>
      <c r="F32" s="160">
        <v>0</v>
      </c>
      <c r="G32" s="107"/>
      <c r="H32" s="115"/>
      <c r="I32" s="107"/>
      <c r="J32" s="160">
        <v>0</v>
      </c>
      <c r="K32" s="107"/>
      <c r="L32" s="160">
        <v>0</v>
      </c>
      <c r="M32" s="107"/>
      <c r="N32" s="26">
        <f t="shared" si="6"/>
        <v>0</v>
      </c>
    </row>
    <row r="33" spans="1:14">
      <c r="A33" s="8">
        <f t="shared" si="0"/>
        <v>24</v>
      </c>
      <c r="C33" s="103" t="s">
        <v>48</v>
      </c>
      <c r="D33" s="160">
        <v>0</v>
      </c>
      <c r="E33" s="107"/>
      <c r="F33" s="160">
        <v>0</v>
      </c>
      <c r="G33" s="107"/>
      <c r="H33" s="115"/>
      <c r="I33" s="107"/>
      <c r="J33" s="160">
        <v>0</v>
      </c>
      <c r="K33" s="107"/>
      <c r="L33" s="160">
        <v>0</v>
      </c>
      <c r="M33" s="107"/>
      <c r="N33" s="26">
        <f t="shared" si="6"/>
        <v>0</v>
      </c>
    </row>
    <row r="34" spans="1:14">
      <c r="A34" s="8">
        <f t="shared" si="0"/>
        <v>25</v>
      </c>
      <c r="C34" s="103" t="s">
        <v>49</v>
      </c>
      <c r="D34" s="160">
        <v>0</v>
      </c>
      <c r="E34" s="107"/>
      <c r="F34" s="160">
        <v>0</v>
      </c>
      <c r="G34" s="107"/>
      <c r="H34" s="115"/>
      <c r="I34" s="107"/>
      <c r="J34" s="160">
        <v>0</v>
      </c>
      <c r="K34" s="107"/>
      <c r="L34" s="160">
        <v>0</v>
      </c>
      <c r="M34" s="107"/>
      <c r="N34" s="26">
        <f t="shared" si="6"/>
        <v>0</v>
      </c>
    </row>
    <row r="35" spans="1:14">
      <c r="A35" s="8">
        <f t="shared" si="0"/>
        <v>26</v>
      </c>
      <c r="C35" s="103" t="s">
        <v>21</v>
      </c>
      <c r="D35" s="160">
        <v>0</v>
      </c>
      <c r="E35" s="107"/>
      <c r="F35" s="160">
        <v>0</v>
      </c>
      <c r="G35" s="107"/>
      <c r="H35" s="115"/>
      <c r="I35" s="107"/>
      <c r="J35" s="160">
        <v>0</v>
      </c>
      <c r="K35" s="107"/>
      <c r="L35" s="160">
        <v>0</v>
      </c>
      <c r="M35" s="107"/>
      <c r="N35" s="26">
        <f t="shared" si="6"/>
        <v>0</v>
      </c>
    </row>
    <row r="36" spans="1:14">
      <c r="A36" s="8">
        <f t="shared" si="0"/>
        <v>27</v>
      </c>
      <c r="C36" s="103" t="s">
        <v>50</v>
      </c>
      <c r="D36" s="160">
        <v>0</v>
      </c>
      <c r="E36" s="107"/>
      <c r="F36" s="160">
        <v>0</v>
      </c>
      <c r="G36" s="107"/>
      <c r="H36" s="115"/>
      <c r="I36" s="107"/>
      <c r="J36" s="160">
        <v>0</v>
      </c>
      <c r="K36" s="107"/>
      <c r="L36" s="160">
        <v>0</v>
      </c>
      <c r="M36" s="107"/>
      <c r="N36" s="26">
        <f t="shared" si="6"/>
        <v>0</v>
      </c>
    </row>
    <row r="37" spans="1:14">
      <c r="A37" s="8">
        <f t="shared" si="0"/>
        <v>28</v>
      </c>
      <c r="C37" s="103" t="s">
        <v>51</v>
      </c>
      <c r="D37" s="160">
        <v>0</v>
      </c>
      <c r="E37" s="107"/>
      <c r="F37" s="160">
        <v>0</v>
      </c>
      <c r="G37" s="107"/>
      <c r="H37" s="115"/>
      <c r="I37" s="107"/>
      <c r="J37" s="160">
        <v>0</v>
      </c>
      <c r="K37" s="107"/>
      <c r="L37" s="160">
        <v>0</v>
      </c>
      <c r="M37" s="107"/>
      <c r="N37" s="26">
        <f t="shared" si="6"/>
        <v>0</v>
      </c>
    </row>
    <row r="38" spans="1:14">
      <c r="A38" s="8">
        <f t="shared" si="0"/>
        <v>29</v>
      </c>
      <c r="C38" s="103" t="s">
        <v>52</v>
      </c>
      <c r="D38" s="160">
        <v>0</v>
      </c>
      <c r="E38" s="107"/>
      <c r="F38" s="160">
        <v>0</v>
      </c>
      <c r="G38" s="107"/>
      <c r="H38" s="115"/>
      <c r="I38" s="107"/>
      <c r="J38" s="160">
        <v>0</v>
      </c>
      <c r="K38" s="107"/>
      <c r="L38" s="160">
        <v>0</v>
      </c>
      <c r="M38" s="107"/>
      <c r="N38" s="26">
        <f t="shared" si="6"/>
        <v>0</v>
      </c>
    </row>
    <row r="39" spans="1:14">
      <c r="A39" s="8">
        <f t="shared" si="0"/>
        <v>30</v>
      </c>
      <c r="C39" s="103" t="s">
        <v>53</v>
      </c>
      <c r="D39" s="160">
        <v>0</v>
      </c>
      <c r="E39" s="107"/>
      <c r="F39" s="160">
        <v>0</v>
      </c>
      <c r="G39" s="107"/>
      <c r="H39" s="115"/>
      <c r="I39" s="107"/>
      <c r="J39" s="160">
        <v>0</v>
      </c>
      <c r="K39" s="107"/>
      <c r="L39" s="160">
        <v>0</v>
      </c>
      <c r="M39" s="107"/>
      <c r="N39" s="26">
        <f t="shared" si="6"/>
        <v>0</v>
      </c>
    </row>
    <row r="40" spans="1:14">
      <c r="A40" s="8">
        <f t="shared" si="0"/>
        <v>31</v>
      </c>
      <c r="C40" s="103" t="s">
        <v>54</v>
      </c>
      <c r="D40" s="160">
        <v>0</v>
      </c>
      <c r="E40" s="107"/>
      <c r="F40" s="160">
        <v>0</v>
      </c>
      <c r="G40" s="107"/>
      <c r="H40" s="115"/>
      <c r="I40" s="107"/>
      <c r="J40" s="160">
        <v>0</v>
      </c>
      <c r="K40" s="107"/>
      <c r="L40" s="160">
        <v>0</v>
      </c>
      <c r="M40" s="107"/>
      <c r="N40" s="26">
        <f t="shared" si="6"/>
        <v>0</v>
      </c>
    </row>
    <row r="41" spans="1:14">
      <c r="A41" s="8">
        <f t="shared" si="0"/>
        <v>32</v>
      </c>
      <c r="C41" s="103" t="s">
        <v>55</v>
      </c>
      <c r="D41" s="160">
        <v>0</v>
      </c>
      <c r="E41" s="107"/>
      <c r="F41" s="160">
        <v>0</v>
      </c>
      <c r="G41" s="107"/>
      <c r="H41" s="115"/>
      <c r="I41" s="107"/>
      <c r="J41" s="160">
        <v>0</v>
      </c>
      <c r="K41" s="107"/>
      <c r="L41" s="160">
        <v>0</v>
      </c>
      <c r="M41" s="107"/>
      <c r="N41" s="26">
        <f t="shared" si="6"/>
        <v>0</v>
      </c>
    </row>
    <row r="42" spans="1:14">
      <c r="A42" s="8">
        <f t="shared" si="0"/>
        <v>33</v>
      </c>
      <c r="C42" s="103" t="s">
        <v>997</v>
      </c>
      <c r="D42" s="1097">
        <v>69859228.419999987</v>
      </c>
      <c r="E42" s="107"/>
      <c r="F42" s="1097">
        <v>-1100613.96</v>
      </c>
      <c r="G42" s="107"/>
      <c r="H42" s="115"/>
      <c r="I42" s="107"/>
      <c r="J42" s="1097">
        <v>44690547.537546545</v>
      </c>
      <c r="K42" s="107"/>
      <c r="L42" s="1097">
        <v>63180949.180401705</v>
      </c>
      <c r="M42" s="107"/>
      <c r="N42" s="26">
        <f t="shared" si="6"/>
        <v>176630111.17794824</v>
      </c>
    </row>
    <row r="43" spans="1:14">
      <c r="A43" s="8">
        <f t="shared" si="0"/>
        <v>34</v>
      </c>
      <c r="C43" s="103"/>
      <c r="D43" s="108"/>
      <c r="E43" s="107"/>
      <c r="F43" s="108"/>
      <c r="G43" s="107"/>
      <c r="H43" s="108"/>
      <c r="I43" s="107"/>
      <c r="J43" s="108"/>
      <c r="K43" s="107"/>
      <c r="L43" s="108"/>
      <c r="M43" s="107"/>
      <c r="N43" s="88"/>
    </row>
    <row r="44" spans="1:14" ht="12.75" thickBot="1">
      <c r="A44" s="8">
        <f t="shared" si="0"/>
        <v>35</v>
      </c>
      <c r="C44" s="5" t="s">
        <v>36</v>
      </c>
      <c r="D44" s="109">
        <f>SUM(D31:D42)</f>
        <v>69859228.419999987</v>
      </c>
      <c r="E44" s="107"/>
      <c r="F44" s="109">
        <f>SUM(F31:F42)</f>
        <v>-1100613.96</v>
      </c>
      <c r="G44" s="107"/>
      <c r="H44" s="109">
        <f>SUM(H31:H42)</f>
        <v>0</v>
      </c>
      <c r="I44" s="107"/>
      <c r="J44" s="109">
        <f>SUM(J31:J42)</f>
        <v>44690547.537546545</v>
      </c>
      <c r="K44" s="107"/>
      <c r="L44" s="109">
        <f>SUM(L31:L42)</f>
        <v>63180949.180401705</v>
      </c>
      <c r="M44" s="107"/>
      <c r="N44" s="110">
        <f>SUM(D44:M44)</f>
        <v>176630111.17794824</v>
      </c>
    </row>
    <row r="45" spans="1:14" ht="12.75" thickTop="1">
      <c r="A45" s="8">
        <f t="shared" si="0"/>
        <v>36</v>
      </c>
      <c r="C45" s="19"/>
      <c r="D45" s="19"/>
      <c r="E45" s="19"/>
      <c r="F45" s="19"/>
      <c r="G45" s="19"/>
      <c r="H45" s="19"/>
      <c r="I45" s="19"/>
      <c r="J45" s="19"/>
      <c r="K45" s="19"/>
      <c r="L45" s="19"/>
      <c r="M45" s="19"/>
      <c r="N45" s="19"/>
    </row>
    <row r="46" spans="1:14">
      <c r="A46" s="8">
        <f t="shared" si="0"/>
        <v>37</v>
      </c>
      <c r="C46" s="19"/>
      <c r="D46" s="19"/>
      <c r="E46" s="19"/>
      <c r="F46" s="19"/>
      <c r="G46" s="19"/>
      <c r="H46" s="19"/>
      <c r="I46" s="19"/>
      <c r="J46" s="19"/>
      <c r="K46" s="19"/>
      <c r="L46" s="19"/>
      <c r="M46" s="19"/>
      <c r="N46" s="19"/>
    </row>
    <row r="47" spans="1:14">
      <c r="A47" s="8">
        <f t="shared" si="0"/>
        <v>38</v>
      </c>
      <c r="D47" s="3"/>
      <c r="E47" s="96"/>
      <c r="G47" s="96"/>
      <c r="H47" s="96"/>
      <c r="I47" s="96"/>
      <c r="J47" s="3"/>
      <c r="K47" s="96"/>
      <c r="M47" s="97"/>
      <c r="N47" s="10" t="s">
        <v>23</v>
      </c>
    </row>
    <row r="48" spans="1:14">
      <c r="A48" s="8">
        <f t="shared" si="0"/>
        <v>39</v>
      </c>
      <c r="D48" s="99"/>
      <c r="E48" s="10"/>
      <c r="F48" s="11" t="s">
        <v>23</v>
      </c>
      <c r="G48" s="10"/>
      <c r="H48" s="10" t="s">
        <v>915</v>
      </c>
      <c r="I48" s="10"/>
      <c r="J48" s="99"/>
      <c r="K48" s="10"/>
      <c r="L48" s="11" t="s">
        <v>23</v>
      </c>
      <c r="M48" s="10"/>
      <c r="N48" s="10" t="s">
        <v>6</v>
      </c>
    </row>
    <row r="49" spans="1:14">
      <c r="A49" s="8">
        <f t="shared" si="0"/>
        <v>40</v>
      </c>
      <c r="D49" s="15" t="s">
        <v>24</v>
      </c>
      <c r="E49" s="101"/>
      <c r="F49" s="15" t="s">
        <v>143</v>
      </c>
      <c r="G49" s="101"/>
      <c r="H49" s="15" t="s">
        <v>916</v>
      </c>
      <c r="I49" s="101"/>
      <c r="J49" s="15" t="s">
        <v>26</v>
      </c>
      <c r="K49" s="101"/>
      <c r="L49" s="15" t="s">
        <v>857</v>
      </c>
      <c r="M49" s="101"/>
      <c r="N49" s="15" t="s">
        <v>914</v>
      </c>
    </row>
    <row r="50" spans="1:14">
      <c r="A50" s="8">
        <f t="shared" si="0"/>
        <v>41</v>
      </c>
      <c r="B50" s="183" t="s">
        <v>114</v>
      </c>
      <c r="C50" s="183"/>
      <c r="D50" s="102"/>
      <c r="E50" s="102"/>
      <c r="F50" s="102"/>
      <c r="G50" s="102"/>
      <c r="H50" s="102"/>
      <c r="I50" s="102"/>
      <c r="J50" s="102"/>
      <c r="K50" s="102"/>
      <c r="L50" s="102"/>
      <c r="M50" s="102"/>
      <c r="N50" s="102"/>
    </row>
    <row r="51" spans="1:14">
      <c r="A51" s="8">
        <f t="shared" si="0"/>
        <v>42</v>
      </c>
      <c r="C51" s="103" t="s">
        <v>996</v>
      </c>
      <c r="D51" s="161">
        <v>0</v>
      </c>
      <c r="E51" s="105"/>
      <c r="F51" s="161"/>
      <c r="G51" s="105"/>
      <c r="H51" s="113"/>
      <c r="I51" s="105"/>
      <c r="J51" s="161">
        <v>0</v>
      </c>
      <c r="K51" s="105"/>
      <c r="L51" s="161">
        <v>0</v>
      </c>
      <c r="M51" s="105"/>
      <c r="N51" s="114">
        <f t="shared" ref="N51:N62" si="7">SUM(D51:M51)</f>
        <v>0</v>
      </c>
    </row>
    <row r="52" spans="1:14">
      <c r="A52" s="8">
        <f t="shared" si="0"/>
        <v>43</v>
      </c>
      <c r="C52" s="103" t="s">
        <v>47</v>
      </c>
      <c r="D52" s="160">
        <v>0</v>
      </c>
      <c r="E52" s="107"/>
      <c r="F52" s="160"/>
      <c r="G52" s="107"/>
      <c r="H52" s="115"/>
      <c r="I52" s="107"/>
      <c r="J52" s="160">
        <v>0</v>
      </c>
      <c r="K52" s="107"/>
      <c r="L52" s="160">
        <v>0</v>
      </c>
      <c r="M52" s="107"/>
      <c r="N52" s="26">
        <f t="shared" si="7"/>
        <v>0</v>
      </c>
    </row>
    <row r="53" spans="1:14">
      <c r="A53" s="8">
        <f t="shared" si="0"/>
        <v>44</v>
      </c>
      <c r="C53" s="103" t="s">
        <v>48</v>
      </c>
      <c r="D53" s="160">
        <v>0</v>
      </c>
      <c r="E53" s="107"/>
      <c r="F53" s="160"/>
      <c r="G53" s="107"/>
      <c r="H53" s="115"/>
      <c r="I53" s="107"/>
      <c r="J53" s="160">
        <v>0</v>
      </c>
      <c r="K53" s="107"/>
      <c r="L53" s="160">
        <v>0</v>
      </c>
      <c r="M53" s="107"/>
      <c r="N53" s="26">
        <f t="shared" si="7"/>
        <v>0</v>
      </c>
    </row>
    <row r="54" spans="1:14">
      <c r="A54" s="8">
        <f t="shared" si="0"/>
        <v>45</v>
      </c>
      <c r="C54" s="103" t="s">
        <v>49</v>
      </c>
      <c r="D54" s="160">
        <v>0</v>
      </c>
      <c r="E54" s="107"/>
      <c r="F54" s="160"/>
      <c r="G54" s="107"/>
      <c r="H54" s="115"/>
      <c r="I54" s="107"/>
      <c r="J54" s="160">
        <v>0</v>
      </c>
      <c r="K54" s="107"/>
      <c r="L54" s="160">
        <v>0</v>
      </c>
      <c r="M54" s="107"/>
      <c r="N54" s="26">
        <f t="shared" si="7"/>
        <v>0</v>
      </c>
    </row>
    <row r="55" spans="1:14">
      <c r="A55" s="8">
        <f t="shared" si="0"/>
        <v>46</v>
      </c>
      <c r="C55" s="103" t="s">
        <v>21</v>
      </c>
      <c r="D55" s="160">
        <v>0</v>
      </c>
      <c r="E55" s="107"/>
      <c r="F55" s="160"/>
      <c r="G55" s="107"/>
      <c r="H55" s="115"/>
      <c r="I55" s="107"/>
      <c r="J55" s="160">
        <v>0</v>
      </c>
      <c r="K55" s="107"/>
      <c r="L55" s="160">
        <v>0</v>
      </c>
      <c r="M55" s="107"/>
      <c r="N55" s="26">
        <f t="shared" si="7"/>
        <v>0</v>
      </c>
    </row>
    <row r="56" spans="1:14">
      <c r="A56" s="8">
        <f t="shared" si="0"/>
        <v>47</v>
      </c>
      <c r="C56" s="103" t="s">
        <v>50</v>
      </c>
      <c r="D56" s="160">
        <v>0</v>
      </c>
      <c r="E56" s="107"/>
      <c r="F56" s="160"/>
      <c r="G56" s="107"/>
      <c r="H56" s="115"/>
      <c r="I56" s="107"/>
      <c r="J56" s="160">
        <v>0</v>
      </c>
      <c r="K56" s="107"/>
      <c r="L56" s="160">
        <v>0</v>
      </c>
      <c r="M56" s="107"/>
      <c r="N56" s="26">
        <f t="shared" si="7"/>
        <v>0</v>
      </c>
    </row>
    <row r="57" spans="1:14">
      <c r="A57" s="8">
        <f t="shared" si="0"/>
        <v>48</v>
      </c>
      <c r="C57" s="103" t="s">
        <v>51</v>
      </c>
      <c r="D57" s="160">
        <v>0</v>
      </c>
      <c r="E57" s="107"/>
      <c r="F57" s="160"/>
      <c r="G57" s="107"/>
      <c r="H57" s="115"/>
      <c r="I57" s="107"/>
      <c r="J57" s="160">
        <v>0</v>
      </c>
      <c r="K57" s="107"/>
      <c r="L57" s="160">
        <v>0</v>
      </c>
      <c r="M57" s="107"/>
      <c r="N57" s="26">
        <f t="shared" si="7"/>
        <v>0</v>
      </c>
    </row>
    <row r="58" spans="1:14">
      <c r="A58" s="8">
        <f t="shared" si="0"/>
        <v>49</v>
      </c>
      <c r="C58" s="103" t="s">
        <v>52</v>
      </c>
      <c r="D58" s="160">
        <v>0</v>
      </c>
      <c r="E58" s="107"/>
      <c r="F58" s="160"/>
      <c r="G58" s="107"/>
      <c r="H58" s="115"/>
      <c r="I58" s="107"/>
      <c r="J58" s="160">
        <v>0</v>
      </c>
      <c r="K58" s="107"/>
      <c r="L58" s="160">
        <v>0</v>
      </c>
      <c r="M58" s="107"/>
      <c r="N58" s="26">
        <f t="shared" si="7"/>
        <v>0</v>
      </c>
    </row>
    <row r="59" spans="1:14">
      <c r="A59" s="8">
        <f t="shared" si="0"/>
        <v>50</v>
      </c>
      <c r="C59" s="103" t="s">
        <v>53</v>
      </c>
      <c r="D59" s="160">
        <v>0</v>
      </c>
      <c r="E59" s="107"/>
      <c r="F59" s="160"/>
      <c r="G59" s="107"/>
      <c r="H59" s="115"/>
      <c r="I59" s="107"/>
      <c r="J59" s="160">
        <v>0</v>
      </c>
      <c r="K59" s="107"/>
      <c r="L59" s="160">
        <v>0</v>
      </c>
      <c r="M59" s="107"/>
      <c r="N59" s="26">
        <f t="shared" si="7"/>
        <v>0</v>
      </c>
    </row>
    <row r="60" spans="1:14">
      <c r="A60" s="8">
        <f t="shared" si="0"/>
        <v>51</v>
      </c>
      <c r="C60" s="103" t="s">
        <v>54</v>
      </c>
      <c r="D60" s="160">
        <v>0</v>
      </c>
      <c r="E60" s="107"/>
      <c r="F60" s="160"/>
      <c r="G60" s="107"/>
      <c r="H60" s="115"/>
      <c r="I60" s="107"/>
      <c r="J60" s="160">
        <v>0</v>
      </c>
      <c r="K60" s="107"/>
      <c r="L60" s="160">
        <v>0</v>
      </c>
      <c r="M60" s="107"/>
      <c r="N60" s="26">
        <f t="shared" si="7"/>
        <v>0</v>
      </c>
    </row>
    <row r="61" spans="1:14">
      <c r="A61" s="8">
        <f t="shared" si="0"/>
        <v>52</v>
      </c>
      <c r="C61" s="103" t="s">
        <v>55</v>
      </c>
      <c r="D61" s="160">
        <v>0</v>
      </c>
      <c r="E61" s="107"/>
      <c r="F61" s="160"/>
      <c r="G61" s="107"/>
      <c r="H61" s="115"/>
      <c r="I61" s="107"/>
      <c r="J61" s="160">
        <v>0</v>
      </c>
      <c r="K61" s="107"/>
      <c r="L61" s="160">
        <v>0</v>
      </c>
      <c r="M61" s="107"/>
      <c r="N61" s="26">
        <f t="shared" si="7"/>
        <v>0</v>
      </c>
    </row>
    <row r="62" spans="1:14">
      <c r="A62" s="8">
        <f t="shared" si="0"/>
        <v>53</v>
      </c>
      <c r="C62" s="103" t="s">
        <v>997</v>
      </c>
      <c r="D62" s="1097">
        <v>28537419.239999995</v>
      </c>
      <c r="E62" s="373"/>
      <c r="F62" s="160"/>
      <c r="G62" s="373"/>
      <c r="H62" s="160"/>
      <c r="I62" s="373"/>
      <c r="J62" s="1097">
        <v>8928878.9999999981</v>
      </c>
      <c r="K62" s="373"/>
      <c r="L62" s="1097">
        <v>14142963.449999999</v>
      </c>
      <c r="M62" s="107"/>
      <c r="N62" s="26">
        <f t="shared" si="7"/>
        <v>51609261.689999998</v>
      </c>
    </row>
    <row r="63" spans="1:14">
      <c r="A63" s="8">
        <f t="shared" si="0"/>
        <v>54</v>
      </c>
      <c r="C63" s="103"/>
      <c r="D63" s="108"/>
      <c r="E63" s="107"/>
      <c r="F63" s="108"/>
      <c r="G63" s="107"/>
      <c r="H63" s="108"/>
      <c r="I63" s="107"/>
      <c r="J63" s="108"/>
      <c r="K63" s="107"/>
      <c r="L63" s="108"/>
      <c r="M63" s="107"/>
      <c r="N63" s="88"/>
    </row>
    <row r="64" spans="1:14" ht="12.75" thickBot="1">
      <c r="A64" s="8">
        <f t="shared" si="0"/>
        <v>55</v>
      </c>
      <c r="C64" s="5" t="s">
        <v>36</v>
      </c>
      <c r="D64" s="109">
        <f>SUM(D51:D62)</f>
        <v>28537419.239999995</v>
      </c>
      <c r="E64" s="107"/>
      <c r="F64" s="109">
        <f>SUM(F51:F62)</f>
        <v>0</v>
      </c>
      <c r="G64" s="107"/>
      <c r="H64" s="109">
        <f>SUM(H51:H62)</f>
        <v>0</v>
      </c>
      <c r="I64" s="107"/>
      <c r="J64" s="109">
        <f>SUM(J51:J62)</f>
        <v>8928878.9999999981</v>
      </c>
      <c r="K64" s="107"/>
      <c r="L64" s="109">
        <f>SUM(L51:L62)</f>
        <v>14142963.449999999</v>
      </c>
      <c r="M64" s="107"/>
      <c r="N64" s="110">
        <f>SUM(D64:M64)</f>
        <v>51609261.689999998</v>
      </c>
    </row>
    <row r="65" spans="2:3" ht="12.75" thickTop="1"/>
    <row r="69" spans="2:3">
      <c r="C69" s="2" t="s">
        <v>197</v>
      </c>
    </row>
    <row r="80" spans="2:3">
      <c r="B80" s="51"/>
    </row>
  </sheetData>
  <phoneticPr fontId="15" type="noConversion"/>
  <pageMargins left="0.5" right="0.25" top="0.5" bottom="0.25" header="0.75" footer="0.5"/>
  <pageSetup scale="77" orientation="portrait" r:id="rId1"/>
  <headerFooter alignWithMargins="0">
    <oddFooter>&amp;CPage  &amp;P  of  &amp;N</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00FFCC"/>
    <pageSetUpPr fitToPage="1"/>
  </sheetPr>
  <dimension ref="A1:L28"/>
  <sheetViews>
    <sheetView showGridLines="0" zoomScaleNormal="100" workbookViewId="0">
      <selection activeCell="F16" sqref="F16"/>
    </sheetView>
  </sheetViews>
  <sheetFormatPr defaultColWidth="8" defaultRowHeight="12"/>
  <cols>
    <col min="1" max="1" width="4" style="8" customWidth="1"/>
    <col min="2" max="2" width="2.33203125" style="2" customWidth="1"/>
    <col min="3" max="3" width="3.21875" style="2" customWidth="1"/>
    <col min="4" max="4" width="27.21875" style="2" customWidth="1"/>
    <col min="5" max="5" width="0.88671875" style="2" customWidth="1"/>
    <col min="6" max="6" width="11.77734375" style="2" customWidth="1"/>
    <col min="7" max="7" width="0.88671875" style="2" customWidth="1"/>
    <col min="8" max="8" width="10.44140625" style="3" customWidth="1"/>
    <col min="9" max="9" width="0.88671875" style="2" customWidth="1"/>
    <col min="10" max="10" width="10.44140625" style="2" bestFit="1" customWidth="1"/>
    <col min="11" max="11" width="8" style="2" customWidth="1"/>
    <col min="12" max="12" width="10.21875" style="2" customWidth="1"/>
    <col min="13" max="16384" width="8" style="2"/>
  </cols>
  <sheetData>
    <row r="1" spans="1:12">
      <c r="A1" s="1" t="s">
        <v>855</v>
      </c>
      <c r="J1" s="48" t="str">
        <f>Cover!C1</f>
        <v>2018 Workpapers</v>
      </c>
    </row>
    <row r="2" spans="1:12">
      <c r="A2" s="5" t="s">
        <v>921</v>
      </c>
      <c r="J2" s="4"/>
    </row>
    <row r="3" spans="1:12">
      <c r="A3" s="6" t="s">
        <v>1109</v>
      </c>
      <c r="J3" s="7"/>
    </row>
    <row r="4" spans="1:12">
      <c r="A4" s="420"/>
    </row>
    <row r="5" spans="1:12">
      <c r="D5" s="9"/>
      <c r="E5" s="9"/>
    </row>
    <row r="6" spans="1:12">
      <c r="D6" s="9"/>
      <c r="E6" s="9"/>
      <c r="J6" s="10"/>
    </row>
    <row r="7" spans="1:12">
      <c r="A7" s="5" t="s">
        <v>46</v>
      </c>
      <c r="F7" s="10"/>
      <c r="G7" s="11"/>
      <c r="H7" s="10"/>
      <c r="I7" s="10"/>
      <c r="J7" s="10" t="s">
        <v>23</v>
      </c>
    </row>
    <row r="8" spans="1:12">
      <c r="A8" s="12" t="s">
        <v>22</v>
      </c>
      <c r="C8" s="13"/>
      <c r="D8" s="12" t="s">
        <v>33</v>
      </c>
      <c r="E8" s="11"/>
      <c r="F8" s="14" t="s">
        <v>876</v>
      </c>
      <c r="G8" s="11"/>
      <c r="H8" s="15" t="s">
        <v>877</v>
      </c>
      <c r="I8" s="10"/>
      <c r="J8" s="15" t="s">
        <v>878</v>
      </c>
    </row>
    <row r="9" spans="1:12">
      <c r="F9" s="16"/>
      <c r="H9" s="16"/>
      <c r="J9" s="16"/>
    </row>
    <row r="10" spans="1:12">
      <c r="A10" s="8">
        <v>1</v>
      </c>
      <c r="B10" s="183" t="s">
        <v>116</v>
      </c>
      <c r="C10" s="184"/>
      <c r="D10" s="184"/>
      <c r="F10" s="18"/>
      <c r="H10" s="18"/>
      <c r="J10" s="18"/>
    </row>
    <row r="11" spans="1:12" ht="15" customHeight="1">
      <c r="A11" s="8">
        <f t="shared" ref="A11:A25" si="0">+A10+1</f>
        <v>2</v>
      </c>
      <c r="C11" s="43" t="s">
        <v>41</v>
      </c>
      <c r="F11" s="24"/>
      <c r="G11" s="20"/>
      <c r="H11" s="24"/>
      <c r="I11" s="20"/>
      <c r="J11" s="24"/>
    </row>
    <row r="12" spans="1:12" ht="15" customHeight="1">
      <c r="A12" s="8">
        <f t="shared" si="0"/>
        <v>3</v>
      </c>
      <c r="D12" s="2" t="s">
        <v>917</v>
      </c>
      <c r="F12" s="1094">
        <v>29318372</v>
      </c>
      <c r="G12" s="20"/>
      <c r="H12" s="1094">
        <v>3254059</v>
      </c>
      <c r="I12" s="20"/>
      <c r="J12" s="21">
        <f>SUM(F12:H12)</f>
        <v>32572431</v>
      </c>
      <c r="L12" s="371"/>
    </row>
    <row r="13" spans="1:12" ht="15" customHeight="1">
      <c r="A13" s="8">
        <f t="shared" si="0"/>
        <v>4</v>
      </c>
      <c r="C13" s="44"/>
      <c r="D13" s="2" t="s">
        <v>918</v>
      </c>
      <c r="F13" s="146">
        <v>0</v>
      </c>
      <c r="G13" s="20"/>
      <c r="H13" s="903">
        <v>0</v>
      </c>
      <c r="I13" s="20"/>
      <c r="J13" s="22">
        <f>SUM(F13:H13)</f>
        <v>0</v>
      </c>
    </row>
    <row r="14" spans="1:12" ht="15" customHeight="1">
      <c r="A14" s="8">
        <f t="shared" si="0"/>
        <v>5</v>
      </c>
      <c r="C14" s="8"/>
      <c r="F14" s="147"/>
      <c r="G14" s="20"/>
      <c r="H14" s="904"/>
      <c r="I14" s="20"/>
      <c r="J14" s="25"/>
    </row>
    <row r="15" spans="1:12" ht="15" customHeight="1">
      <c r="A15" s="8">
        <f t="shared" si="0"/>
        <v>6</v>
      </c>
      <c r="C15" s="45" t="s">
        <v>854</v>
      </c>
      <c r="F15" s="148"/>
      <c r="G15" s="20"/>
      <c r="H15" s="905"/>
      <c r="I15" s="20"/>
      <c r="J15" s="22"/>
    </row>
    <row r="16" spans="1:12" ht="15" customHeight="1">
      <c r="A16" s="8">
        <f t="shared" si="0"/>
        <v>7</v>
      </c>
      <c r="C16" s="8"/>
      <c r="D16" s="2" t="s">
        <v>919</v>
      </c>
      <c r="F16" s="1094">
        <v>221746000</v>
      </c>
      <c r="G16" s="20"/>
      <c r="H16" s="1094">
        <f>1300000-1300000+1560000</f>
        <v>1560000</v>
      </c>
      <c r="I16" s="20"/>
      <c r="J16" s="21">
        <f>SUM(F16:H16)</f>
        <v>223306000</v>
      </c>
    </row>
    <row r="17" spans="1:10" ht="15" customHeight="1">
      <c r="A17" s="8">
        <f t="shared" si="0"/>
        <v>8</v>
      </c>
      <c r="D17" s="2" t="s">
        <v>104</v>
      </c>
      <c r="F17" s="146">
        <v>0</v>
      </c>
      <c r="G17" s="20"/>
      <c r="H17" s="1093">
        <v>23327151</v>
      </c>
      <c r="I17" s="20"/>
      <c r="J17" s="22">
        <f>SUM(F17:H17)</f>
        <v>23327151</v>
      </c>
    </row>
    <row r="18" spans="1:10" ht="15" customHeight="1">
      <c r="A18" s="8">
        <f t="shared" si="0"/>
        <v>9</v>
      </c>
      <c r="C18" s="44"/>
      <c r="D18" s="2" t="s">
        <v>105</v>
      </c>
      <c r="F18" s="146">
        <v>0</v>
      </c>
      <c r="G18" s="20"/>
      <c r="H18" s="903">
        <v>0</v>
      </c>
      <c r="I18" s="20"/>
      <c r="J18" s="22">
        <f>SUM(F18:H18)</f>
        <v>0</v>
      </c>
    </row>
    <row r="19" spans="1:10" ht="15" customHeight="1">
      <c r="A19" s="8">
        <f t="shared" si="0"/>
        <v>10</v>
      </c>
      <c r="D19" s="2" t="s">
        <v>920</v>
      </c>
      <c r="F19" s="146">
        <v>0</v>
      </c>
      <c r="G19" s="20"/>
      <c r="H19" s="903">
        <v>0</v>
      </c>
      <c r="I19" s="20"/>
      <c r="J19" s="22">
        <f>SUM(F19:H19)</f>
        <v>0</v>
      </c>
    </row>
    <row r="20" spans="1:10" ht="15" customHeight="1">
      <c r="A20" s="8">
        <f t="shared" si="0"/>
        <v>11</v>
      </c>
      <c r="F20" s="88"/>
      <c r="G20" s="20"/>
      <c r="H20" s="88"/>
      <c r="I20" s="20"/>
      <c r="J20" s="89"/>
    </row>
    <row r="21" spans="1:10" ht="15" customHeight="1">
      <c r="A21" s="8">
        <f t="shared" si="0"/>
        <v>12</v>
      </c>
      <c r="F21" s="26"/>
      <c r="G21" s="20"/>
      <c r="H21" s="26"/>
      <c r="I21" s="20"/>
      <c r="J21" s="26"/>
    </row>
    <row r="22" spans="1:10" ht="15" customHeight="1" thickBot="1">
      <c r="A22" s="8">
        <f t="shared" si="0"/>
        <v>13</v>
      </c>
      <c r="D22" s="8" t="s">
        <v>9</v>
      </c>
      <c r="E22" s="8"/>
      <c r="F22" s="90">
        <f>SUM(F11:F20)</f>
        <v>251064372</v>
      </c>
      <c r="G22" s="20"/>
      <c r="H22" s="90">
        <f>SUM(H11:H20)</f>
        <v>28141210</v>
      </c>
      <c r="I22" s="20"/>
      <c r="J22" s="90">
        <f>SUM(F22:H22)</f>
        <v>279205582</v>
      </c>
    </row>
    <row r="23" spans="1:10" ht="15" customHeight="1" thickTop="1">
      <c r="A23" s="8">
        <f t="shared" si="0"/>
        <v>14</v>
      </c>
      <c r="F23" s="3"/>
      <c r="J23" s="91"/>
    </row>
    <row r="24" spans="1:10" ht="15" customHeight="1">
      <c r="A24" s="8">
        <f t="shared" si="0"/>
        <v>15</v>
      </c>
    </row>
    <row r="25" spans="1:10" ht="15" customHeight="1" thickBot="1">
      <c r="A25" s="8">
        <f t="shared" si="0"/>
        <v>16</v>
      </c>
      <c r="B25" s="92" t="s">
        <v>922</v>
      </c>
      <c r="C25" s="92"/>
      <c r="D25" s="92"/>
      <c r="F25" s="1096">
        <v>-1385631.12</v>
      </c>
      <c r="G25" s="20"/>
      <c r="H25" s="1098">
        <v>-503845.92</v>
      </c>
      <c r="I25" s="20"/>
      <c r="J25" s="93">
        <f>SUM(F25:H25)</f>
        <v>-1889477.04</v>
      </c>
    </row>
    <row r="26" spans="1:10" ht="12.75" thickTop="1"/>
    <row r="27" spans="1:10" ht="15.75" customHeight="1"/>
    <row r="28" spans="1:10">
      <c r="A28" s="2" t="s">
        <v>106</v>
      </c>
    </row>
  </sheetData>
  <phoneticPr fontId="15" type="noConversion"/>
  <pageMargins left="0.5" right="0.25" top="0.5" bottom="0.25" header="0.75" footer="0.5"/>
  <pageSetup orientation="portrait" r:id="rId1"/>
  <headerFooter alignWithMargins="0">
    <oddFooter>&amp;CPage  &amp;P  of  &amp;N</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rgb="FF00FFCC"/>
    <pageSetUpPr fitToPage="1"/>
  </sheetPr>
  <dimension ref="A1:K46"/>
  <sheetViews>
    <sheetView showGridLines="0" zoomScaleNormal="100" workbookViewId="0">
      <selection activeCell="F41" sqref="F41"/>
    </sheetView>
  </sheetViews>
  <sheetFormatPr defaultColWidth="8" defaultRowHeight="12"/>
  <cols>
    <col min="1" max="1" width="4" style="8" customWidth="1"/>
    <col min="2" max="2" width="2.33203125" style="2" customWidth="1"/>
    <col min="3" max="3" width="3.21875" style="2" customWidth="1"/>
    <col min="4" max="4" width="50.6640625" style="2" bestFit="1" customWidth="1"/>
    <col min="5" max="5" width="0.88671875" style="2" customWidth="1"/>
    <col min="6" max="6" width="11.77734375" style="2" customWidth="1"/>
    <col min="7" max="7" width="0.88671875" style="2" customWidth="1"/>
    <col min="8" max="8" width="12.109375" style="3" bestFit="1" customWidth="1"/>
    <col min="9" max="9" width="0.88671875" style="2" customWidth="1"/>
    <col min="10" max="10" width="13.109375" style="2" bestFit="1" customWidth="1"/>
    <col min="11" max="16384" width="8" style="2"/>
  </cols>
  <sheetData>
    <row r="1" spans="1:11">
      <c r="A1" s="1" t="s">
        <v>855</v>
      </c>
      <c r="J1" s="48" t="str">
        <f>Cover!C1</f>
        <v>2018 Workpapers</v>
      </c>
    </row>
    <row r="2" spans="1:11">
      <c r="A2" s="5" t="s">
        <v>923</v>
      </c>
      <c r="J2" s="4"/>
    </row>
    <row r="3" spans="1:11">
      <c r="A3" s="6" t="s">
        <v>1109</v>
      </c>
      <c r="J3" s="7"/>
    </row>
    <row r="4" spans="1:11">
      <c r="A4" s="420"/>
      <c r="F4" s="182"/>
    </row>
    <row r="5" spans="1:11">
      <c r="E5" s="9"/>
    </row>
    <row r="6" spans="1:11">
      <c r="D6" s="9"/>
      <c r="E6" s="9"/>
      <c r="J6" s="10"/>
    </row>
    <row r="7" spans="1:11">
      <c r="A7" s="5" t="s">
        <v>46</v>
      </c>
      <c r="F7" s="10"/>
      <c r="G7" s="11"/>
      <c r="H7" s="10"/>
      <c r="I7" s="10"/>
      <c r="J7" s="10" t="s">
        <v>23</v>
      </c>
    </row>
    <row r="8" spans="1:11">
      <c r="A8" s="12" t="s">
        <v>22</v>
      </c>
      <c r="C8" s="13"/>
      <c r="D8" s="12" t="s">
        <v>33</v>
      </c>
      <c r="E8" s="11"/>
      <c r="F8" s="14" t="s">
        <v>876</v>
      </c>
      <c r="G8" s="11"/>
      <c r="H8" s="15" t="s">
        <v>877</v>
      </c>
      <c r="I8" s="10"/>
      <c r="J8" s="15" t="s">
        <v>878</v>
      </c>
    </row>
    <row r="9" spans="1:11">
      <c r="F9" s="16"/>
      <c r="H9" s="16"/>
      <c r="J9" s="16"/>
    </row>
    <row r="10" spans="1:11">
      <c r="A10" s="8">
        <v>1</v>
      </c>
      <c r="B10" s="183" t="s">
        <v>117</v>
      </c>
      <c r="C10" s="184"/>
      <c r="D10" s="184"/>
      <c r="F10" s="18"/>
      <c r="H10" s="18"/>
      <c r="J10" s="18"/>
    </row>
    <row r="11" spans="1:11">
      <c r="A11" s="8">
        <f t="shared" ref="A11:A39" si="0">+A10+1</f>
        <v>2</v>
      </c>
      <c r="C11" s="43"/>
      <c r="D11" s="2" t="s">
        <v>97</v>
      </c>
      <c r="F11" s="1094">
        <f>'Gross Plant'!F48</f>
        <v>3629395245</v>
      </c>
      <c r="G11" s="20"/>
      <c r="H11" s="1094">
        <f>'Gross Plant'!F70</f>
        <v>1084401865.7984614</v>
      </c>
      <c r="I11" s="20"/>
      <c r="J11" s="21">
        <f>SUM(F11:H11)</f>
        <v>4713797110.7984619</v>
      </c>
      <c r="K11" s="138"/>
    </row>
    <row r="12" spans="1:11">
      <c r="A12" s="8">
        <f t="shared" si="0"/>
        <v>3</v>
      </c>
      <c r="C12" s="43"/>
      <c r="D12" s="2" t="s">
        <v>144</v>
      </c>
      <c r="F12" s="146">
        <v>0</v>
      </c>
      <c r="G12" s="20"/>
      <c r="H12" s="146">
        <v>0</v>
      </c>
      <c r="I12" s="20"/>
      <c r="J12" s="137">
        <f>SUM(F12:H12)</f>
        <v>0</v>
      </c>
      <c r="K12" s="138"/>
    </row>
    <row r="13" spans="1:11">
      <c r="A13" s="8">
        <f t="shared" si="0"/>
        <v>4</v>
      </c>
      <c r="D13" s="2" t="s">
        <v>107</v>
      </c>
      <c r="F13" s="1093">
        <v>84490746.11999999</v>
      </c>
      <c r="G13" s="20"/>
      <c r="H13" s="1093">
        <v>9148784.8800000045</v>
      </c>
      <c r="I13" s="20"/>
      <c r="J13" s="137">
        <f>SUM(F13:H13)</f>
        <v>93639531</v>
      </c>
    </row>
    <row r="14" spans="1:11">
      <c r="A14" s="8">
        <f t="shared" si="0"/>
        <v>5</v>
      </c>
      <c r="C14" s="44"/>
      <c r="H14" s="906"/>
    </row>
    <row r="15" spans="1:11">
      <c r="A15" s="8">
        <f t="shared" si="0"/>
        <v>6</v>
      </c>
      <c r="C15" s="8"/>
      <c r="F15" s="24"/>
      <c r="G15" s="20"/>
      <c r="H15" s="904"/>
      <c r="I15" s="20"/>
      <c r="J15" s="25"/>
    </row>
    <row r="16" spans="1:11">
      <c r="A16" s="8">
        <f t="shared" si="0"/>
        <v>7</v>
      </c>
      <c r="B16" s="183" t="s">
        <v>118</v>
      </c>
      <c r="C16" s="183"/>
      <c r="D16" s="185"/>
      <c r="E16" s="8"/>
      <c r="F16" s="26"/>
      <c r="G16" s="20"/>
      <c r="H16" s="905"/>
      <c r="I16" s="20"/>
      <c r="J16" s="22"/>
    </row>
    <row r="17" spans="1:10">
      <c r="A17" s="8">
        <f t="shared" si="0"/>
        <v>8</v>
      </c>
      <c r="C17" s="45"/>
      <c r="D17" s="2" t="s">
        <v>924</v>
      </c>
      <c r="F17" s="26"/>
      <c r="G17" s="20"/>
      <c r="H17" s="905"/>
      <c r="I17" s="20"/>
      <c r="J17" s="22"/>
    </row>
    <row r="18" spans="1:10">
      <c r="A18" s="8">
        <f t="shared" si="0"/>
        <v>9</v>
      </c>
      <c r="C18" s="8"/>
      <c r="D18" s="2" t="s">
        <v>925</v>
      </c>
      <c r="F18" s="1094">
        <f>'O&amp;M'!F13</f>
        <v>0</v>
      </c>
      <c r="G18" s="27"/>
      <c r="H18" s="1094">
        <f>'O&amp;M'!H13</f>
        <v>0</v>
      </c>
      <c r="I18" s="27"/>
      <c r="J18" s="21">
        <f>SUM(F18:H18)</f>
        <v>0</v>
      </c>
    </row>
    <row r="19" spans="1:10">
      <c r="A19" s="8">
        <f t="shared" si="0"/>
        <v>10</v>
      </c>
      <c r="D19" s="2" t="s">
        <v>926</v>
      </c>
      <c r="F19" s="1093">
        <f>'O&amp;M'!F14</f>
        <v>5980333</v>
      </c>
      <c r="G19" s="20"/>
      <c r="H19" s="1093">
        <f>'O&amp;M'!H14</f>
        <v>1603163</v>
      </c>
      <c r="I19" s="20"/>
      <c r="J19" s="22">
        <f>SUM(F19:H19)</f>
        <v>7583496</v>
      </c>
    </row>
    <row r="20" spans="1:10">
      <c r="A20" s="8">
        <f t="shared" si="0"/>
        <v>11</v>
      </c>
      <c r="C20" s="44"/>
      <c r="D20" s="2" t="s">
        <v>927</v>
      </c>
      <c r="F20" s="1095">
        <f>'O&amp;M'!F15</f>
        <v>0</v>
      </c>
      <c r="G20" s="20"/>
      <c r="H20" s="1095">
        <f>'O&amp;M'!H15</f>
        <v>0</v>
      </c>
      <c r="I20" s="20"/>
      <c r="J20" s="28">
        <f>SUM(F20:H20)</f>
        <v>0</v>
      </c>
    </row>
    <row r="21" spans="1:10">
      <c r="A21" s="8">
        <f t="shared" si="0"/>
        <v>12</v>
      </c>
      <c r="F21" s="19"/>
      <c r="G21" s="19"/>
      <c r="H21" s="908"/>
      <c r="I21" s="19"/>
      <c r="J21" s="19"/>
    </row>
    <row r="22" spans="1:10" ht="12.75" thickBot="1">
      <c r="A22" s="8">
        <f t="shared" si="0"/>
        <v>13</v>
      </c>
      <c r="D22" s="2" t="s">
        <v>928</v>
      </c>
      <c r="F22" s="29">
        <f>SUM(F18:F20)</f>
        <v>5980333</v>
      </c>
      <c r="G22" s="19"/>
      <c r="H22" s="909">
        <f>SUM(H18:H20)</f>
        <v>1603163</v>
      </c>
      <c r="I22" s="19"/>
      <c r="J22" s="29">
        <f>SUM(J18:J20)</f>
        <v>7583496</v>
      </c>
    </row>
    <row r="23" spans="1:10" ht="12.75" thickTop="1">
      <c r="A23" s="8">
        <f t="shared" si="0"/>
        <v>14</v>
      </c>
      <c r="F23" s="26"/>
      <c r="G23" s="20"/>
      <c r="H23" s="905"/>
      <c r="I23" s="20"/>
      <c r="J23" s="26"/>
    </row>
    <row r="24" spans="1:10">
      <c r="A24" s="8">
        <f t="shared" si="0"/>
        <v>15</v>
      </c>
      <c r="B24" s="19"/>
      <c r="C24" s="19"/>
      <c r="D24" s="19"/>
      <c r="E24" s="19"/>
      <c r="F24" s="19"/>
      <c r="G24" s="19"/>
      <c r="H24" s="908"/>
      <c r="I24" s="19"/>
      <c r="J24" s="19"/>
    </row>
    <row r="25" spans="1:10">
      <c r="A25" s="8">
        <f t="shared" si="0"/>
        <v>16</v>
      </c>
      <c r="B25" s="186" t="s">
        <v>119</v>
      </c>
      <c r="C25" s="186"/>
      <c r="D25" s="186"/>
      <c r="E25" s="19"/>
      <c r="F25" s="19"/>
      <c r="G25" s="19"/>
      <c r="H25" s="908"/>
      <c r="I25" s="19"/>
      <c r="J25" s="19"/>
    </row>
    <row r="26" spans="1:10">
      <c r="A26" s="8">
        <f t="shared" si="0"/>
        <v>17</v>
      </c>
      <c r="B26" s="19"/>
      <c r="C26" s="19"/>
      <c r="D26" s="19" t="s">
        <v>4</v>
      </c>
      <c r="E26" s="19"/>
      <c r="F26" s="1094">
        <v>262881747</v>
      </c>
      <c r="G26" s="170"/>
      <c r="H26" s="1094">
        <v>11514807</v>
      </c>
      <c r="I26" s="27"/>
      <c r="J26" s="21">
        <f>SUM(F26:H26)</f>
        <v>274396554</v>
      </c>
    </row>
    <row r="27" spans="1:10">
      <c r="A27" s="8">
        <f t="shared" si="0"/>
        <v>18</v>
      </c>
      <c r="B27" s="19"/>
      <c r="C27" s="19"/>
      <c r="D27" s="19" t="s">
        <v>24</v>
      </c>
      <c r="E27" s="19"/>
      <c r="F27" s="1093">
        <v>23860953</v>
      </c>
      <c r="G27" s="171"/>
      <c r="H27" s="1093">
        <v>6388219</v>
      </c>
      <c r="I27" s="20"/>
      <c r="J27" s="22">
        <f>SUM(F27:H27)</f>
        <v>30249172</v>
      </c>
    </row>
    <row r="28" spans="1:10">
      <c r="A28" s="8">
        <f t="shared" si="0"/>
        <v>19</v>
      </c>
      <c r="D28" s="2" t="s">
        <v>25</v>
      </c>
      <c r="F28" s="1093">
        <v>55710192</v>
      </c>
      <c r="G28" s="171"/>
      <c r="H28" s="1093">
        <v>12135037</v>
      </c>
      <c r="I28" s="20"/>
      <c r="J28" s="22">
        <f>SUM(F28:H28)</f>
        <v>67845229</v>
      </c>
    </row>
    <row r="29" spans="1:10">
      <c r="A29" s="8">
        <f t="shared" si="0"/>
        <v>20</v>
      </c>
      <c r="D29" s="2" t="s">
        <v>108</v>
      </c>
      <c r="F29" s="1095">
        <v>15271960</v>
      </c>
      <c r="G29" s="171"/>
      <c r="H29" s="1095">
        <v>3354428</v>
      </c>
      <c r="I29" s="20"/>
      <c r="J29" s="28">
        <f>SUM(F29:H29)</f>
        <v>18626388</v>
      </c>
    </row>
    <row r="30" spans="1:10">
      <c r="A30" s="8">
        <f t="shared" si="0"/>
        <v>21</v>
      </c>
      <c r="E30" s="8"/>
      <c r="H30" s="906"/>
    </row>
    <row r="31" spans="1:10" ht="12.75" thickBot="1">
      <c r="A31" s="8">
        <f t="shared" si="0"/>
        <v>22</v>
      </c>
      <c r="D31" s="2" t="s">
        <v>929</v>
      </c>
      <c r="F31" s="46">
        <f>SUM(F26:F29)</f>
        <v>357724852</v>
      </c>
      <c r="H31" s="910">
        <f>SUM(H26:H29)</f>
        <v>33392491</v>
      </c>
      <c r="J31" s="46">
        <f>SUM(J26:J29)</f>
        <v>391117343</v>
      </c>
    </row>
    <row r="32" spans="1:10" ht="12.75" thickTop="1">
      <c r="A32" s="8">
        <f t="shared" si="0"/>
        <v>23</v>
      </c>
      <c r="H32" s="906"/>
    </row>
    <row r="33" spans="1:10">
      <c r="A33" s="8">
        <f t="shared" si="0"/>
        <v>24</v>
      </c>
      <c r="H33" s="906"/>
    </row>
    <row r="34" spans="1:10">
      <c r="A34" s="8">
        <f t="shared" si="0"/>
        <v>25</v>
      </c>
      <c r="B34" s="183" t="s">
        <v>120</v>
      </c>
      <c r="C34" s="184"/>
      <c r="D34" s="184"/>
      <c r="H34" s="906"/>
    </row>
    <row r="35" spans="1:10">
      <c r="A35" s="8">
        <f t="shared" si="0"/>
        <v>26</v>
      </c>
      <c r="D35" s="2" t="s">
        <v>8</v>
      </c>
      <c r="F35" s="1094">
        <v>17644019542.52784</v>
      </c>
      <c r="G35" s="27"/>
      <c r="H35" s="1094">
        <v>2920627913.3299999</v>
      </c>
      <c r="I35" s="27"/>
      <c r="J35" s="21">
        <f>SUM(F35:H35)</f>
        <v>20564647455.857841</v>
      </c>
    </row>
    <row r="36" spans="1:10">
      <c r="A36" s="8">
        <f t="shared" si="0"/>
        <v>27</v>
      </c>
      <c r="D36" s="2" t="s">
        <v>943</v>
      </c>
      <c r="F36" s="1093">
        <v>1391225114.9807692</v>
      </c>
      <c r="G36" s="171"/>
      <c r="H36" s="1093">
        <v>338261226.41000021</v>
      </c>
      <c r="I36" s="20"/>
      <c r="J36" s="22">
        <f>SUM(F36:H36)</f>
        <v>1729486341.3907695</v>
      </c>
    </row>
    <row r="37" spans="1:10">
      <c r="A37" s="8">
        <f t="shared" si="0"/>
        <v>28</v>
      </c>
      <c r="D37" s="2" t="s">
        <v>930</v>
      </c>
      <c r="F37" s="162">
        <v>0</v>
      </c>
      <c r="G37" s="20"/>
      <c r="H37" s="907">
        <v>0</v>
      </c>
      <c r="I37" s="20"/>
      <c r="J37" s="28">
        <f>SUM(F37:H37)</f>
        <v>0</v>
      </c>
    </row>
    <row r="38" spans="1:10">
      <c r="A38" s="8">
        <f t="shared" si="0"/>
        <v>29</v>
      </c>
      <c r="F38" s="19"/>
      <c r="G38" s="19"/>
      <c r="H38" s="908"/>
      <c r="I38" s="19"/>
      <c r="J38" s="19"/>
    </row>
    <row r="39" spans="1:10" ht="12.75" thickBot="1">
      <c r="A39" s="8">
        <f t="shared" si="0"/>
        <v>30</v>
      </c>
      <c r="D39" s="2" t="s">
        <v>931</v>
      </c>
      <c r="F39" s="29">
        <f>SUM(F35:F37)</f>
        <v>19035244657.50861</v>
      </c>
      <c r="G39" s="19"/>
      <c r="H39" s="909">
        <f>SUM(H35:H37)</f>
        <v>3258889139.7400002</v>
      </c>
      <c r="I39" s="19"/>
      <c r="J39" s="29">
        <f>SUM(J35:J37)</f>
        <v>22294133797.248611</v>
      </c>
    </row>
    <row r="40" spans="1:10" ht="12.75" thickTop="1">
      <c r="H40" s="906"/>
    </row>
    <row r="41" spans="1:10">
      <c r="H41" s="906"/>
    </row>
    <row r="42" spans="1:10">
      <c r="H42" s="906"/>
    </row>
    <row r="43" spans="1:10">
      <c r="H43" s="906"/>
    </row>
    <row r="44" spans="1:10">
      <c r="H44" s="906"/>
    </row>
    <row r="45" spans="1:10">
      <c r="H45" s="906"/>
    </row>
    <row r="46" spans="1:10">
      <c r="H46" s="906"/>
    </row>
  </sheetData>
  <phoneticPr fontId="15" type="noConversion"/>
  <pageMargins left="0.5" right="0.25" top="0.5" bottom="0.25" header="0.75" footer="0.5"/>
  <pageSetup scale="82" orientation="portrait" r:id="rId1"/>
  <headerFooter alignWithMargins="0">
    <oddFooter>&amp;CPage  &amp;P  of  &amp;N</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00FFCC"/>
    <pageSetUpPr fitToPage="1"/>
  </sheetPr>
  <dimension ref="A1:P39"/>
  <sheetViews>
    <sheetView showGridLines="0" zoomScaleNormal="100" workbookViewId="0">
      <selection activeCell="D37" sqref="D37"/>
    </sheetView>
  </sheetViews>
  <sheetFormatPr defaultColWidth="8" defaultRowHeight="12"/>
  <cols>
    <col min="1" max="1" width="4" style="8" customWidth="1"/>
    <col min="2" max="2" width="2.33203125" style="2" customWidth="1"/>
    <col min="3" max="3" width="3.21875" style="2" customWidth="1"/>
    <col min="4" max="4" width="42.33203125" style="2" customWidth="1"/>
    <col min="5" max="5" width="0.88671875" style="2" customWidth="1"/>
    <col min="6" max="6" width="11.77734375" style="2" customWidth="1"/>
    <col min="7" max="7" width="0.88671875" style="2" customWidth="1"/>
    <col min="8" max="8" width="10.44140625" style="3" customWidth="1"/>
    <col min="9" max="9" width="0.88671875" style="2" customWidth="1"/>
    <col min="10" max="10" width="12.109375" style="2" bestFit="1" customWidth="1"/>
    <col min="11" max="11" width="0.88671875" style="2" customWidth="1"/>
    <col min="12" max="12" width="10.33203125" style="2" customWidth="1"/>
    <col min="13" max="16384" width="8" style="2"/>
  </cols>
  <sheetData>
    <row r="1" spans="1:16">
      <c r="A1" s="1" t="s">
        <v>855</v>
      </c>
      <c r="L1" s="48" t="str">
        <f>Cover!C1</f>
        <v>2018 Workpapers</v>
      </c>
    </row>
    <row r="2" spans="1:16">
      <c r="A2" s="5" t="s">
        <v>940</v>
      </c>
      <c r="L2" s="4"/>
    </row>
    <row r="3" spans="1:16">
      <c r="A3" s="6" t="s">
        <v>1109</v>
      </c>
      <c r="L3" s="7"/>
      <c r="P3" s="139"/>
    </row>
    <row r="4" spans="1:16">
      <c r="A4" s="858"/>
      <c r="H4" s="149"/>
    </row>
    <row r="5" spans="1:16">
      <c r="D5" s="9"/>
      <c r="E5" s="9"/>
    </row>
    <row r="6" spans="1:16">
      <c r="D6" s="9"/>
      <c r="E6" s="9"/>
      <c r="J6" s="10"/>
    </row>
    <row r="7" spans="1:16">
      <c r="A7" s="5" t="s">
        <v>46</v>
      </c>
      <c r="F7" s="10"/>
      <c r="G7" s="11"/>
      <c r="H7" s="10"/>
      <c r="I7" s="10"/>
      <c r="J7" s="10" t="s">
        <v>23</v>
      </c>
    </row>
    <row r="8" spans="1:16">
      <c r="A8" s="12" t="s">
        <v>22</v>
      </c>
      <c r="C8" s="13"/>
      <c r="D8" s="12" t="s">
        <v>33</v>
      </c>
      <c r="E8" s="11"/>
      <c r="F8" s="14" t="s">
        <v>876</v>
      </c>
      <c r="G8" s="11"/>
      <c r="H8" s="15" t="s">
        <v>877</v>
      </c>
      <c r="I8" s="10"/>
      <c r="J8" s="15" t="s">
        <v>878</v>
      </c>
    </row>
    <row r="9" spans="1:16">
      <c r="F9" s="16"/>
      <c r="H9" s="16"/>
      <c r="J9" s="16"/>
    </row>
    <row r="10" spans="1:16">
      <c r="A10" s="8">
        <v>1</v>
      </c>
      <c r="B10" s="186" t="s">
        <v>112</v>
      </c>
      <c r="C10" s="186"/>
      <c r="D10" s="186"/>
      <c r="F10" s="18"/>
      <c r="H10" s="18"/>
      <c r="J10" s="18"/>
    </row>
    <row r="11" spans="1:16">
      <c r="A11" s="8">
        <f t="shared" ref="A11:A34" si="0">+A10+1</f>
        <v>2</v>
      </c>
      <c r="B11" s="19"/>
      <c r="C11" s="19"/>
      <c r="D11" s="19" t="s">
        <v>933</v>
      </c>
      <c r="F11" s="997">
        <f>5000035043.54</f>
        <v>5000035043.54</v>
      </c>
      <c r="G11" s="20"/>
      <c r="H11" s="997">
        <f>768988525</f>
        <v>768988525</v>
      </c>
      <c r="I11" s="20"/>
      <c r="J11" s="21">
        <f>SUM(F11:H11)</f>
        <v>5769023568.54</v>
      </c>
    </row>
    <row r="12" spans="1:16">
      <c r="A12" s="8">
        <f t="shared" si="0"/>
        <v>3</v>
      </c>
      <c r="B12" s="19"/>
      <c r="C12" s="19"/>
      <c r="D12" s="19" t="s">
        <v>934</v>
      </c>
      <c r="F12" s="997">
        <f>225507911.241761</f>
        <v>225507911.241761</v>
      </c>
      <c r="G12" s="20"/>
      <c r="H12" s="997">
        <f>38021977.2393581</f>
        <v>38021977.239358097</v>
      </c>
      <c r="I12" s="20"/>
      <c r="J12" s="22">
        <f>SUM(F12:H12)</f>
        <v>263529888.4811191</v>
      </c>
    </row>
    <row r="13" spans="1:16">
      <c r="A13" s="8">
        <f t="shared" si="0"/>
        <v>4</v>
      </c>
      <c r="B13" s="19"/>
      <c r="C13" s="19"/>
      <c r="D13" s="19" t="s">
        <v>935</v>
      </c>
      <c r="F13" s="328"/>
      <c r="H13" s="328"/>
      <c r="J13" s="23">
        <f>+J12/J11</f>
        <v>4.5680154596389022E-2</v>
      </c>
    </row>
    <row r="14" spans="1:16">
      <c r="A14" s="8">
        <f t="shared" si="0"/>
        <v>5</v>
      </c>
      <c r="B14" s="19"/>
      <c r="C14" s="19"/>
      <c r="D14" s="19"/>
      <c r="F14" s="329"/>
      <c r="G14" s="20"/>
      <c r="H14" s="329"/>
      <c r="I14" s="20"/>
      <c r="J14" s="25"/>
    </row>
    <row r="15" spans="1:16">
      <c r="A15" s="8">
        <f t="shared" si="0"/>
        <v>6</v>
      </c>
      <c r="B15" s="19"/>
      <c r="C15" s="19"/>
      <c r="D15" s="19"/>
      <c r="E15" s="8"/>
      <c r="F15" s="330"/>
      <c r="G15" s="20"/>
      <c r="H15" s="330"/>
      <c r="I15" s="20"/>
      <c r="J15" s="22"/>
    </row>
    <row r="16" spans="1:16">
      <c r="A16" s="8">
        <f t="shared" si="0"/>
        <v>7</v>
      </c>
      <c r="B16" s="186" t="s">
        <v>113</v>
      </c>
      <c r="C16" s="186"/>
      <c r="D16" s="186"/>
      <c r="F16" s="330"/>
      <c r="G16" s="20"/>
      <c r="H16" s="330"/>
      <c r="I16" s="20"/>
      <c r="J16" s="22"/>
    </row>
    <row r="17" spans="1:12">
      <c r="A17" s="8">
        <f t="shared" si="0"/>
        <v>8</v>
      </c>
      <c r="B17" s="19"/>
      <c r="C17" s="19"/>
      <c r="D17" s="19" t="s">
        <v>936</v>
      </c>
      <c r="F17" s="998">
        <f>5749420735.79077</f>
        <v>5749420735.7907696</v>
      </c>
      <c r="G17" s="27"/>
      <c r="H17" s="998">
        <f>914936161.744001</f>
        <v>914936161.74400103</v>
      </c>
      <c r="I17" s="27"/>
      <c r="J17" s="21">
        <f>SUM(F17:H17)</f>
        <v>6664356897.534771</v>
      </c>
    </row>
    <row r="18" spans="1:12">
      <c r="A18" s="8">
        <f t="shared" si="0"/>
        <v>9</v>
      </c>
      <c r="B18" s="19"/>
      <c r="C18" s="19"/>
      <c r="D18" s="19" t="s">
        <v>937</v>
      </c>
      <c r="F18" s="327">
        <v>0</v>
      </c>
      <c r="G18" s="20"/>
      <c r="H18" s="327">
        <v>0</v>
      </c>
      <c r="I18" s="20"/>
      <c r="J18" s="22">
        <f>SUM(F18:H18)</f>
        <v>0</v>
      </c>
    </row>
    <row r="19" spans="1:12">
      <c r="A19" s="8">
        <f t="shared" si="0"/>
        <v>10</v>
      </c>
      <c r="B19" s="19"/>
      <c r="C19" s="19"/>
      <c r="D19" s="19" t="s">
        <v>938</v>
      </c>
      <c r="F19" s="999">
        <f>3406649.06</f>
        <v>3406649.06</v>
      </c>
      <c r="G19" s="20"/>
      <c r="H19" s="1000">
        <f>-2457567.68</f>
        <v>-2457567.6800000002</v>
      </c>
      <c r="I19" s="20"/>
      <c r="J19" s="28">
        <f>SUM(F19:H19)</f>
        <v>949081.37999999989</v>
      </c>
    </row>
    <row r="20" spans="1:12">
      <c r="A20" s="8">
        <f t="shared" si="0"/>
        <v>11</v>
      </c>
      <c r="B20" s="19"/>
      <c r="C20" s="19"/>
      <c r="D20" s="19"/>
      <c r="F20" s="19"/>
      <c r="G20" s="19"/>
      <c r="H20" s="19"/>
      <c r="I20" s="19"/>
      <c r="J20" s="19"/>
    </row>
    <row r="21" spans="1:12" ht="12.75" thickBot="1">
      <c r="A21" s="8">
        <f t="shared" si="0"/>
        <v>12</v>
      </c>
      <c r="B21" s="19"/>
      <c r="C21" s="19"/>
      <c r="D21" s="19" t="s">
        <v>939</v>
      </c>
      <c r="F21" s="29">
        <f>SUM(F17:F19)</f>
        <v>5752827384.85077</v>
      </c>
      <c r="G21" s="19"/>
      <c r="H21" s="29">
        <f>SUM(H17:H19)</f>
        <v>912478594.06400108</v>
      </c>
      <c r="I21" s="19"/>
      <c r="J21" s="29">
        <f>SUM(J17:J19)</f>
        <v>6665305978.9147711</v>
      </c>
    </row>
    <row r="22" spans="1:12" ht="12.75" thickTop="1">
      <c r="A22" s="8">
        <f t="shared" si="0"/>
        <v>13</v>
      </c>
      <c r="B22" s="19"/>
      <c r="C22" s="19"/>
      <c r="D22" s="19"/>
      <c r="F22" s="26"/>
      <c r="G22" s="20"/>
      <c r="H22" s="26"/>
      <c r="I22" s="20"/>
      <c r="J22" s="26"/>
    </row>
    <row r="23" spans="1:12">
      <c r="A23" s="8">
        <f t="shared" si="0"/>
        <v>14</v>
      </c>
      <c r="B23" s="19"/>
      <c r="C23" s="19"/>
      <c r="D23" s="19"/>
      <c r="E23" s="19"/>
      <c r="F23" s="19"/>
      <c r="G23" s="19"/>
      <c r="H23" s="19"/>
      <c r="I23" s="19"/>
      <c r="J23" s="19"/>
    </row>
    <row r="24" spans="1:12">
      <c r="A24" s="8">
        <f t="shared" si="0"/>
        <v>15</v>
      </c>
      <c r="F24" s="19"/>
      <c r="G24" s="19"/>
      <c r="H24" s="19"/>
      <c r="I24" s="19"/>
      <c r="J24" s="19"/>
    </row>
    <row r="25" spans="1:12">
      <c r="A25" s="8">
        <f t="shared" si="0"/>
        <v>16</v>
      </c>
      <c r="F25" s="19"/>
      <c r="G25" s="19"/>
      <c r="H25" s="19"/>
      <c r="I25" s="19"/>
      <c r="J25" s="19"/>
    </row>
    <row r="26" spans="1:12">
      <c r="A26" s="8">
        <f t="shared" si="0"/>
        <v>17</v>
      </c>
      <c r="B26" s="17" t="s">
        <v>940</v>
      </c>
      <c r="C26" s="17"/>
      <c r="D26" s="17"/>
      <c r="E26" s="19"/>
      <c r="F26" s="30" t="s">
        <v>65</v>
      </c>
      <c r="G26" s="31"/>
      <c r="H26" s="30" t="s">
        <v>16</v>
      </c>
      <c r="I26" s="31"/>
      <c r="J26" s="30" t="s">
        <v>39</v>
      </c>
      <c r="K26" s="10"/>
      <c r="L26" s="15" t="s">
        <v>38</v>
      </c>
    </row>
    <row r="27" spans="1:12">
      <c r="A27" s="8">
        <f t="shared" si="0"/>
        <v>18</v>
      </c>
      <c r="B27" s="19"/>
      <c r="C27" s="19"/>
      <c r="D27" s="19"/>
      <c r="E27" s="19"/>
      <c r="F27" s="19"/>
      <c r="G27" s="19"/>
      <c r="H27" s="19"/>
      <c r="I27" s="19"/>
      <c r="J27" s="19"/>
    </row>
    <row r="28" spans="1:12">
      <c r="A28" s="8">
        <f t="shared" si="0"/>
        <v>19</v>
      </c>
      <c r="B28" s="19"/>
      <c r="C28" s="19"/>
      <c r="D28" s="19" t="s">
        <v>932</v>
      </c>
      <c r="E28" s="19"/>
      <c r="F28" s="32">
        <f>+J11</f>
        <v>5769023568.54</v>
      </c>
      <c r="G28" s="19"/>
      <c r="H28" s="33">
        <f>+F28/$F$34</f>
        <v>0.46395935916954067</v>
      </c>
      <c r="I28" s="19"/>
      <c r="J28" s="34">
        <f>+J13</f>
        <v>4.5680154596389022E-2</v>
      </c>
      <c r="L28" s="35">
        <f>+H28*J28</f>
        <v>2.1193735253306197E-2</v>
      </c>
    </row>
    <row r="29" spans="1:12">
      <c r="A29" s="8">
        <f t="shared" si="0"/>
        <v>20</v>
      </c>
      <c r="B29" s="19"/>
      <c r="C29" s="19"/>
      <c r="D29" s="19"/>
      <c r="E29" s="8"/>
      <c r="F29" s="19"/>
      <c r="G29" s="19"/>
      <c r="H29" s="19"/>
      <c r="I29" s="19"/>
      <c r="J29" s="36"/>
      <c r="L29" s="35"/>
    </row>
    <row r="30" spans="1:12">
      <c r="A30" s="8">
        <f t="shared" si="0"/>
        <v>21</v>
      </c>
      <c r="B30" s="19"/>
      <c r="C30" s="19"/>
      <c r="D30" s="19" t="s">
        <v>848</v>
      </c>
      <c r="F30" s="37">
        <f>-J18</f>
        <v>0</v>
      </c>
      <c r="G30" s="19"/>
      <c r="H30" s="33">
        <f>+F30/$F$34</f>
        <v>0</v>
      </c>
      <c r="I30" s="19"/>
      <c r="J30" s="34">
        <v>0</v>
      </c>
      <c r="L30" s="35">
        <f>+H30*J30</f>
        <v>0</v>
      </c>
    </row>
    <row r="31" spans="1:12">
      <c r="A31" s="8">
        <f t="shared" si="0"/>
        <v>22</v>
      </c>
      <c r="B31" s="19"/>
      <c r="C31" s="19"/>
      <c r="D31" s="19"/>
      <c r="F31" s="19"/>
      <c r="G31" s="19"/>
      <c r="H31" s="19"/>
      <c r="I31" s="19"/>
      <c r="J31" s="36"/>
      <c r="L31" s="35"/>
    </row>
    <row r="32" spans="1:12">
      <c r="A32" s="8">
        <f t="shared" si="0"/>
        <v>23</v>
      </c>
      <c r="B32" s="19"/>
      <c r="C32" s="19"/>
      <c r="D32" s="19" t="s">
        <v>941</v>
      </c>
      <c r="F32" s="38">
        <f>+J21</f>
        <v>6665305978.9147711</v>
      </c>
      <c r="G32" s="19"/>
      <c r="H32" s="39">
        <f>+F32/$F$34</f>
        <v>0.53604064083045933</v>
      </c>
      <c r="I32" s="19"/>
      <c r="J32" s="992">
        <v>0.1082</v>
      </c>
      <c r="L32" s="40">
        <f>+H32*J32</f>
        <v>5.7999597337855702E-2</v>
      </c>
    </row>
    <row r="33" spans="1:12">
      <c r="A33" s="8">
        <f t="shared" si="0"/>
        <v>24</v>
      </c>
      <c r="B33" s="19"/>
      <c r="C33" s="19"/>
      <c r="D33" s="19"/>
      <c r="F33" s="19"/>
      <c r="G33" s="19"/>
      <c r="H33" s="19"/>
      <c r="I33" s="19"/>
      <c r="J33" s="19"/>
      <c r="L33" s="35"/>
    </row>
    <row r="34" spans="1:12" ht="12.75" thickBot="1">
      <c r="A34" s="8">
        <f t="shared" si="0"/>
        <v>25</v>
      </c>
      <c r="B34" s="19"/>
      <c r="C34" s="19"/>
      <c r="D34" s="19" t="s">
        <v>942</v>
      </c>
      <c r="F34" s="29">
        <f>SUM(F28:F32)</f>
        <v>12434329547.454771</v>
      </c>
      <c r="G34" s="19"/>
      <c r="H34" s="33">
        <f>+F34/$F$34</f>
        <v>1</v>
      </c>
      <c r="I34" s="19"/>
      <c r="J34" s="19"/>
      <c r="L34" s="41">
        <f>SUM(L28:L32)</f>
        <v>7.9193332591161902E-2</v>
      </c>
    </row>
    <row r="35" spans="1:12" ht="12.75" thickTop="1">
      <c r="B35" s="19"/>
      <c r="C35" s="19"/>
      <c r="D35" s="19"/>
      <c r="F35" s="19"/>
      <c r="G35" s="19"/>
      <c r="H35" s="19"/>
      <c r="I35" s="19"/>
      <c r="J35" s="19"/>
    </row>
    <row r="36" spans="1:12">
      <c r="B36" s="19"/>
      <c r="C36" s="19"/>
      <c r="D36" s="19"/>
      <c r="F36" s="19"/>
      <c r="G36" s="19"/>
      <c r="H36" s="19"/>
      <c r="I36" s="19"/>
      <c r="J36" s="19"/>
    </row>
    <row r="37" spans="1:12">
      <c r="B37" s="19"/>
      <c r="C37" s="19"/>
      <c r="D37" s="19"/>
      <c r="F37" s="19"/>
      <c r="G37" s="19"/>
      <c r="H37" s="19"/>
      <c r="I37" s="19"/>
      <c r="J37" s="19"/>
    </row>
    <row r="38" spans="1:12">
      <c r="B38" s="19"/>
      <c r="C38" s="19"/>
      <c r="D38" s="19"/>
      <c r="F38" s="19"/>
      <c r="G38" s="19"/>
      <c r="H38" s="19"/>
      <c r="I38" s="19"/>
      <c r="J38" s="19"/>
    </row>
    <row r="39" spans="1:12" ht="30">
      <c r="D39" s="888"/>
      <c r="F39" s="19"/>
      <c r="G39" s="19"/>
      <c r="H39" s="19"/>
      <c r="I39" s="19"/>
      <c r="J39" s="19"/>
    </row>
  </sheetData>
  <phoneticPr fontId="15" type="noConversion"/>
  <pageMargins left="0.5" right="0.25" top="0.5" bottom="0.25" header="0.75" footer="0.5"/>
  <pageSetup scale="82" orientation="portrait" horizontalDpi="1200" verticalDpi="1200" r:id="rId1"/>
  <headerFooter alignWithMargins="0">
    <oddFooter>&amp;CPage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pageSetUpPr fitToPage="1"/>
  </sheetPr>
  <dimension ref="A1:L39"/>
  <sheetViews>
    <sheetView showGridLines="0" workbookViewId="0">
      <selection activeCell="F45" sqref="F45"/>
    </sheetView>
  </sheetViews>
  <sheetFormatPr defaultColWidth="8" defaultRowHeight="12.75"/>
  <cols>
    <col min="1" max="1" width="4" style="248" customWidth="1"/>
    <col min="2" max="2" width="2.33203125" style="244" customWidth="1"/>
    <col min="3" max="3" width="3.21875" style="244" customWidth="1"/>
    <col min="4" max="4" width="36.44140625" style="244" bestFit="1" customWidth="1"/>
    <col min="5" max="5" width="0.88671875" style="244" customWidth="1"/>
    <col min="6" max="6" width="11.77734375" style="244" customWidth="1"/>
    <col min="7" max="7" width="0.88671875" style="244" customWidth="1"/>
    <col min="8" max="8" width="10.44140625" style="245" customWidth="1"/>
    <col min="9" max="9" width="0.88671875" style="244" customWidth="1"/>
    <col min="10" max="10" width="10.44140625" style="244" bestFit="1" customWidth="1"/>
    <col min="11" max="11" width="8" style="244"/>
    <col min="12" max="12" width="11.5546875" style="244" bestFit="1" customWidth="1"/>
    <col min="13" max="13" width="8.77734375" style="244" bestFit="1" customWidth="1"/>
    <col min="14" max="16384" width="8" style="244"/>
  </cols>
  <sheetData>
    <row r="1" spans="1:12" s="2" customFormat="1" ht="12">
      <c r="A1" s="1" t="s">
        <v>855</v>
      </c>
      <c r="H1" s="3"/>
      <c r="J1" s="48" t="str">
        <f>Cover!C1</f>
        <v>2018 Workpapers</v>
      </c>
    </row>
    <row r="2" spans="1:12" s="2" customFormat="1" ht="12">
      <c r="A2" s="5" t="s">
        <v>172</v>
      </c>
      <c r="H2" s="3"/>
      <c r="J2" s="4"/>
    </row>
    <row r="3" spans="1:12">
      <c r="A3" s="6" t="s">
        <v>1109</v>
      </c>
      <c r="J3" s="247"/>
    </row>
    <row r="4" spans="1:12">
      <c r="A4" s="858"/>
      <c r="H4" s="361"/>
      <c r="I4" s="363"/>
      <c r="J4" s="363"/>
    </row>
    <row r="5" spans="1:12">
      <c r="D5" s="249"/>
      <c r="E5" s="249"/>
      <c r="G5" s="360"/>
      <c r="H5" s="361"/>
      <c r="I5" s="363"/>
      <c r="J5" s="363"/>
      <c r="K5" s="360"/>
      <c r="L5" s="360"/>
    </row>
    <row r="6" spans="1:12">
      <c r="D6" s="249"/>
      <c r="E6" s="249"/>
      <c r="G6" s="360"/>
      <c r="H6" s="361"/>
      <c r="I6" s="363"/>
      <c r="J6" s="364"/>
      <c r="K6" s="360"/>
      <c r="L6" s="360"/>
    </row>
    <row r="7" spans="1:12">
      <c r="A7" s="205" t="s">
        <v>46</v>
      </c>
      <c r="F7" s="250"/>
      <c r="G7" s="364"/>
      <c r="H7" s="364"/>
      <c r="I7" s="364"/>
      <c r="J7" s="364" t="s">
        <v>23</v>
      </c>
      <c r="K7" s="360"/>
      <c r="L7" s="360"/>
    </row>
    <row r="8" spans="1:12">
      <c r="A8" s="252" t="s">
        <v>22</v>
      </c>
      <c r="C8" s="253"/>
      <c r="D8" s="252" t="s">
        <v>33</v>
      </c>
      <c r="E8" s="251"/>
      <c r="F8" s="254" t="s">
        <v>876</v>
      </c>
      <c r="G8" s="364"/>
      <c r="H8" s="254" t="s">
        <v>877</v>
      </c>
      <c r="I8" s="364"/>
      <c r="J8" s="254" t="s">
        <v>878</v>
      </c>
      <c r="K8" s="360"/>
      <c r="L8" s="360"/>
    </row>
    <row r="9" spans="1:12">
      <c r="F9" s="256"/>
      <c r="G9" s="360"/>
      <c r="H9" s="361"/>
      <c r="I9" s="363"/>
      <c r="J9" s="361"/>
      <c r="K9" s="360"/>
      <c r="L9" s="360"/>
    </row>
    <row r="10" spans="1:12">
      <c r="A10" s="248">
        <v>1</v>
      </c>
      <c r="B10" s="257" t="s">
        <v>158</v>
      </c>
      <c r="C10" s="258"/>
      <c r="D10" s="258"/>
      <c r="F10" s="259"/>
      <c r="G10" s="360"/>
      <c r="H10" s="259"/>
      <c r="I10" s="363"/>
      <c r="J10" s="259"/>
      <c r="K10" s="360"/>
      <c r="L10" s="360"/>
    </row>
    <row r="11" spans="1:12">
      <c r="A11" s="248">
        <f t="shared" ref="A11:A25" si="0">+A10+1</f>
        <v>2</v>
      </c>
      <c r="C11" s="244" t="s">
        <v>159</v>
      </c>
      <c r="D11" s="244" t="s">
        <v>160</v>
      </c>
      <c r="F11" s="333">
        <v>0</v>
      </c>
      <c r="G11" s="366"/>
      <c r="H11" s="381">
        <v>0</v>
      </c>
      <c r="I11" s="362"/>
      <c r="J11" s="333">
        <f>SUM(F11:H11)</f>
        <v>0</v>
      </c>
      <c r="K11" s="360"/>
      <c r="L11" s="360"/>
    </row>
    <row r="12" spans="1:12">
      <c r="A12" s="248">
        <f t="shared" si="0"/>
        <v>3</v>
      </c>
      <c r="C12" s="261" t="s">
        <v>161</v>
      </c>
      <c r="D12" s="244" t="s">
        <v>162</v>
      </c>
      <c r="F12" s="336">
        <v>0</v>
      </c>
      <c r="G12" s="366"/>
      <c r="H12" s="382">
        <v>0</v>
      </c>
      <c r="I12" s="362"/>
      <c r="J12" s="336">
        <f>SUM(F12:H12)</f>
        <v>0</v>
      </c>
      <c r="K12" s="360"/>
      <c r="L12" s="360"/>
    </row>
    <row r="13" spans="1:12">
      <c r="A13" s="248">
        <f t="shared" si="0"/>
        <v>4</v>
      </c>
      <c r="C13" s="261"/>
      <c r="F13" s="262"/>
      <c r="G13" s="366"/>
      <c r="H13" s="383"/>
      <c r="I13" s="362"/>
      <c r="J13" s="262"/>
      <c r="K13" s="360"/>
      <c r="L13" s="360"/>
    </row>
    <row r="14" spans="1:12">
      <c r="A14" s="248">
        <f t="shared" si="0"/>
        <v>5</v>
      </c>
      <c r="C14" s="248"/>
      <c r="D14" s="244" t="s">
        <v>163</v>
      </c>
      <c r="F14" s="263">
        <f>SUM(F11:F12)</f>
        <v>0</v>
      </c>
      <c r="G14" s="366"/>
      <c r="H14" s="384">
        <f>SUM(H11:H12)</f>
        <v>0</v>
      </c>
      <c r="I14" s="362"/>
      <c r="J14" s="263">
        <f>SUM(J11:J12)</f>
        <v>0</v>
      </c>
      <c r="K14" s="360"/>
      <c r="L14" s="360"/>
    </row>
    <row r="15" spans="1:12">
      <c r="A15" s="248">
        <f t="shared" si="0"/>
        <v>6</v>
      </c>
      <c r="C15" s="248"/>
      <c r="F15" s="263"/>
      <c r="G15" s="366"/>
      <c r="H15" s="384"/>
      <c r="I15" s="362"/>
      <c r="J15" s="263"/>
      <c r="K15" s="360"/>
      <c r="L15" s="360"/>
    </row>
    <row r="16" spans="1:12">
      <c r="A16" s="248">
        <f t="shared" si="0"/>
        <v>7</v>
      </c>
      <c r="D16" s="248"/>
      <c r="E16" s="248"/>
      <c r="F16" s="264"/>
      <c r="G16" s="366"/>
      <c r="H16" s="385"/>
      <c r="I16" s="362"/>
      <c r="J16" s="264"/>
      <c r="K16" s="360"/>
      <c r="L16" s="360"/>
    </row>
    <row r="17" spans="1:12">
      <c r="A17" s="248">
        <f t="shared" si="0"/>
        <v>8</v>
      </c>
      <c r="B17" s="257" t="s">
        <v>164</v>
      </c>
      <c r="C17" s="265"/>
      <c r="D17" s="257"/>
      <c r="F17" s="264"/>
      <c r="G17" s="366"/>
      <c r="H17" s="385"/>
      <c r="I17" s="362"/>
      <c r="J17" s="264"/>
      <c r="K17" s="360"/>
      <c r="L17" s="360"/>
    </row>
    <row r="18" spans="1:12">
      <c r="A18" s="248">
        <f t="shared" si="0"/>
        <v>9</v>
      </c>
      <c r="C18" s="248"/>
      <c r="D18" s="244" t="s">
        <v>1085</v>
      </c>
      <c r="F18" s="1054">
        <v>1200206.2966666666</v>
      </c>
      <c r="G18" s="367"/>
      <c r="H18" s="381">
        <v>0</v>
      </c>
      <c r="I18" s="365"/>
      <c r="J18" s="333">
        <f>SUM(F18:H18)</f>
        <v>1200206.2966666666</v>
      </c>
      <c r="K18" s="360"/>
      <c r="L18" s="360"/>
    </row>
    <row r="19" spans="1:12">
      <c r="A19" s="248">
        <f t="shared" si="0"/>
        <v>10</v>
      </c>
      <c r="B19" s="200"/>
      <c r="C19" s="200"/>
      <c r="D19" s="200"/>
      <c r="E19" s="200"/>
      <c r="F19" s="200"/>
      <c r="G19" s="199"/>
      <c r="H19" s="199"/>
      <c r="I19" s="210"/>
      <c r="J19" s="200"/>
      <c r="K19" s="360"/>
      <c r="L19" s="360"/>
    </row>
    <row r="20" spans="1:12">
      <c r="A20" s="248">
        <f t="shared" si="0"/>
        <v>11</v>
      </c>
      <c r="B20" s="200"/>
      <c r="C20" s="200"/>
      <c r="D20" s="200"/>
      <c r="E20" s="200"/>
      <c r="F20" s="200"/>
      <c r="G20" s="199"/>
      <c r="H20" s="199"/>
      <c r="I20" s="210"/>
      <c r="J20" s="200"/>
      <c r="K20" s="360"/>
      <c r="L20" s="360"/>
    </row>
    <row r="21" spans="1:12">
      <c r="A21" s="248">
        <f t="shared" si="0"/>
        <v>12</v>
      </c>
      <c r="B21" s="257" t="s">
        <v>165</v>
      </c>
      <c r="C21" s="265"/>
      <c r="D21" s="257"/>
      <c r="E21" s="200"/>
      <c r="F21" s="200"/>
      <c r="G21" s="199"/>
      <c r="H21" s="199"/>
      <c r="I21" s="210"/>
      <c r="J21" s="200"/>
      <c r="K21" s="360"/>
      <c r="L21" s="360"/>
    </row>
    <row r="22" spans="1:12">
      <c r="A22" s="248">
        <f t="shared" si="0"/>
        <v>13</v>
      </c>
      <c r="C22" s="248" t="s">
        <v>159</v>
      </c>
      <c r="D22" s="244" t="s">
        <v>166</v>
      </c>
      <c r="E22" s="200"/>
      <c r="F22" s="333">
        <f>'Revenue Cr MISO Review'!F32</f>
        <v>246743189.60206586</v>
      </c>
      <c r="G22" s="366"/>
      <c r="H22" s="381">
        <v>0</v>
      </c>
      <c r="I22" s="362"/>
      <c r="J22" s="333">
        <f>SUM(F22:H22)</f>
        <v>246743189.60206586</v>
      </c>
      <c r="K22" s="360"/>
      <c r="L22" s="360"/>
    </row>
    <row r="23" spans="1:12">
      <c r="A23" s="248">
        <f t="shared" si="0"/>
        <v>14</v>
      </c>
      <c r="B23" s="200"/>
      <c r="C23" s="200" t="s">
        <v>161</v>
      </c>
      <c r="D23" s="200" t="s">
        <v>167</v>
      </c>
      <c r="E23" s="200"/>
      <c r="F23" s="334">
        <f>'Revenue Cr MISO Review'!F33</f>
        <v>91932128.9999457</v>
      </c>
      <c r="G23" s="368"/>
      <c r="H23" s="386">
        <v>0</v>
      </c>
      <c r="I23" s="362"/>
      <c r="J23" s="334">
        <f>SUM(F23:H23)</f>
        <v>91932128.9999457</v>
      </c>
      <c r="K23" s="360"/>
      <c r="L23" s="360"/>
    </row>
    <row r="24" spans="1:12">
      <c r="A24" s="248">
        <f t="shared" si="0"/>
        <v>15</v>
      </c>
      <c r="B24" s="200"/>
      <c r="D24" s="200" t="s">
        <v>175</v>
      </c>
      <c r="E24" s="200"/>
      <c r="F24" s="335"/>
      <c r="G24" s="366"/>
      <c r="H24" s="311"/>
      <c r="I24" s="362"/>
      <c r="J24" s="335"/>
      <c r="K24" s="360"/>
      <c r="L24" s="360"/>
    </row>
    <row r="25" spans="1:12">
      <c r="A25" s="248">
        <f t="shared" si="0"/>
        <v>16</v>
      </c>
      <c r="B25" s="200"/>
      <c r="C25" s="200" t="s">
        <v>168</v>
      </c>
      <c r="D25" s="200" t="s">
        <v>169</v>
      </c>
      <c r="E25" s="200"/>
      <c r="F25" s="334">
        <f>'Revenue Cr MISO Review'!F34</f>
        <v>73025162.952671289</v>
      </c>
      <c r="G25" s="368"/>
      <c r="H25" s="386">
        <v>0</v>
      </c>
      <c r="I25" s="362"/>
      <c r="J25" s="334">
        <f>SUM(F25:H25)</f>
        <v>73025162.952671289</v>
      </c>
      <c r="K25" s="363"/>
      <c r="L25" s="360"/>
    </row>
    <row r="26" spans="1:12">
      <c r="A26" s="248">
        <f>+A25+1</f>
        <v>17</v>
      </c>
      <c r="B26" s="200"/>
      <c r="C26" s="200" t="s">
        <v>168</v>
      </c>
      <c r="D26" s="200" t="s">
        <v>169</v>
      </c>
      <c r="E26" s="200"/>
      <c r="F26" s="334">
        <f>'Revenue Cr MISO Review'!F35</f>
        <v>70238658.415941745</v>
      </c>
      <c r="G26" s="368"/>
      <c r="H26" s="386">
        <v>0</v>
      </c>
      <c r="I26" s="362"/>
      <c r="J26" s="334">
        <f>SUM(F26:H26)</f>
        <v>70238658.415941745</v>
      </c>
      <c r="K26" s="363"/>
      <c r="L26" s="360"/>
    </row>
    <row r="27" spans="1:12">
      <c r="A27" s="248">
        <f>+A25+1</f>
        <v>17</v>
      </c>
      <c r="B27" s="200"/>
      <c r="C27" s="200"/>
      <c r="D27" s="200" t="s">
        <v>170</v>
      </c>
      <c r="E27" s="200"/>
      <c r="F27" s="358">
        <f>F22-F23-F25-F26</f>
        <v>11547239.233507127</v>
      </c>
      <c r="G27" s="362"/>
      <c r="H27" s="358">
        <f>H22-H23-H25-H26</f>
        <v>0</v>
      </c>
      <c r="I27" s="362"/>
      <c r="J27" s="358">
        <f>J22-J23-J25-J26</f>
        <v>11547239.233507127</v>
      </c>
      <c r="K27" s="363"/>
      <c r="L27" s="360"/>
    </row>
    <row r="28" spans="1:12">
      <c r="B28" s="200"/>
      <c r="C28" s="200"/>
      <c r="E28" s="200"/>
      <c r="F28" s="200"/>
      <c r="G28" s="200"/>
      <c r="H28" s="210"/>
      <c r="I28" s="210"/>
      <c r="J28" s="210"/>
      <c r="K28" s="360"/>
      <c r="L28" s="360"/>
    </row>
    <row r="29" spans="1:12">
      <c r="A29" s="248">
        <v>18</v>
      </c>
      <c r="B29" s="257" t="s">
        <v>201</v>
      </c>
      <c r="C29" s="257"/>
      <c r="D29" s="257"/>
      <c r="G29" s="200"/>
      <c r="H29" s="210"/>
      <c r="I29" s="210"/>
      <c r="J29" s="210"/>
      <c r="K29" s="360"/>
      <c r="L29" s="360"/>
    </row>
    <row r="30" spans="1:12" ht="13.5" thickBot="1">
      <c r="A30" s="248">
        <v>19</v>
      </c>
      <c r="D30" s="244" t="s">
        <v>980</v>
      </c>
      <c r="F30" s="312">
        <f>'Attachment GG'!$L$95</f>
        <v>79099113.931326166</v>
      </c>
      <c r="G30" s="360"/>
      <c r="H30" s="359"/>
      <c r="I30" s="360"/>
      <c r="J30" s="360"/>
      <c r="K30" s="360"/>
      <c r="L30" s="360"/>
    </row>
    <row r="31" spans="1:12" ht="13.5" thickTop="1">
      <c r="E31" s="248"/>
      <c r="G31" s="360"/>
      <c r="H31" s="359"/>
      <c r="I31" s="360"/>
      <c r="J31" s="360"/>
      <c r="K31" s="360"/>
      <c r="L31" s="360"/>
    </row>
    <row r="32" spans="1:12">
      <c r="A32" s="248">
        <v>20</v>
      </c>
      <c r="B32" s="257" t="s">
        <v>202</v>
      </c>
      <c r="C32" s="257"/>
      <c r="D32" s="257"/>
      <c r="G32" s="360"/>
      <c r="H32" s="359"/>
      <c r="I32" s="360"/>
      <c r="J32" s="360"/>
      <c r="K32" s="360"/>
      <c r="L32" s="360"/>
    </row>
    <row r="33" spans="1:12" ht="13.5" thickBot="1">
      <c r="A33" s="248">
        <v>21</v>
      </c>
      <c r="D33" s="244" t="s">
        <v>981</v>
      </c>
      <c r="F33" s="312">
        <f>'Attachment MM'!$P$91</f>
        <v>67602184.009921059</v>
      </c>
      <c r="G33" s="360"/>
      <c r="H33" s="359"/>
      <c r="I33" s="360"/>
      <c r="J33" s="360"/>
      <c r="K33" s="360"/>
      <c r="L33" s="360"/>
    </row>
    <row r="34" spans="1:12" ht="13.5" thickTop="1">
      <c r="G34" s="360"/>
      <c r="H34" s="359"/>
      <c r="I34" s="360"/>
      <c r="J34" s="360"/>
      <c r="K34" s="360"/>
      <c r="L34" s="360"/>
    </row>
    <row r="35" spans="1:12">
      <c r="G35" s="360"/>
      <c r="H35" s="359"/>
      <c r="I35" s="360"/>
      <c r="J35" s="360"/>
      <c r="K35" s="360"/>
      <c r="L35" s="360"/>
    </row>
    <row r="36" spans="1:12">
      <c r="F36" s="313"/>
      <c r="G36" s="360"/>
      <c r="H36" s="359"/>
      <c r="I36" s="360"/>
      <c r="J36" s="360"/>
      <c r="K36" s="360"/>
      <c r="L36" s="360"/>
    </row>
    <row r="37" spans="1:12">
      <c r="G37" s="360"/>
      <c r="H37" s="359"/>
      <c r="I37" s="360"/>
      <c r="J37" s="360"/>
      <c r="K37" s="360"/>
      <c r="L37" s="360"/>
    </row>
    <row r="38" spans="1:12" ht="15">
      <c r="B38" s="267" t="s">
        <v>171</v>
      </c>
      <c r="C38" s="268" t="s">
        <v>174</v>
      </c>
      <c r="G38" s="360"/>
      <c r="H38" s="359"/>
      <c r="I38" s="360"/>
      <c r="J38" s="360"/>
      <c r="K38" s="360"/>
      <c r="L38" s="360"/>
    </row>
    <row r="39" spans="1:12" ht="15">
      <c r="B39" s="269"/>
      <c r="C39" s="268" t="s">
        <v>173</v>
      </c>
    </row>
  </sheetData>
  <phoneticPr fontId="13" type="noConversion"/>
  <pageMargins left="0.5" right="0.25" top="0.5" bottom="0.25" header="0.75" footer="0.5"/>
  <pageSetup scale="92" orientation="portrait" r:id="rId1"/>
  <headerFooter alignWithMargins="0">
    <oddFooter>&amp;CPage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pageSetUpPr fitToPage="1"/>
  </sheetPr>
  <dimension ref="A1:O52"/>
  <sheetViews>
    <sheetView showGridLines="0" zoomScale="120" zoomScaleNormal="120" workbookViewId="0">
      <selection activeCell="H34" sqref="H34"/>
    </sheetView>
  </sheetViews>
  <sheetFormatPr defaultRowHeight="12.75"/>
  <cols>
    <col min="1" max="1" width="5.44140625" style="200" customWidth="1"/>
    <col min="2" max="2" width="1.77734375" style="200" customWidth="1"/>
    <col min="3" max="3" width="11" style="200" customWidth="1"/>
    <col min="4" max="4" width="14.33203125" style="200" customWidth="1"/>
    <col min="5" max="5" width="35.44140625" style="200" customWidth="1"/>
    <col min="6" max="6" width="14.77734375" style="200" bestFit="1" customWidth="1"/>
    <col min="7" max="7" width="4.77734375" style="210" customWidth="1"/>
    <col min="8" max="8" width="9.6640625" style="210" customWidth="1"/>
    <col min="9" max="10" width="10.109375" style="200" customWidth="1"/>
    <col min="11" max="11" width="20.77734375" style="200" bestFit="1" customWidth="1"/>
    <col min="12" max="13" width="8.88671875" style="200"/>
    <col min="14" max="14" width="13.77734375" style="890" customWidth="1"/>
    <col min="15" max="16384" width="8.88671875" style="200"/>
  </cols>
  <sheetData>
    <row r="1" spans="1:15">
      <c r="A1" s="203" t="s">
        <v>855</v>
      </c>
      <c r="J1" s="204" t="str">
        <f>Cover!C1</f>
        <v>2018 Workpapers</v>
      </c>
    </row>
    <row r="2" spans="1:15">
      <c r="A2" s="205" t="s">
        <v>157</v>
      </c>
    </row>
    <row r="3" spans="1:15">
      <c r="A3" s="6" t="s">
        <v>995</v>
      </c>
      <c r="B3" s="372"/>
      <c r="C3" s="372"/>
      <c r="D3" s="372"/>
      <c r="E3" s="372"/>
    </row>
    <row r="4" spans="1:15">
      <c r="A4" s="420"/>
    </row>
    <row r="5" spans="1:15">
      <c r="E5" s="200" t="s">
        <v>33</v>
      </c>
      <c r="F5" s="207"/>
      <c r="H5" s="960"/>
      <c r="I5" s="201"/>
      <c r="J5" s="201"/>
    </row>
    <row r="6" spans="1:15" s="206" customFormat="1" ht="38.25">
      <c r="A6" s="206" t="s">
        <v>146</v>
      </c>
      <c r="C6" s="1007" t="s">
        <v>1009</v>
      </c>
      <c r="D6" s="1007" t="s">
        <v>1010</v>
      </c>
      <c r="F6" s="882" t="s">
        <v>1112</v>
      </c>
      <c r="G6" s="243"/>
      <c r="H6" s="1008" t="s">
        <v>1034</v>
      </c>
      <c r="I6" s="1008" t="s">
        <v>1004</v>
      </c>
      <c r="J6" s="1008" t="s">
        <v>1058</v>
      </c>
      <c r="N6" s="890"/>
    </row>
    <row r="7" spans="1:15">
      <c r="F7" s="207"/>
      <c r="G7" s="212"/>
      <c r="H7" s="212"/>
      <c r="O7" s="206"/>
    </row>
    <row r="8" spans="1:15">
      <c r="A8" s="200">
        <v>1</v>
      </c>
      <c r="C8" s="200" t="s">
        <v>1007</v>
      </c>
      <c r="D8" s="200" t="s">
        <v>1008</v>
      </c>
      <c r="E8" s="199" t="s">
        <v>1014</v>
      </c>
      <c r="F8" s="939">
        <v>10834950.01350713</v>
      </c>
      <c r="G8" s="212"/>
      <c r="H8" s="212"/>
      <c r="I8" s="207">
        <f>F8</f>
        <v>10834950.01350713</v>
      </c>
      <c r="J8" s="207"/>
      <c r="O8" s="206"/>
    </row>
    <row r="9" spans="1:15">
      <c r="A9" s="200">
        <f>A8+1</f>
        <v>2</v>
      </c>
      <c r="C9" s="200" t="s">
        <v>1007</v>
      </c>
      <c r="D9" s="200" t="s">
        <v>1011</v>
      </c>
      <c r="E9" s="199" t="s">
        <v>1015</v>
      </c>
      <c r="F9" s="939">
        <v>337702.84999999992</v>
      </c>
      <c r="G9" s="212"/>
      <c r="H9" s="212"/>
      <c r="I9" s="207">
        <f>F9</f>
        <v>337702.84999999992</v>
      </c>
      <c r="J9" s="207"/>
      <c r="O9" s="206"/>
    </row>
    <row r="10" spans="1:15">
      <c r="A10" s="200">
        <f t="shared" ref="A10:A36" si="0">A9+1</f>
        <v>3</v>
      </c>
      <c r="C10" s="200" t="s">
        <v>1012</v>
      </c>
      <c r="D10" s="200" t="s">
        <v>1013</v>
      </c>
      <c r="E10" s="200" t="s">
        <v>1016</v>
      </c>
      <c r="F10" s="940">
        <f>29906337.44+3456421</f>
        <v>33362758.440000001</v>
      </c>
      <c r="G10" s="212" t="s">
        <v>192</v>
      </c>
      <c r="H10" s="212">
        <f>F10</f>
        <v>33362758.440000001</v>
      </c>
      <c r="I10" s="207"/>
      <c r="J10" s="207"/>
      <c r="O10" s="206"/>
    </row>
    <row r="11" spans="1:15">
      <c r="A11" s="200">
        <f t="shared" si="0"/>
        <v>4</v>
      </c>
      <c r="C11" s="200" t="s">
        <v>1038</v>
      </c>
      <c r="D11" s="200" t="s">
        <v>1039</v>
      </c>
      <c r="E11" s="200" t="s">
        <v>1035</v>
      </c>
      <c r="F11" s="941">
        <v>1323065.0799999998</v>
      </c>
      <c r="G11" s="212" t="s">
        <v>192</v>
      </c>
      <c r="H11" s="212">
        <f>F11</f>
        <v>1323065.0799999998</v>
      </c>
      <c r="I11" s="207"/>
      <c r="J11" s="207"/>
      <c r="O11" s="206"/>
    </row>
    <row r="12" spans="1:15">
      <c r="A12" s="200">
        <f t="shared" si="0"/>
        <v>5</v>
      </c>
      <c r="C12" s="200" t="s">
        <v>1040</v>
      </c>
      <c r="D12" s="200" t="s">
        <v>1041</v>
      </c>
      <c r="E12" s="200" t="s">
        <v>1036</v>
      </c>
      <c r="F12" s="941">
        <v>8548879.6933333334</v>
      </c>
      <c r="G12" s="212" t="s">
        <v>192</v>
      </c>
      <c r="H12" s="212">
        <f>F12</f>
        <v>8548879.6933333334</v>
      </c>
      <c r="I12" s="207"/>
      <c r="J12" s="207"/>
      <c r="O12" s="206"/>
    </row>
    <row r="13" spans="1:15">
      <c r="A13" s="200">
        <f t="shared" si="0"/>
        <v>6</v>
      </c>
      <c r="C13" s="200" t="s">
        <v>1042</v>
      </c>
      <c r="D13" s="200" t="s">
        <v>1043</v>
      </c>
      <c r="E13" s="200" t="s">
        <v>1037</v>
      </c>
      <c r="F13" s="941">
        <v>1155697.45</v>
      </c>
      <c r="G13" s="212"/>
      <c r="H13" s="212">
        <f>F13</f>
        <v>1155697.45</v>
      </c>
      <c r="O13" s="206"/>
    </row>
    <row r="14" spans="1:15">
      <c r="A14" s="200">
        <f t="shared" si="0"/>
        <v>7</v>
      </c>
      <c r="C14" s="200" t="s">
        <v>1048</v>
      </c>
      <c r="D14" s="200" t="s">
        <v>1049</v>
      </c>
      <c r="E14" s="200" t="s">
        <v>1044</v>
      </c>
      <c r="F14" s="942">
        <f>'Attachment GG'!$N$95</f>
        <v>73025162.952671289</v>
      </c>
      <c r="G14" s="212"/>
      <c r="H14" s="212"/>
      <c r="J14" s="207">
        <f>F14</f>
        <v>73025162.952671289</v>
      </c>
      <c r="K14" s="889" t="s">
        <v>198</v>
      </c>
      <c r="L14" s="889" t="s">
        <v>1126</v>
      </c>
      <c r="O14" s="206"/>
    </row>
    <row r="15" spans="1:15">
      <c r="A15" s="200">
        <f t="shared" si="0"/>
        <v>8</v>
      </c>
      <c r="C15" s="200" t="s">
        <v>1048</v>
      </c>
      <c r="D15" s="200" t="s">
        <v>1050</v>
      </c>
      <c r="E15" s="200" t="s">
        <v>1045</v>
      </c>
      <c r="F15" s="942">
        <f>'Attachment MM'!$R$91</f>
        <v>70238658.415941745</v>
      </c>
      <c r="G15" s="212"/>
      <c r="H15" s="212"/>
      <c r="J15" s="207">
        <f>F15</f>
        <v>70238658.415941745</v>
      </c>
      <c r="K15" s="200" t="s">
        <v>214</v>
      </c>
      <c r="L15" s="889" t="s">
        <v>1127</v>
      </c>
      <c r="O15" s="206"/>
    </row>
    <row r="16" spans="1:15" hidden="1">
      <c r="A16" s="200">
        <f t="shared" si="0"/>
        <v>9</v>
      </c>
      <c r="C16" s="200" t="s">
        <v>1048</v>
      </c>
      <c r="D16" s="200" t="s">
        <v>1051</v>
      </c>
      <c r="E16" s="200" t="s">
        <v>1046</v>
      </c>
      <c r="F16" s="942">
        <v>0</v>
      </c>
      <c r="G16" s="212"/>
      <c r="H16" s="212"/>
      <c r="J16" s="207">
        <f>F16</f>
        <v>0</v>
      </c>
      <c r="O16" s="206"/>
    </row>
    <row r="17" spans="1:15" hidden="1">
      <c r="A17" s="200">
        <f t="shared" si="0"/>
        <v>10</v>
      </c>
      <c r="C17" s="200" t="s">
        <v>1048</v>
      </c>
      <c r="D17" s="200" t="s">
        <v>1052</v>
      </c>
      <c r="E17" s="200" t="s">
        <v>1047</v>
      </c>
      <c r="F17" s="942">
        <v>0</v>
      </c>
      <c r="G17" s="212"/>
      <c r="H17" s="212"/>
      <c r="J17" s="207">
        <f>F17</f>
        <v>0</v>
      </c>
      <c r="M17" s="892"/>
      <c r="O17" s="206"/>
    </row>
    <row r="18" spans="1:15">
      <c r="A18" s="200">
        <f t="shared" si="0"/>
        <v>11</v>
      </c>
      <c r="C18" s="200" t="s">
        <v>1012</v>
      </c>
      <c r="D18" s="200" t="s">
        <v>1020</v>
      </c>
      <c r="E18" s="889" t="s">
        <v>1017</v>
      </c>
      <c r="F18" s="943">
        <v>36989516.264405608</v>
      </c>
      <c r="G18" s="212" t="s">
        <v>192</v>
      </c>
      <c r="H18" s="212">
        <f>F18</f>
        <v>36989516.264405608</v>
      </c>
      <c r="O18" s="206"/>
    </row>
    <row r="19" spans="1:15">
      <c r="A19" s="200">
        <f t="shared" si="0"/>
        <v>12</v>
      </c>
      <c r="C19" s="200" t="s">
        <v>1012</v>
      </c>
      <c r="D19" s="200" t="s">
        <v>1020</v>
      </c>
      <c r="E19" s="889" t="s">
        <v>1018</v>
      </c>
      <c r="F19" s="943">
        <v>6438881.3302086825</v>
      </c>
      <c r="G19" s="212" t="s">
        <v>192</v>
      </c>
      <c r="H19" s="212">
        <f>F19</f>
        <v>6438881.3302086825</v>
      </c>
      <c r="O19" s="206"/>
    </row>
    <row r="20" spans="1:15">
      <c r="A20" s="200">
        <f t="shared" si="0"/>
        <v>13</v>
      </c>
      <c r="C20" s="200" t="s">
        <v>1012</v>
      </c>
      <c r="D20" s="200" t="s">
        <v>1020</v>
      </c>
      <c r="E20" s="889" t="s">
        <v>1019</v>
      </c>
      <c r="F20" s="943">
        <v>3939459.8619980807</v>
      </c>
      <c r="G20" s="212" t="s">
        <v>192</v>
      </c>
      <c r="H20" s="212">
        <f>F20</f>
        <v>3939459.8619980807</v>
      </c>
      <c r="O20" s="206"/>
    </row>
    <row r="21" spans="1:15">
      <c r="A21" s="200">
        <f t="shared" si="0"/>
        <v>14</v>
      </c>
      <c r="C21" s="200" t="s">
        <v>1012</v>
      </c>
      <c r="D21" s="200" t="s">
        <v>1020</v>
      </c>
      <c r="E21" s="889" t="s">
        <v>1128</v>
      </c>
      <c r="F21" s="943">
        <v>126983.03999999999</v>
      </c>
      <c r="G21" s="212" t="s">
        <v>192</v>
      </c>
      <c r="H21" s="212">
        <f>F21</f>
        <v>126983.03999999999</v>
      </c>
      <c r="O21" s="206"/>
    </row>
    <row r="22" spans="1:15">
      <c r="A22" s="200">
        <f>A20+1</f>
        <v>14</v>
      </c>
      <c r="C22" s="200" t="s">
        <v>1023</v>
      </c>
      <c r="D22" s="200" t="s">
        <v>1024</v>
      </c>
      <c r="E22" s="200" t="s">
        <v>1021</v>
      </c>
      <c r="F22" s="944">
        <v>13532.280000000004</v>
      </c>
      <c r="G22" s="212"/>
      <c r="H22" s="212"/>
      <c r="I22" s="207">
        <f t="shared" ref="I22:I27" si="1">F22</f>
        <v>13532.280000000004</v>
      </c>
      <c r="J22" s="207"/>
      <c r="O22" s="206"/>
    </row>
    <row r="23" spans="1:15">
      <c r="A23" s="200">
        <f t="shared" si="0"/>
        <v>15</v>
      </c>
      <c r="C23" s="200" t="s">
        <v>1023</v>
      </c>
      <c r="D23" s="200" t="s">
        <v>1025</v>
      </c>
      <c r="E23" s="200" t="s">
        <v>1022</v>
      </c>
      <c r="F23" s="944">
        <v>40320</v>
      </c>
      <c r="G23" s="212"/>
      <c r="H23" s="212"/>
      <c r="I23" s="207">
        <f t="shared" si="1"/>
        <v>40320</v>
      </c>
      <c r="J23" s="207"/>
      <c r="O23" s="206"/>
    </row>
    <row r="24" spans="1:15">
      <c r="A24" s="200">
        <f t="shared" si="0"/>
        <v>16</v>
      </c>
      <c r="C24" s="200" t="s">
        <v>1023</v>
      </c>
      <c r="D24" s="200" t="s">
        <v>1030</v>
      </c>
      <c r="E24" s="200" t="s">
        <v>1026</v>
      </c>
      <c r="F24" s="944">
        <v>63983.640000000007</v>
      </c>
      <c r="G24" s="212"/>
      <c r="H24" s="212"/>
      <c r="I24" s="207">
        <f t="shared" si="1"/>
        <v>63983.640000000007</v>
      </c>
      <c r="J24" s="207"/>
      <c r="O24" s="206"/>
    </row>
    <row r="25" spans="1:15">
      <c r="A25" s="200">
        <f t="shared" si="0"/>
        <v>17</v>
      </c>
      <c r="C25" s="430">
        <v>4140101</v>
      </c>
      <c r="D25" s="200" t="s">
        <v>1031</v>
      </c>
      <c r="E25" s="200" t="s">
        <v>1027</v>
      </c>
      <c r="F25" s="944">
        <v>16477.439999999995</v>
      </c>
      <c r="G25" s="212"/>
      <c r="H25" s="212"/>
      <c r="I25" s="207">
        <f t="shared" si="1"/>
        <v>16477.439999999995</v>
      </c>
      <c r="J25" s="207"/>
      <c r="O25" s="206"/>
    </row>
    <row r="26" spans="1:15">
      <c r="A26" s="200">
        <f t="shared" si="0"/>
        <v>18</v>
      </c>
      <c r="C26" s="430">
        <v>4140101</v>
      </c>
      <c r="D26" s="200" t="s">
        <v>1032</v>
      </c>
      <c r="E26" s="200" t="s">
        <v>1028</v>
      </c>
      <c r="F26" s="944">
        <v>51717.48</v>
      </c>
      <c r="G26" s="212"/>
      <c r="H26" s="212"/>
      <c r="I26" s="207">
        <f t="shared" si="1"/>
        <v>51717.48</v>
      </c>
      <c r="J26" s="207"/>
      <c r="O26" s="206"/>
    </row>
    <row r="27" spans="1:15">
      <c r="A27" s="200">
        <f t="shared" si="0"/>
        <v>19</v>
      </c>
      <c r="C27" s="200" t="s">
        <v>1023</v>
      </c>
      <c r="D27" s="200" t="s">
        <v>1033</v>
      </c>
      <c r="E27" s="200" t="s">
        <v>1029</v>
      </c>
      <c r="F27" s="944">
        <v>188555.53</v>
      </c>
      <c r="G27" s="212"/>
      <c r="H27" s="212"/>
      <c r="I27" s="207">
        <f t="shared" si="1"/>
        <v>188555.53</v>
      </c>
      <c r="J27" s="207"/>
      <c r="O27" s="206"/>
    </row>
    <row r="28" spans="1:15">
      <c r="E28" s="889" t="s">
        <v>1129</v>
      </c>
      <c r="F28" s="945">
        <f>14100+3987.84+28800</f>
        <v>46887.839999999997</v>
      </c>
      <c r="G28" s="212" t="s">
        <v>192</v>
      </c>
      <c r="H28" s="212">
        <f>F28</f>
        <v>46887.839999999997</v>
      </c>
      <c r="I28" s="207"/>
      <c r="J28" s="207"/>
      <c r="O28" s="206"/>
    </row>
    <row r="29" spans="1:15">
      <c r="A29" s="200">
        <f>A27+1</f>
        <v>20</v>
      </c>
      <c r="E29" s="889" t="s">
        <v>1057</v>
      </c>
      <c r="F29" s="945"/>
      <c r="G29" s="212" t="s">
        <v>192</v>
      </c>
      <c r="H29" s="212"/>
      <c r="I29" s="207"/>
      <c r="J29" s="207"/>
      <c r="O29" s="206"/>
    </row>
    <row r="30" spans="1:15">
      <c r="A30" s="200">
        <f t="shared" si="0"/>
        <v>21</v>
      </c>
      <c r="E30" s="199" t="s">
        <v>147</v>
      </c>
      <c r="F30" s="213">
        <f>SUM(F8:F29)</f>
        <v>246743189.60206586</v>
      </c>
      <c r="G30" s="212"/>
      <c r="H30" s="213">
        <f>SUM(H8:H29)</f>
        <v>91932128.99994573</v>
      </c>
      <c r="I30" s="213">
        <f>SUM(I8:I29)</f>
        <v>11547239.233507128</v>
      </c>
      <c r="J30" s="213">
        <f>SUM(J8:J29)</f>
        <v>143263821.36861303</v>
      </c>
      <c r="O30" s="206"/>
    </row>
    <row r="31" spans="1:15" ht="19.5" customHeight="1">
      <c r="A31" s="200">
        <f t="shared" si="0"/>
        <v>22</v>
      </c>
      <c r="F31" s="207"/>
      <c r="G31" s="212"/>
      <c r="H31" s="212"/>
      <c r="I31" s="207" t="s">
        <v>148</v>
      </c>
      <c r="J31" s="207"/>
      <c r="O31" s="206"/>
    </row>
    <row r="32" spans="1:15">
      <c r="A32" s="200">
        <f t="shared" si="0"/>
        <v>23</v>
      </c>
      <c r="E32" s="200" t="s">
        <v>154</v>
      </c>
      <c r="F32" s="209">
        <f>F30</f>
        <v>246743189.60206586</v>
      </c>
      <c r="G32" s="211"/>
      <c r="H32" s="211"/>
      <c r="I32" s="202" t="s">
        <v>149</v>
      </c>
      <c r="J32" s="202"/>
      <c r="O32" s="206"/>
    </row>
    <row r="33" spans="1:15" s="210" customFormat="1">
      <c r="A33" s="200">
        <f t="shared" si="0"/>
        <v>24</v>
      </c>
      <c r="E33" s="200" t="s">
        <v>155</v>
      </c>
      <c r="F33" s="211">
        <f>F32-F36-F34-F35</f>
        <v>91932128.9999457</v>
      </c>
      <c r="G33" s="211"/>
      <c r="H33" s="211"/>
      <c r="I33" s="202" t="s">
        <v>150</v>
      </c>
      <c r="J33" s="202"/>
      <c r="N33" s="890"/>
      <c r="O33" s="206"/>
    </row>
    <row r="34" spans="1:15" s="210" customFormat="1">
      <c r="A34" s="200">
        <f t="shared" si="0"/>
        <v>25</v>
      </c>
      <c r="E34" s="200" t="s">
        <v>156</v>
      </c>
      <c r="F34" s="211">
        <f>F14</f>
        <v>73025162.952671289</v>
      </c>
      <c r="G34" s="211"/>
      <c r="H34" s="211"/>
      <c r="I34" s="202" t="s">
        <v>153</v>
      </c>
      <c r="J34" s="202"/>
      <c r="N34" s="890"/>
      <c r="O34" s="206"/>
    </row>
    <row r="35" spans="1:15" s="210" customFormat="1">
      <c r="A35" s="200">
        <f t="shared" si="0"/>
        <v>26</v>
      </c>
      <c r="E35" s="200" t="s">
        <v>203</v>
      </c>
      <c r="F35" s="211">
        <f>F15</f>
        <v>70238658.415941745</v>
      </c>
      <c r="G35" s="211"/>
      <c r="H35" s="211"/>
      <c r="I35" s="202" t="s">
        <v>205</v>
      </c>
      <c r="J35" s="202"/>
      <c r="N35" s="890"/>
      <c r="O35" s="206"/>
    </row>
    <row r="36" spans="1:15" s="210" customFormat="1">
      <c r="A36" s="200">
        <f t="shared" si="0"/>
        <v>27</v>
      </c>
      <c r="E36" s="200" t="s">
        <v>151</v>
      </c>
      <c r="F36" s="211">
        <f>I30</f>
        <v>11547239.233507128</v>
      </c>
      <c r="G36" s="211"/>
      <c r="H36" s="211"/>
      <c r="I36" s="202" t="s">
        <v>152</v>
      </c>
      <c r="J36" s="202"/>
      <c r="N36" s="890"/>
      <c r="O36" s="206"/>
    </row>
    <row r="37" spans="1:15" s="210" customFormat="1">
      <c r="N37" s="890"/>
      <c r="O37" s="206"/>
    </row>
    <row r="38" spans="1:15" s="210" customFormat="1">
      <c r="E38" s="1009" t="s">
        <v>1053</v>
      </c>
      <c r="F38" s="1010">
        <f>F30</f>
        <v>246743189.60206586</v>
      </c>
      <c r="N38" s="890"/>
      <c r="O38" s="206"/>
    </row>
    <row r="39" spans="1:15" s="210" customFormat="1">
      <c r="E39" s="1009" t="s">
        <v>1054</v>
      </c>
      <c r="F39" s="1010">
        <f>-F14-F15</f>
        <v>-143263821.36861303</v>
      </c>
      <c r="N39" s="890"/>
      <c r="O39" s="206"/>
    </row>
    <row r="40" spans="1:15">
      <c r="E40" s="1011" t="s">
        <v>1055</v>
      </c>
      <c r="F40" s="1010">
        <f>78763203.65+4871828.06</f>
        <v>83635031.710000008</v>
      </c>
      <c r="O40" s="206"/>
    </row>
    <row r="41" spans="1:15">
      <c r="E41" s="1011" t="s">
        <v>1056</v>
      </c>
      <c r="F41" s="1010">
        <f>66197165.21+-3935895.24</f>
        <v>62261269.969999999</v>
      </c>
      <c r="O41" s="206"/>
    </row>
    <row r="42" spans="1:15">
      <c r="E42" s="1011" t="s">
        <v>1130</v>
      </c>
      <c r="F42" s="1012">
        <f>F38+F39+F40+F41</f>
        <v>249375669.91345283</v>
      </c>
      <c r="O42" s="206"/>
    </row>
    <row r="43" spans="1:15">
      <c r="O43" s="206"/>
    </row>
    <row r="44" spans="1:15">
      <c r="A44" s="19" t="s">
        <v>193</v>
      </c>
      <c r="G44" s="200"/>
      <c r="H44" s="200"/>
      <c r="O44" s="206"/>
    </row>
    <row r="46" spans="1:15">
      <c r="F46" s="1090"/>
    </row>
    <row r="47" spans="1:15">
      <c r="F47" s="1090"/>
    </row>
    <row r="49" spans="5:6">
      <c r="E49" s="1011"/>
      <c r="F49" s="890"/>
    </row>
    <row r="50" spans="5:6">
      <c r="F50" s="890"/>
    </row>
    <row r="51" spans="5:6">
      <c r="F51" s="890"/>
    </row>
    <row r="52" spans="5:6">
      <c r="F52" s="890"/>
    </row>
  </sheetData>
  <phoneticPr fontId="13" type="noConversion"/>
  <pageMargins left="0.25" right="0.25" top="1" bottom="1" header="0.5" footer="0.5"/>
  <pageSetup scale="61" orientation="portrait" r:id="rId1"/>
  <headerFooter alignWithMargins="0">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L35"/>
  <sheetViews>
    <sheetView showGridLines="0" workbookViewId="0">
      <selection activeCell="H30" sqref="H30"/>
    </sheetView>
  </sheetViews>
  <sheetFormatPr defaultRowHeight="12.75"/>
  <cols>
    <col min="1" max="1" width="4.5546875" style="199" customWidth="1"/>
    <col min="2" max="2" width="44.6640625" style="199" customWidth="1"/>
    <col min="3" max="3" width="1.33203125" style="199" customWidth="1"/>
    <col min="4" max="4" width="13" style="199" bestFit="1" customWidth="1"/>
    <col min="5" max="5" width="1.88671875" style="199" customWidth="1"/>
    <col min="6" max="6" width="12.33203125" style="199" bestFit="1" customWidth="1"/>
    <col min="7" max="7" width="1.88671875" style="199" customWidth="1"/>
    <col min="8" max="8" width="12.88671875" style="199" bestFit="1" customWidth="1"/>
    <col min="9" max="9" width="3.44140625" style="416" customWidth="1"/>
    <col min="10" max="16384" width="8.88671875" style="199"/>
  </cols>
  <sheetData>
    <row r="1" spans="1:12">
      <c r="A1" s="203" t="s">
        <v>855</v>
      </c>
      <c r="I1" s="48" t="str">
        <f>Cover!C1</f>
        <v>2018 Workpapers</v>
      </c>
    </row>
    <row r="2" spans="1:12">
      <c r="A2" s="402" t="s">
        <v>141</v>
      </c>
      <c r="I2" s="414"/>
    </row>
    <row r="3" spans="1:12">
      <c r="A3" s="403" t="s">
        <v>1109</v>
      </c>
      <c r="I3" s="414"/>
    </row>
    <row r="4" spans="1:12">
      <c r="A4" s="248"/>
      <c r="I4" s="415"/>
    </row>
    <row r="5" spans="1:12">
      <c r="A5" s="205" t="s">
        <v>46</v>
      </c>
      <c r="D5" s="881" t="s">
        <v>1113</v>
      </c>
      <c r="E5" s="404"/>
      <c r="F5" s="881" t="s">
        <v>1114</v>
      </c>
    </row>
    <row r="6" spans="1:12">
      <c r="A6" s="252" t="s">
        <v>22</v>
      </c>
    </row>
    <row r="7" spans="1:12">
      <c r="A7" s="248"/>
    </row>
    <row r="8" spans="1:12" ht="13.5" thickBot="1">
      <c r="A8" s="248">
        <v>1</v>
      </c>
      <c r="B8" s="405" t="s">
        <v>121</v>
      </c>
      <c r="C8" s="406"/>
      <c r="D8" s="1162">
        <f>374467606</f>
        <v>374467606</v>
      </c>
      <c r="E8" s="412"/>
      <c r="F8" s="1001">
        <f>395739384</f>
        <v>395739384</v>
      </c>
      <c r="G8" s="412"/>
      <c r="H8" s="399">
        <f>D8-F8</f>
        <v>-21271778</v>
      </c>
      <c r="I8" s="416" t="s">
        <v>247</v>
      </c>
      <c r="L8" s="400"/>
    </row>
    <row r="9" spans="1:12" ht="13.5" thickTop="1">
      <c r="A9" s="248">
        <f t="shared" ref="A9:A29" si="0">+A8+1</f>
        <v>2</v>
      </c>
      <c r="H9" s="883"/>
      <c r="L9" s="400"/>
    </row>
    <row r="10" spans="1:12">
      <c r="A10" s="248">
        <f t="shared" si="0"/>
        <v>3</v>
      </c>
      <c r="B10" s="405" t="s">
        <v>122</v>
      </c>
      <c r="C10" s="405"/>
      <c r="D10" s="1002">
        <v>6583666.666666667</v>
      </c>
      <c r="E10" s="401"/>
      <c r="F10" s="1002">
        <v>6746750</v>
      </c>
      <c r="G10" s="405"/>
      <c r="H10" s="884">
        <f>D10-F10</f>
        <v>-163083.33333333302</v>
      </c>
      <c r="I10" s="199"/>
      <c r="L10" s="400"/>
    </row>
    <row r="11" spans="1:12">
      <c r="A11" s="248">
        <f t="shared" si="0"/>
        <v>4</v>
      </c>
      <c r="B11" s="407" t="s">
        <v>123</v>
      </c>
      <c r="C11" s="405"/>
      <c r="D11" s="1002">
        <v>656916.66666666663</v>
      </c>
      <c r="E11" s="401"/>
      <c r="F11" s="1002">
        <v>506250</v>
      </c>
      <c r="G11" s="405"/>
      <c r="H11" s="884">
        <f>D11-F11</f>
        <v>150666.66666666663</v>
      </c>
      <c r="L11" s="400"/>
    </row>
    <row r="12" spans="1:12">
      <c r="A12" s="248">
        <f t="shared" si="0"/>
        <v>5</v>
      </c>
      <c r="B12" s="407" t="s">
        <v>124</v>
      </c>
      <c r="C12" s="405"/>
      <c r="D12" s="1003">
        <v>0</v>
      </c>
      <c r="E12" s="401"/>
      <c r="F12" s="1003">
        <v>0</v>
      </c>
      <c r="G12" s="405"/>
      <c r="H12" s="885">
        <f>D12-F12</f>
        <v>0</v>
      </c>
      <c r="L12" s="400"/>
    </row>
    <row r="13" spans="1:12">
      <c r="A13" s="248">
        <f t="shared" si="0"/>
        <v>6</v>
      </c>
      <c r="B13" s="405" t="s">
        <v>125</v>
      </c>
      <c r="C13" s="405"/>
      <c r="D13" s="408">
        <f>ROUND(SUM(D10:D12),0)</f>
        <v>7240583</v>
      </c>
      <c r="E13" s="405"/>
      <c r="F13" s="408">
        <f>ROUND(SUM(F10:F12),0)</f>
        <v>7253000</v>
      </c>
      <c r="G13" s="405"/>
      <c r="H13" s="886">
        <f>D13-F13</f>
        <v>-12417</v>
      </c>
      <c r="L13" s="400"/>
    </row>
    <row r="14" spans="1:12">
      <c r="A14" s="248">
        <f t="shared" si="0"/>
        <v>7</v>
      </c>
      <c r="L14" s="400"/>
    </row>
    <row r="15" spans="1:12">
      <c r="A15" s="248">
        <f t="shared" si="0"/>
        <v>8</v>
      </c>
      <c r="B15" s="405" t="s">
        <v>126</v>
      </c>
      <c r="C15" s="405"/>
      <c r="D15" s="1163">
        <f>ROUND(D8/D13,7)</f>
        <v>51.7178805</v>
      </c>
      <c r="E15" s="1163"/>
      <c r="F15" s="1163">
        <f>ROUND(F8/F13,7)</f>
        <v>54.562165200000003</v>
      </c>
      <c r="G15" s="1163"/>
      <c r="H15" s="1165">
        <f>ROUND(D15-F15,8)</f>
        <v>-2.8442847000000002</v>
      </c>
      <c r="L15" s="400"/>
    </row>
    <row r="16" spans="1:12">
      <c r="A16" s="248">
        <f t="shared" si="0"/>
        <v>9</v>
      </c>
      <c r="B16" s="405"/>
      <c r="C16" s="405"/>
      <c r="E16" s="405"/>
      <c r="F16" s="409"/>
      <c r="G16" s="405"/>
      <c r="L16" s="400"/>
    </row>
    <row r="17" spans="1:12">
      <c r="A17" s="248">
        <f t="shared" si="0"/>
        <v>10</v>
      </c>
      <c r="L17" s="400"/>
    </row>
    <row r="18" spans="1:12">
      <c r="A18" s="248">
        <f t="shared" si="0"/>
        <v>11</v>
      </c>
      <c r="B18" s="405" t="s">
        <v>127</v>
      </c>
      <c r="H18" s="406">
        <f>D13</f>
        <v>7240583</v>
      </c>
      <c r="L18" s="400"/>
    </row>
    <row r="19" spans="1:12">
      <c r="A19" s="248">
        <f t="shared" si="0"/>
        <v>12</v>
      </c>
      <c r="B19" s="405" t="s">
        <v>128</v>
      </c>
      <c r="H19" s="410">
        <f>F13</f>
        <v>7253000</v>
      </c>
      <c r="L19" s="400"/>
    </row>
    <row r="20" spans="1:12">
      <c r="A20" s="248">
        <f t="shared" si="0"/>
        <v>13</v>
      </c>
      <c r="B20" s="405" t="s">
        <v>129</v>
      </c>
      <c r="H20" s="887">
        <f>ROUND(H18-H19,0)</f>
        <v>-12417</v>
      </c>
      <c r="L20" s="400"/>
    </row>
    <row r="21" spans="1:12">
      <c r="A21" s="248">
        <f t="shared" si="0"/>
        <v>14</v>
      </c>
      <c r="H21" s="324"/>
      <c r="L21" s="400"/>
    </row>
    <row r="22" spans="1:12">
      <c r="A22" s="248">
        <f t="shared" si="0"/>
        <v>15</v>
      </c>
      <c r="B22" s="199" t="s">
        <v>130</v>
      </c>
      <c r="H22" s="1164">
        <f>ROUND(F15,4)</f>
        <v>54.562199999999997</v>
      </c>
      <c r="L22" s="400"/>
    </row>
    <row r="23" spans="1:12">
      <c r="A23" s="248">
        <f t="shared" si="0"/>
        <v>16</v>
      </c>
      <c r="L23" s="400"/>
    </row>
    <row r="24" spans="1:12" ht="13.5" thickBot="1">
      <c r="A24" s="248">
        <f t="shared" si="0"/>
        <v>17</v>
      </c>
      <c r="B24" s="405" t="s">
        <v>131</v>
      </c>
      <c r="H24" s="411">
        <f>H20*H22</f>
        <v>-677498.83739999996</v>
      </c>
      <c r="I24" s="416" t="s">
        <v>248</v>
      </c>
      <c r="L24" s="400"/>
    </row>
    <row r="25" spans="1:12" ht="13.5" thickTop="1">
      <c r="A25" s="248">
        <f t="shared" si="0"/>
        <v>18</v>
      </c>
      <c r="L25" s="400"/>
    </row>
    <row r="26" spans="1:12">
      <c r="A26" s="248">
        <f t="shared" si="0"/>
        <v>19</v>
      </c>
      <c r="B26" s="199" t="s">
        <v>136</v>
      </c>
      <c r="H26" s="412">
        <f>ROUND(H8-H24,0)</f>
        <v>-20594279</v>
      </c>
      <c r="I26" s="416" t="s">
        <v>249</v>
      </c>
      <c r="L26" s="400"/>
    </row>
    <row r="27" spans="1:12">
      <c r="A27" s="248">
        <f t="shared" si="0"/>
        <v>20</v>
      </c>
      <c r="H27" s="412"/>
      <c r="I27" s="199"/>
      <c r="L27" s="400"/>
    </row>
    <row r="28" spans="1:12">
      <c r="A28" s="248">
        <f t="shared" si="0"/>
        <v>21</v>
      </c>
      <c r="F28" s="413" t="s">
        <v>133</v>
      </c>
      <c r="H28" s="412">
        <f>ROUND(H15*D13,4)</f>
        <v>-20594279.445999999</v>
      </c>
      <c r="I28" s="199"/>
      <c r="K28" s="412"/>
      <c r="L28" s="400"/>
    </row>
    <row r="29" spans="1:12">
      <c r="A29" s="248">
        <f t="shared" si="0"/>
        <v>22</v>
      </c>
      <c r="F29" s="413"/>
      <c r="H29" s="412"/>
      <c r="L29" s="400"/>
    </row>
    <row r="30" spans="1:12">
      <c r="A30" s="248">
        <v>23</v>
      </c>
      <c r="F30" s="413" t="s">
        <v>134</v>
      </c>
      <c r="H30" s="412">
        <f>H26-H28</f>
        <v>0.44599999859929085</v>
      </c>
      <c r="L30" s="400"/>
    </row>
    <row r="31" spans="1:12">
      <c r="A31" s="248"/>
      <c r="L31" s="400"/>
    </row>
    <row r="32" spans="1:12">
      <c r="A32" s="248"/>
      <c r="L32" s="400"/>
    </row>
    <row r="33" spans="1:2">
      <c r="A33" s="248"/>
    </row>
    <row r="35" spans="1:2">
      <c r="B35" s="199" t="s">
        <v>135</v>
      </c>
    </row>
  </sheetData>
  <phoneticPr fontId="13" type="noConversion"/>
  <pageMargins left="0.5" right="0.25" top="0.5" bottom="0.25" header="0.75" footer="0.5"/>
  <pageSetup scale="87" orientation="portrait" horizontalDpi="1200" verticalDpi="1200" r:id="rId1"/>
  <headerFooter alignWithMargins="0">
    <oddFooter>&amp;CPage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F53"/>
  <sheetViews>
    <sheetView showGridLines="0" topLeftCell="A10" workbookViewId="0">
      <selection activeCell="D52" sqref="D52"/>
    </sheetView>
  </sheetViews>
  <sheetFormatPr defaultRowHeight="12"/>
  <cols>
    <col min="1" max="1" width="4.88671875" style="19" customWidth="1"/>
    <col min="2" max="2" width="42.88671875" style="19" customWidth="1"/>
    <col min="3" max="3" width="14" style="19" bestFit="1" customWidth="1"/>
    <col min="4" max="4" width="11.77734375" style="19" bestFit="1" customWidth="1"/>
    <col min="5" max="16384" width="8.88671875" style="19"/>
  </cols>
  <sheetData>
    <row r="1" spans="1:6">
      <c r="A1" s="1" t="s">
        <v>855</v>
      </c>
      <c r="F1" s="48" t="str">
        <f>Cover!C1</f>
        <v>2018 Workpapers</v>
      </c>
    </row>
    <row r="2" spans="1:6">
      <c r="A2" s="145" t="s">
        <v>142</v>
      </c>
    </row>
    <row r="3" spans="1:6">
      <c r="A3" s="6" t="s">
        <v>1109</v>
      </c>
    </row>
    <row r="4" spans="1:6">
      <c r="A4" s="8"/>
    </row>
    <row r="5" spans="1:6">
      <c r="A5" s="5" t="s">
        <v>46</v>
      </c>
    </row>
    <row r="6" spans="1:6">
      <c r="A6" s="12" t="s">
        <v>22</v>
      </c>
    </row>
    <row r="7" spans="1:6">
      <c r="A7" s="8"/>
    </row>
    <row r="8" spans="1:6">
      <c r="A8" s="8">
        <v>1</v>
      </c>
      <c r="B8" s="189" t="s">
        <v>210</v>
      </c>
      <c r="C8" s="190">
        <f>'Prior Year True Up'!H8</f>
        <v>-21271778</v>
      </c>
    </row>
    <row r="9" spans="1:6">
      <c r="A9" s="8">
        <f t="shared" ref="A9:A52" si="0">+A8+1</f>
        <v>2</v>
      </c>
      <c r="B9" s="189" t="s">
        <v>176</v>
      </c>
      <c r="C9" s="190">
        <f>-'Prior Year True Up'!H24</f>
        <v>677498.83739999996</v>
      </c>
    </row>
    <row r="10" spans="1:6">
      <c r="A10" s="8">
        <f t="shared" si="0"/>
        <v>3</v>
      </c>
      <c r="B10" s="144"/>
      <c r="C10" s="190"/>
    </row>
    <row r="11" spans="1:6">
      <c r="A11" s="8">
        <f t="shared" si="0"/>
        <v>4</v>
      </c>
      <c r="B11" s="144" t="s">
        <v>132</v>
      </c>
      <c r="C11" s="190">
        <f>SUM(C8:C10)</f>
        <v>-20594279.162599999</v>
      </c>
    </row>
    <row r="12" spans="1:6">
      <c r="A12" s="8">
        <f t="shared" si="0"/>
        <v>5</v>
      </c>
      <c r="B12" s="144"/>
      <c r="C12" s="190"/>
    </row>
    <row r="13" spans="1:6">
      <c r="A13" s="8">
        <f t="shared" si="0"/>
        <v>6</v>
      </c>
      <c r="B13" s="144" t="s">
        <v>213</v>
      </c>
      <c r="C13" s="326">
        <f>D52</f>
        <v>3.5052E-2</v>
      </c>
    </row>
    <row r="14" spans="1:6">
      <c r="A14" s="8">
        <f t="shared" si="0"/>
        <v>7</v>
      </c>
    </row>
    <row r="15" spans="1:6" ht="12.75" thickBot="1">
      <c r="A15" s="8">
        <f t="shared" si="0"/>
        <v>8</v>
      </c>
      <c r="B15" s="144" t="s">
        <v>1119</v>
      </c>
      <c r="C15" s="320">
        <f>D28</f>
        <v>-1488806.2319525904</v>
      </c>
    </row>
    <row r="16" spans="1:6" ht="12.75" thickTop="1">
      <c r="A16" s="8">
        <f t="shared" si="0"/>
        <v>9</v>
      </c>
    </row>
    <row r="17" spans="1:4">
      <c r="A17" s="8">
        <f t="shared" si="0"/>
        <v>10</v>
      </c>
    </row>
    <row r="18" spans="1:4">
      <c r="A18" s="8">
        <f t="shared" si="0"/>
        <v>11</v>
      </c>
      <c r="B18" s="19" t="s">
        <v>137</v>
      </c>
    </row>
    <row r="19" spans="1:4">
      <c r="A19" s="8">
        <f t="shared" si="0"/>
        <v>12</v>
      </c>
      <c r="C19" s="191" t="s">
        <v>190</v>
      </c>
      <c r="D19" s="191" t="s">
        <v>138</v>
      </c>
    </row>
    <row r="20" spans="1:4">
      <c r="A20" s="8">
        <f t="shared" si="0"/>
        <v>13</v>
      </c>
      <c r="B20" s="19" t="s">
        <v>1000</v>
      </c>
      <c r="C20" s="192">
        <f>C11</f>
        <v>-20594279.162599999</v>
      </c>
      <c r="D20" s="192">
        <f>C20*C13/4</f>
        <v>-180467.6683018638</v>
      </c>
    </row>
    <row r="21" spans="1:4">
      <c r="A21" s="8">
        <f t="shared" si="0"/>
        <v>14</v>
      </c>
      <c r="B21" s="19" t="s">
        <v>1001</v>
      </c>
      <c r="C21" s="192">
        <f t="shared" ref="C21:C27" si="1">C20+D20</f>
        <v>-20774746.830901865</v>
      </c>
      <c r="D21" s="192">
        <f>C21*C13/4</f>
        <v>-182049.10647919305</v>
      </c>
    </row>
    <row r="22" spans="1:4">
      <c r="A22" s="8">
        <f t="shared" si="0"/>
        <v>15</v>
      </c>
      <c r="B22" s="19" t="s">
        <v>1002</v>
      </c>
      <c r="C22" s="192">
        <f t="shared" si="1"/>
        <v>-20956795.937381059</v>
      </c>
      <c r="D22" s="192">
        <f>C22*C13/4</f>
        <v>-183644.40279927023</v>
      </c>
    </row>
    <row r="23" spans="1:4">
      <c r="A23" s="8">
        <f t="shared" si="0"/>
        <v>16</v>
      </c>
      <c r="B23" s="19" t="s">
        <v>1003</v>
      </c>
      <c r="C23" s="192">
        <f t="shared" si="1"/>
        <v>-21140440.34018033</v>
      </c>
      <c r="D23" s="192">
        <f>C23*C13/4</f>
        <v>-185253.67870100023</v>
      </c>
    </row>
    <row r="24" spans="1:4">
      <c r="A24" s="8">
        <f t="shared" si="0"/>
        <v>17</v>
      </c>
      <c r="B24" s="19" t="s">
        <v>1115</v>
      </c>
      <c r="C24" s="192">
        <f t="shared" si="1"/>
        <v>-21325694.018881328</v>
      </c>
      <c r="D24" s="192">
        <f>C24*C13/4</f>
        <v>-186877.05668745708</v>
      </c>
    </row>
    <row r="25" spans="1:4">
      <c r="A25" s="8">
        <f t="shared" si="0"/>
        <v>18</v>
      </c>
      <c r="B25" s="19" t="s">
        <v>1116</v>
      </c>
      <c r="C25" s="192">
        <f t="shared" si="1"/>
        <v>-21512571.075568784</v>
      </c>
      <c r="D25" s="192">
        <f>C25*C13/4</f>
        <v>-188514.66033520925</v>
      </c>
    </row>
    <row r="26" spans="1:4">
      <c r="A26" s="8">
        <f t="shared" si="0"/>
        <v>19</v>
      </c>
      <c r="B26" s="19" t="s">
        <v>1117</v>
      </c>
      <c r="C26" s="192">
        <f t="shared" si="1"/>
        <v>-21701085.735903993</v>
      </c>
      <c r="D26" s="192">
        <f>C26*C13/4</f>
        <v>-190166.6143037267</v>
      </c>
    </row>
    <row r="27" spans="1:4">
      <c r="A27" s="8">
        <f t="shared" si="0"/>
        <v>20</v>
      </c>
      <c r="B27" s="19" t="s">
        <v>1118</v>
      </c>
      <c r="C27" s="192">
        <f t="shared" si="1"/>
        <v>-21891252.35020772</v>
      </c>
      <c r="D27" s="192">
        <f>C27*C13/4</f>
        <v>-191833.04434487026</v>
      </c>
    </row>
    <row r="28" spans="1:4">
      <c r="A28" s="8">
        <f t="shared" si="0"/>
        <v>21</v>
      </c>
      <c r="B28" s="19" t="s">
        <v>139</v>
      </c>
      <c r="C28" s="193"/>
      <c r="D28" s="194">
        <f>SUM(D20:D27)</f>
        <v>-1488806.2319525904</v>
      </c>
    </row>
    <row r="29" spans="1:4">
      <c r="A29" s="8">
        <f t="shared" si="0"/>
        <v>22</v>
      </c>
    </row>
    <row r="30" spans="1:4">
      <c r="A30" s="8">
        <f t="shared" si="0"/>
        <v>23</v>
      </c>
    </row>
    <row r="31" spans="1:4">
      <c r="A31" s="8">
        <f t="shared" si="0"/>
        <v>24</v>
      </c>
      <c r="B31" s="195"/>
    </row>
    <row r="32" spans="1:4">
      <c r="A32" s="8">
        <f t="shared" si="0"/>
        <v>25</v>
      </c>
      <c r="B32" s="195" t="s">
        <v>212</v>
      </c>
      <c r="C32" s="196"/>
    </row>
    <row r="33" spans="1:4">
      <c r="A33" s="8">
        <f t="shared" si="0"/>
        <v>26</v>
      </c>
      <c r="B33" s="325">
        <v>42370</v>
      </c>
      <c r="C33" s="1004">
        <v>2.7000000000000001E-3</v>
      </c>
    </row>
    <row r="34" spans="1:4">
      <c r="A34" s="8">
        <f t="shared" si="0"/>
        <v>27</v>
      </c>
      <c r="B34" s="325">
        <v>42401</v>
      </c>
      <c r="C34" s="1004">
        <v>2.7000000000000001E-3</v>
      </c>
    </row>
    <row r="35" spans="1:4">
      <c r="A35" s="8">
        <f t="shared" si="0"/>
        <v>28</v>
      </c>
      <c r="B35" s="325">
        <v>42430</v>
      </c>
      <c r="C35" s="1004">
        <v>2.7000000000000001E-3</v>
      </c>
      <c r="D35" s="198"/>
    </row>
    <row r="36" spans="1:4">
      <c r="A36" s="8">
        <f t="shared" si="0"/>
        <v>29</v>
      </c>
      <c r="B36" s="325">
        <v>42461</v>
      </c>
      <c r="C36" s="1004">
        <v>2.8999999999999998E-3</v>
      </c>
    </row>
    <row r="37" spans="1:4">
      <c r="A37" s="8">
        <f t="shared" si="0"/>
        <v>30</v>
      </c>
      <c r="B37" s="325">
        <v>42491</v>
      </c>
      <c r="C37" s="1004">
        <v>2.8999999999999998E-3</v>
      </c>
    </row>
    <row r="38" spans="1:4">
      <c r="A38" s="8">
        <f t="shared" si="0"/>
        <v>31</v>
      </c>
      <c r="B38" s="325">
        <v>42522</v>
      </c>
      <c r="C38" s="1004">
        <v>2.8999999999999998E-3</v>
      </c>
      <c r="D38" s="198"/>
    </row>
    <row r="39" spans="1:4">
      <c r="A39" s="8">
        <f t="shared" si="0"/>
        <v>32</v>
      </c>
      <c r="B39" s="325">
        <v>42552</v>
      </c>
      <c r="C39" s="1004">
        <v>2.8999999999999998E-3</v>
      </c>
    </row>
    <row r="40" spans="1:4">
      <c r="A40" s="8">
        <f t="shared" si="0"/>
        <v>33</v>
      </c>
      <c r="B40" s="325">
        <v>42583</v>
      </c>
      <c r="C40" s="1004">
        <v>2.8999999999999998E-3</v>
      </c>
    </row>
    <row r="41" spans="1:4">
      <c r="A41" s="8">
        <f t="shared" si="0"/>
        <v>34</v>
      </c>
      <c r="B41" s="325">
        <v>42614</v>
      </c>
      <c r="C41" s="1004">
        <v>2.8999999999999998E-3</v>
      </c>
      <c r="D41" s="198"/>
    </row>
    <row r="42" spans="1:4">
      <c r="A42" s="8">
        <f t="shared" si="0"/>
        <v>35</v>
      </c>
      <c r="B42" s="325">
        <v>42644</v>
      </c>
      <c r="C42" s="1004">
        <v>2.8999999999999998E-3</v>
      </c>
    </row>
    <row r="43" spans="1:4">
      <c r="A43" s="8">
        <f t="shared" si="0"/>
        <v>36</v>
      </c>
      <c r="B43" s="325">
        <v>42675</v>
      </c>
      <c r="C43" s="1004">
        <v>2.8999999999999998E-3</v>
      </c>
    </row>
    <row r="44" spans="1:4">
      <c r="A44" s="8">
        <f t="shared" si="0"/>
        <v>37</v>
      </c>
      <c r="B44" s="325">
        <v>42705</v>
      </c>
      <c r="C44" s="1004">
        <v>2.8999999999999998E-3</v>
      </c>
      <c r="D44" s="198"/>
    </row>
    <row r="45" spans="1:4">
      <c r="A45" s="8">
        <f t="shared" si="0"/>
        <v>38</v>
      </c>
      <c r="B45" s="325">
        <v>42736</v>
      </c>
      <c r="C45" s="1004">
        <v>2.8999999999999998E-3</v>
      </c>
    </row>
    <row r="46" spans="1:4">
      <c r="A46" s="8">
        <f t="shared" si="0"/>
        <v>39</v>
      </c>
      <c r="B46" s="325">
        <v>42767</v>
      </c>
      <c r="C46" s="1004">
        <v>2.8999999999999998E-3</v>
      </c>
    </row>
    <row r="47" spans="1:4">
      <c r="A47" s="8">
        <f t="shared" si="0"/>
        <v>40</v>
      </c>
      <c r="B47" s="325">
        <v>42795</v>
      </c>
      <c r="C47" s="1004">
        <v>2.8999999999999998E-3</v>
      </c>
      <c r="D47" s="198"/>
    </row>
    <row r="48" spans="1:4">
      <c r="A48" s="8">
        <f t="shared" si="0"/>
        <v>41</v>
      </c>
      <c r="B48" s="325">
        <v>42826</v>
      </c>
      <c r="C48" s="1004">
        <v>3.0999999999999999E-3</v>
      </c>
    </row>
    <row r="49" spans="1:5">
      <c r="A49" s="8">
        <f t="shared" si="0"/>
        <v>42</v>
      </c>
      <c r="B49" s="325">
        <v>42856</v>
      </c>
      <c r="C49" s="1004">
        <v>3.0999999999999999E-3</v>
      </c>
    </row>
    <row r="50" spans="1:5">
      <c r="A50" s="8">
        <f t="shared" si="0"/>
        <v>43</v>
      </c>
      <c r="B50" s="325">
        <v>42887</v>
      </c>
      <c r="C50" s="1004">
        <v>3.0999999999999999E-3</v>
      </c>
      <c r="D50" s="198"/>
    </row>
    <row r="51" spans="1:5" ht="12.75" thickBot="1">
      <c r="A51" s="8">
        <f t="shared" si="0"/>
        <v>44</v>
      </c>
      <c r="B51" s="325">
        <v>42917</v>
      </c>
      <c r="C51" s="1004">
        <v>3.3E-3</v>
      </c>
    </row>
    <row r="52" spans="1:5" ht="13.5" thickBot="1">
      <c r="A52" s="8">
        <f t="shared" si="0"/>
        <v>45</v>
      </c>
      <c r="B52" s="197"/>
      <c r="C52" s="1089">
        <f>ROUND(AVERAGE(C33:C51),6)</f>
        <v>2.921E-3</v>
      </c>
      <c r="D52" s="1088">
        <f>ROUND(C52*12,6)</f>
        <v>3.5052E-2</v>
      </c>
      <c r="E52" s="19" t="s">
        <v>140</v>
      </c>
    </row>
    <row r="53" spans="1:5">
      <c r="A53" s="8"/>
    </row>
  </sheetData>
  <phoneticPr fontId="13" type="noConversion"/>
  <pageMargins left="0.5" right="0.25" top="0.5" bottom="0.25" header="0.75" footer="0.5"/>
  <pageSetup scale="90" orientation="portrait" r:id="rId1"/>
  <headerFooter alignWithMargins="0">
    <oddFooter>&amp;CPage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00FFCC"/>
    <pageSetUpPr fitToPage="1"/>
  </sheetPr>
  <dimension ref="A1:T26"/>
  <sheetViews>
    <sheetView showGridLines="0" workbookViewId="0">
      <selection activeCell="L16" sqref="L16"/>
    </sheetView>
  </sheetViews>
  <sheetFormatPr defaultColWidth="14.44140625" defaultRowHeight="12.75"/>
  <cols>
    <col min="1" max="1" width="3.88671875" style="179" customWidth="1"/>
    <col min="2" max="2" width="2.77734375" style="216" customWidth="1"/>
    <col min="3" max="3" width="26.77734375" style="216" customWidth="1"/>
    <col min="4" max="4" width="11.77734375" style="216" customWidth="1"/>
    <col min="5" max="5" width="0.88671875" style="216" customWidth="1"/>
    <col min="6" max="6" width="11.77734375" style="216" customWidth="1"/>
    <col min="7" max="7" width="0.88671875" style="216" customWidth="1"/>
    <col min="8" max="8" width="11.77734375" style="216" customWidth="1"/>
    <col min="9" max="9" width="3.21875" style="216" customWidth="1"/>
    <col min="10" max="10" width="11.77734375" style="216" customWidth="1"/>
    <col min="11" max="11" width="0.88671875" style="216" customWidth="1"/>
    <col min="12" max="12" width="11.77734375" style="216" customWidth="1"/>
    <col min="13" max="13" width="0.88671875" style="216" customWidth="1"/>
    <col min="14" max="14" width="11.77734375" style="216" customWidth="1"/>
    <col min="15" max="15" width="0.88671875" style="216" customWidth="1"/>
    <col min="16" max="16" width="11.77734375" style="216" customWidth="1"/>
    <col min="17" max="17" width="0.88671875" style="216" customWidth="1"/>
    <col min="18" max="18" width="11.77734375" style="216" customWidth="1"/>
    <col min="19" max="19" width="0.6640625" style="216" customWidth="1"/>
    <col min="20" max="20" width="12.77734375" style="216" customWidth="1"/>
    <col min="21" max="16384" width="14.44140625" style="216"/>
  </cols>
  <sheetData>
    <row r="1" spans="1:20">
      <c r="A1" s="214" t="s">
        <v>855</v>
      </c>
      <c r="B1" s="215"/>
      <c r="C1" s="215"/>
      <c r="D1" s="215"/>
      <c r="E1" s="215"/>
      <c r="F1" s="215"/>
      <c r="G1" s="215"/>
      <c r="H1" s="215"/>
      <c r="I1" s="215"/>
      <c r="J1" s="215"/>
      <c r="K1" s="215"/>
      <c r="L1" s="215"/>
      <c r="M1" s="215"/>
      <c r="N1" s="215"/>
      <c r="O1" s="215"/>
      <c r="P1" s="215"/>
      <c r="Q1" s="215"/>
      <c r="R1" s="215"/>
      <c r="S1" s="215"/>
      <c r="T1" s="204" t="str">
        <f>Cover!C1</f>
        <v>2018 Workpapers</v>
      </c>
    </row>
    <row r="2" spans="1:20">
      <c r="A2" s="214" t="s">
        <v>98</v>
      </c>
      <c r="B2" s="215"/>
      <c r="C2" s="215"/>
      <c r="D2" s="215"/>
      <c r="E2" s="215"/>
      <c r="F2" s="215"/>
      <c r="G2" s="215"/>
      <c r="H2" s="215"/>
      <c r="I2" s="215"/>
      <c r="J2" s="215"/>
      <c r="K2" s="215"/>
      <c r="L2" s="215"/>
      <c r="M2" s="215"/>
      <c r="N2" s="215"/>
      <c r="O2" s="215"/>
      <c r="P2" s="215"/>
      <c r="Q2" s="215"/>
      <c r="R2" s="215"/>
      <c r="S2" s="215"/>
      <c r="T2" s="217"/>
    </row>
    <row r="3" spans="1:20">
      <c r="A3" s="6" t="s">
        <v>1109</v>
      </c>
      <c r="B3" s="215"/>
      <c r="C3" s="215"/>
      <c r="D3" s="215" t="s">
        <v>5</v>
      </c>
      <c r="E3" s="215"/>
      <c r="F3" s="215"/>
      <c r="G3" s="215"/>
      <c r="H3" s="215"/>
      <c r="I3" s="215"/>
      <c r="J3" s="215" t="s">
        <v>5</v>
      </c>
      <c r="K3" s="215"/>
      <c r="L3" s="215"/>
      <c r="M3" s="215"/>
      <c r="N3" s="215"/>
      <c r="O3" s="215"/>
      <c r="P3" s="215"/>
      <c r="Q3" s="215"/>
      <c r="R3" s="215"/>
      <c r="S3" s="215"/>
    </row>
    <row r="4" spans="1:20">
      <c r="A4" s="398"/>
    </row>
    <row r="5" spans="1:20">
      <c r="B5" s="218"/>
      <c r="C5" s="219"/>
    </row>
    <row r="6" spans="1:20">
      <c r="B6" s="218"/>
    </row>
    <row r="7" spans="1:20">
      <c r="A7" s="207"/>
      <c r="B7" s="207"/>
      <c r="C7" s="207"/>
      <c r="S7" s="221"/>
    </row>
    <row r="8" spans="1:20">
      <c r="D8" s="207"/>
      <c r="E8" s="207"/>
      <c r="F8" s="222"/>
      <c r="G8" s="207"/>
      <c r="H8" s="222"/>
      <c r="I8" s="207"/>
      <c r="J8" s="207"/>
      <c r="K8" s="207"/>
      <c r="L8" s="222"/>
      <c r="M8" s="207"/>
      <c r="N8" s="222"/>
      <c r="O8" s="207"/>
      <c r="P8" s="222"/>
      <c r="Q8" s="207"/>
      <c r="R8" s="222"/>
      <c r="S8" s="221"/>
      <c r="T8" s="223"/>
    </row>
    <row r="9" spans="1:20">
      <c r="A9" s="179" t="s">
        <v>46</v>
      </c>
      <c r="D9" s="221" t="s">
        <v>99</v>
      </c>
      <c r="E9" s="220"/>
      <c r="F9" s="221" t="s">
        <v>183</v>
      </c>
      <c r="G9" s="220"/>
      <c r="H9" s="221" t="s">
        <v>1086</v>
      </c>
      <c r="I9" s="220"/>
      <c r="J9" s="221" t="s">
        <v>1087</v>
      </c>
      <c r="K9" s="220"/>
      <c r="L9" s="221" t="s">
        <v>1088</v>
      </c>
      <c r="M9" s="220"/>
      <c r="N9" s="221" t="s">
        <v>1089</v>
      </c>
      <c r="O9" s="220"/>
      <c r="P9" s="221" t="s">
        <v>1090</v>
      </c>
      <c r="Q9" s="220"/>
      <c r="R9" s="221" t="s">
        <v>1092</v>
      </c>
      <c r="T9" s="223" t="s">
        <v>101</v>
      </c>
    </row>
    <row r="10" spans="1:20">
      <c r="A10" s="224" t="s">
        <v>22</v>
      </c>
      <c r="D10" s="1055" t="s">
        <v>247</v>
      </c>
      <c r="E10" s="1056"/>
      <c r="F10" s="1055" t="s">
        <v>248</v>
      </c>
      <c r="G10" s="1056"/>
      <c r="H10" s="1055" t="s">
        <v>1091</v>
      </c>
      <c r="I10" s="1056"/>
      <c r="J10" s="1055" t="s">
        <v>572</v>
      </c>
      <c r="K10" s="1056"/>
      <c r="L10" s="1055" t="s">
        <v>574</v>
      </c>
      <c r="M10" s="1056"/>
      <c r="N10" s="1055" t="s">
        <v>575</v>
      </c>
      <c r="O10" s="1056"/>
      <c r="P10" s="1055" t="s">
        <v>576</v>
      </c>
      <c r="Q10" s="1056"/>
      <c r="R10" s="1057" t="s">
        <v>1093</v>
      </c>
      <c r="S10" s="1058"/>
      <c r="T10" s="1059" t="s">
        <v>1094</v>
      </c>
    </row>
    <row r="11" spans="1:20">
      <c r="A11" s="225" t="s">
        <v>27</v>
      </c>
      <c r="B11" s="226" t="s">
        <v>856</v>
      </c>
      <c r="C11" s="227"/>
      <c r="D11" s="228"/>
      <c r="F11" s="228"/>
      <c r="H11" s="228"/>
      <c r="J11" s="228"/>
      <c r="L11" s="228"/>
      <c r="N11" s="228"/>
      <c r="P11" s="228"/>
      <c r="R11" s="228"/>
      <c r="T11" s="228"/>
    </row>
    <row r="12" spans="1:20">
      <c r="A12" s="229">
        <f t="shared" ref="A12:A25" si="0">+A11+1</f>
        <v>2</v>
      </c>
      <c r="C12" s="230" t="s">
        <v>978</v>
      </c>
      <c r="D12" s="1060">
        <v>6192000</v>
      </c>
      <c r="E12" s="339"/>
      <c r="F12" s="1060">
        <v>69000</v>
      </c>
      <c r="G12" s="232"/>
      <c r="H12" s="231">
        <f t="shared" ref="H12:H23" si="1">D12+F12</f>
        <v>6261000</v>
      </c>
      <c r="I12" s="232"/>
      <c r="J12" s="1060">
        <v>666000</v>
      </c>
      <c r="K12" s="339"/>
      <c r="L12" s="1060">
        <v>679000</v>
      </c>
      <c r="M12" s="232"/>
      <c r="N12" s="1060">
        <v>121000</v>
      </c>
      <c r="O12" s="232"/>
      <c r="P12" s="1060">
        <v>80000</v>
      </c>
      <c r="Q12" s="232"/>
      <c r="R12" s="338">
        <f>J12+L12+N12+P12</f>
        <v>1546000</v>
      </c>
      <c r="S12" s="231">
        <v>0</v>
      </c>
      <c r="T12" s="233">
        <f t="shared" ref="T12:T23" si="2">H12+R12</f>
        <v>7807000</v>
      </c>
    </row>
    <row r="13" spans="1:20">
      <c r="A13" s="229">
        <f t="shared" si="0"/>
        <v>3</v>
      </c>
      <c r="C13" s="234" t="s">
        <v>47</v>
      </c>
      <c r="D13" s="1060">
        <v>5946000</v>
      </c>
      <c r="E13" s="339"/>
      <c r="F13" s="1060">
        <v>56000</v>
      </c>
      <c r="G13" s="232"/>
      <c r="H13" s="231">
        <f t="shared" si="1"/>
        <v>6002000</v>
      </c>
      <c r="I13" s="232"/>
      <c r="J13" s="1060">
        <v>626000</v>
      </c>
      <c r="K13" s="339"/>
      <c r="L13" s="1060">
        <v>692000</v>
      </c>
      <c r="M13" s="232"/>
      <c r="N13" s="1060">
        <v>115000</v>
      </c>
      <c r="O13" s="232"/>
      <c r="P13" s="1060">
        <v>78000</v>
      </c>
      <c r="Q13" s="232"/>
      <c r="R13" s="338">
        <f t="shared" ref="R13:R23" si="3">J13+L13+N13+P13</f>
        <v>1511000</v>
      </c>
      <c r="S13" s="231"/>
      <c r="T13" s="233">
        <f t="shared" si="2"/>
        <v>7513000</v>
      </c>
    </row>
    <row r="14" spans="1:20">
      <c r="A14" s="229">
        <f t="shared" si="0"/>
        <v>4</v>
      </c>
      <c r="C14" s="234" t="s">
        <v>48</v>
      </c>
      <c r="D14" s="1060">
        <v>5733000</v>
      </c>
      <c r="E14" s="339"/>
      <c r="F14" s="1060">
        <v>59000</v>
      </c>
      <c r="G14" s="232"/>
      <c r="H14" s="231">
        <f t="shared" si="1"/>
        <v>5792000</v>
      </c>
      <c r="I14" s="232"/>
      <c r="J14" s="1060">
        <v>612000</v>
      </c>
      <c r="K14" s="339"/>
      <c r="L14" s="1060">
        <v>610000</v>
      </c>
      <c r="M14" s="232"/>
      <c r="N14" s="1060">
        <v>112000</v>
      </c>
      <c r="O14" s="232"/>
      <c r="P14" s="1060">
        <v>76000</v>
      </c>
      <c r="Q14" s="232"/>
      <c r="R14" s="338">
        <f t="shared" si="3"/>
        <v>1410000</v>
      </c>
      <c r="S14" s="231"/>
      <c r="T14" s="233">
        <f t="shared" si="2"/>
        <v>7202000</v>
      </c>
    </row>
    <row r="15" spans="1:20">
      <c r="A15" s="229">
        <f t="shared" si="0"/>
        <v>5</v>
      </c>
      <c r="C15" s="234" t="s">
        <v>49</v>
      </c>
      <c r="D15" s="1060">
        <v>5316000</v>
      </c>
      <c r="E15" s="339"/>
      <c r="F15" s="1060">
        <v>45000</v>
      </c>
      <c r="G15" s="232"/>
      <c r="H15" s="231">
        <f t="shared" si="1"/>
        <v>5361000</v>
      </c>
      <c r="I15" s="232"/>
      <c r="J15" s="1060">
        <v>555000</v>
      </c>
      <c r="K15" s="339"/>
      <c r="L15" s="1060">
        <v>524000</v>
      </c>
      <c r="M15" s="232"/>
      <c r="N15" s="1060">
        <v>108000</v>
      </c>
      <c r="O15" s="232"/>
      <c r="P15" s="1060">
        <v>72000</v>
      </c>
      <c r="Q15" s="232"/>
      <c r="R15" s="338">
        <f t="shared" si="3"/>
        <v>1259000</v>
      </c>
      <c r="S15" s="231"/>
      <c r="T15" s="233">
        <f t="shared" si="2"/>
        <v>6620000</v>
      </c>
    </row>
    <row r="16" spans="1:20">
      <c r="A16" s="229">
        <f t="shared" si="0"/>
        <v>6</v>
      </c>
      <c r="C16" s="234" t="s">
        <v>21</v>
      </c>
      <c r="D16" s="1060">
        <v>6765000</v>
      </c>
      <c r="E16" s="339"/>
      <c r="F16" s="1060">
        <v>54000</v>
      </c>
      <c r="G16" s="232"/>
      <c r="H16" s="231">
        <f t="shared" si="1"/>
        <v>6819000</v>
      </c>
      <c r="I16" s="232"/>
      <c r="J16" s="1060">
        <v>600000</v>
      </c>
      <c r="K16" s="339"/>
      <c r="L16" s="1060">
        <v>663000</v>
      </c>
      <c r="M16" s="232"/>
      <c r="N16" s="1060">
        <v>123000</v>
      </c>
      <c r="O16" s="232"/>
      <c r="P16" s="1060">
        <v>75000</v>
      </c>
      <c r="Q16" s="232"/>
      <c r="R16" s="338">
        <f t="shared" si="3"/>
        <v>1461000</v>
      </c>
      <c r="S16" s="231"/>
      <c r="T16" s="233">
        <f t="shared" si="2"/>
        <v>8280000</v>
      </c>
    </row>
    <row r="17" spans="1:20">
      <c r="A17" s="229">
        <f t="shared" si="0"/>
        <v>7</v>
      </c>
      <c r="C17" s="234" t="s">
        <v>50</v>
      </c>
      <c r="D17" s="1060">
        <v>8250000</v>
      </c>
      <c r="E17" s="339"/>
      <c r="F17" s="1060">
        <v>60000</v>
      </c>
      <c r="G17" s="232"/>
      <c r="H17" s="231">
        <f t="shared" si="1"/>
        <v>8310000</v>
      </c>
      <c r="I17" s="232"/>
      <c r="J17" s="1060">
        <v>738000</v>
      </c>
      <c r="K17" s="339"/>
      <c r="L17" s="1060">
        <v>812000</v>
      </c>
      <c r="M17" s="232"/>
      <c r="N17" s="1060">
        <v>140000</v>
      </c>
      <c r="O17" s="232"/>
      <c r="P17" s="1060">
        <v>81000</v>
      </c>
      <c r="Q17" s="232"/>
      <c r="R17" s="338">
        <f t="shared" si="3"/>
        <v>1771000</v>
      </c>
      <c r="S17" s="231"/>
      <c r="T17" s="233">
        <f t="shared" si="2"/>
        <v>10081000</v>
      </c>
    </row>
    <row r="18" spans="1:20">
      <c r="A18" s="229">
        <f t="shared" si="0"/>
        <v>8</v>
      </c>
      <c r="C18" s="234" t="s">
        <v>51</v>
      </c>
      <c r="D18" s="1060">
        <v>8938000</v>
      </c>
      <c r="E18" s="339"/>
      <c r="F18" s="1060">
        <v>89000</v>
      </c>
      <c r="G18" s="232"/>
      <c r="H18" s="231">
        <f t="shared" si="1"/>
        <v>9027000</v>
      </c>
      <c r="I18" s="232"/>
      <c r="J18" s="1060">
        <v>844000</v>
      </c>
      <c r="K18" s="339"/>
      <c r="L18" s="1060">
        <v>833000</v>
      </c>
      <c r="M18" s="232"/>
      <c r="N18" s="1060">
        <v>159000</v>
      </c>
      <c r="O18" s="232"/>
      <c r="P18" s="1060">
        <v>83000</v>
      </c>
      <c r="Q18" s="232"/>
      <c r="R18" s="338">
        <f t="shared" si="3"/>
        <v>1919000</v>
      </c>
      <c r="S18" s="231"/>
      <c r="T18" s="233">
        <f t="shared" si="2"/>
        <v>10946000</v>
      </c>
    </row>
    <row r="19" spans="1:20">
      <c r="A19" s="229">
        <f t="shared" si="0"/>
        <v>9</v>
      </c>
      <c r="C19" s="234" t="s">
        <v>52</v>
      </c>
      <c r="D19" s="1060">
        <v>8543000</v>
      </c>
      <c r="E19" s="339"/>
      <c r="F19" s="1060">
        <v>80000</v>
      </c>
      <c r="G19" s="232"/>
      <c r="H19" s="231">
        <f t="shared" si="1"/>
        <v>8623000</v>
      </c>
      <c r="I19" s="232"/>
      <c r="J19" s="1060">
        <v>834000</v>
      </c>
      <c r="K19" s="339"/>
      <c r="L19" s="1060">
        <v>912000</v>
      </c>
      <c r="M19" s="232"/>
      <c r="N19" s="1060">
        <v>154000</v>
      </c>
      <c r="O19" s="232"/>
      <c r="P19" s="1060">
        <v>83000</v>
      </c>
      <c r="Q19" s="232"/>
      <c r="R19" s="338">
        <f t="shared" si="3"/>
        <v>1983000</v>
      </c>
      <c r="S19" s="231"/>
      <c r="T19" s="233">
        <f t="shared" si="2"/>
        <v>10606000</v>
      </c>
    </row>
    <row r="20" spans="1:20">
      <c r="A20" s="229">
        <f t="shared" si="0"/>
        <v>10</v>
      </c>
      <c r="C20" s="234" t="s">
        <v>53</v>
      </c>
      <c r="D20" s="1060">
        <v>7664000</v>
      </c>
      <c r="E20" s="339"/>
      <c r="F20" s="1060">
        <v>51000</v>
      </c>
      <c r="G20" s="232"/>
      <c r="H20" s="231">
        <f t="shared" si="1"/>
        <v>7715000</v>
      </c>
      <c r="I20" s="232"/>
      <c r="J20" s="1060">
        <v>706000</v>
      </c>
      <c r="K20" s="339"/>
      <c r="L20" s="1060">
        <v>760000</v>
      </c>
      <c r="M20" s="232"/>
      <c r="N20" s="1060">
        <v>146000</v>
      </c>
      <c r="O20" s="232"/>
      <c r="P20" s="1060">
        <v>80000</v>
      </c>
      <c r="Q20" s="232"/>
      <c r="R20" s="338">
        <f t="shared" si="3"/>
        <v>1692000</v>
      </c>
      <c r="S20" s="231"/>
      <c r="T20" s="233">
        <f t="shared" si="2"/>
        <v>9407000</v>
      </c>
    </row>
    <row r="21" spans="1:20">
      <c r="A21" s="229">
        <f t="shared" si="0"/>
        <v>11</v>
      </c>
      <c r="C21" s="234" t="s">
        <v>54</v>
      </c>
      <c r="D21" s="1060">
        <v>5619000</v>
      </c>
      <c r="E21" s="339"/>
      <c r="F21" s="1060">
        <v>52000</v>
      </c>
      <c r="G21" s="232"/>
      <c r="H21" s="231">
        <f t="shared" si="1"/>
        <v>5671000</v>
      </c>
      <c r="I21" s="232"/>
      <c r="J21" s="1060">
        <v>595000</v>
      </c>
      <c r="K21" s="339"/>
      <c r="L21" s="1060">
        <v>578000</v>
      </c>
      <c r="M21" s="232"/>
      <c r="N21" s="1060">
        <v>111000</v>
      </c>
      <c r="O21" s="232"/>
      <c r="P21" s="1060">
        <v>74000</v>
      </c>
      <c r="Q21" s="232"/>
      <c r="R21" s="338">
        <f t="shared" si="3"/>
        <v>1358000</v>
      </c>
      <c r="S21" s="231"/>
      <c r="T21" s="233">
        <f t="shared" si="2"/>
        <v>7029000</v>
      </c>
    </row>
    <row r="22" spans="1:20">
      <c r="A22" s="229">
        <f t="shared" si="0"/>
        <v>12</v>
      </c>
      <c r="C22" s="234" t="s">
        <v>55</v>
      </c>
      <c r="D22" s="1060">
        <v>5657000</v>
      </c>
      <c r="E22" s="339"/>
      <c r="F22" s="1060">
        <v>59000</v>
      </c>
      <c r="G22" s="232"/>
      <c r="H22" s="231">
        <f t="shared" si="1"/>
        <v>5716000</v>
      </c>
      <c r="I22" s="232"/>
      <c r="J22" s="1060">
        <v>593000</v>
      </c>
      <c r="K22" s="339"/>
      <c r="L22" s="1060">
        <v>671000</v>
      </c>
      <c r="M22" s="232"/>
      <c r="N22" s="1060">
        <v>113000</v>
      </c>
      <c r="O22" s="232"/>
      <c r="P22" s="1060">
        <v>75000</v>
      </c>
      <c r="Q22" s="232"/>
      <c r="R22" s="338">
        <f t="shared" si="3"/>
        <v>1452000</v>
      </c>
      <c r="S22" s="231"/>
      <c r="T22" s="233">
        <f t="shared" si="2"/>
        <v>7168000</v>
      </c>
    </row>
    <row r="23" spans="1:20">
      <c r="A23" s="229">
        <f t="shared" si="0"/>
        <v>13</v>
      </c>
      <c r="C23" s="230" t="s">
        <v>979</v>
      </c>
      <c r="D23" s="1060">
        <v>6244000</v>
      </c>
      <c r="E23" s="339"/>
      <c r="F23" s="1060">
        <v>68000</v>
      </c>
      <c r="G23" s="232"/>
      <c r="H23" s="231">
        <f t="shared" si="1"/>
        <v>6312000</v>
      </c>
      <c r="I23" s="232"/>
      <c r="J23" s="1060">
        <v>693000</v>
      </c>
      <c r="K23" s="339"/>
      <c r="L23" s="1060">
        <v>683000</v>
      </c>
      <c r="M23" s="232"/>
      <c r="N23" s="1060">
        <v>120000</v>
      </c>
      <c r="O23" s="232"/>
      <c r="P23" s="1060">
        <v>76000</v>
      </c>
      <c r="Q23" s="232"/>
      <c r="R23" s="338">
        <f t="shared" si="3"/>
        <v>1572000</v>
      </c>
      <c r="S23" s="231"/>
      <c r="T23" s="233">
        <f t="shared" si="2"/>
        <v>7884000</v>
      </c>
    </row>
    <row r="24" spans="1:20">
      <c r="A24" s="229">
        <f t="shared" si="0"/>
        <v>14</v>
      </c>
      <c r="C24" s="234"/>
      <c r="D24" s="235"/>
      <c r="E24" s="236"/>
      <c r="F24" s="235"/>
      <c r="G24" s="236"/>
      <c r="H24" s="235"/>
      <c r="J24" s="235"/>
      <c r="K24" s="236"/>
      <c r="L24" s="235"/>
      <c r="M24" s="236"/>
      <c r="N24" s="235"/>
      <c r="P24" s="235"/>
      <c r="R24" s="235"/>
      <c r="S24" s="237"/>
      <c r="T24" s="238"/>
    </row>
    <row r="25" spans="1:20" ht="13.5" thickBot="1">
      <c r="A25" s="229">
        <f t="shared" si="0"/>
        <v>15</v>
      </c>
      <c r="C25" s="239" t="s">
        <v>102</v>
      </c>
      <c r="D25" s="240">
        <f>SUM(D12:D23)/12</f>
        <v>6738916.666666667</v>
      </c>
      <c r="E25" s="236"/>
      <c r="F25" s="240">
        <f>SUM(F12:F23)/12</f>
        <v>61833.333333333336</v>
      </c>
      <c r="G25" s="236"/>
      <c r="H25" s="240">
        <f>D25+F25</f>
        <v>6800750</v>
      </c>
      <c r="J25" s="240">
        <f>SUM(J12:J23)/12</f>
        <v>671833.33333333337</v>
      </c>
      <c r="K25" s="236"/>
      <c r="L25" s="240">
        <f>SUM(L12:L23)/12</f>
        <v>701416.66666666663</v>
      </c>
      <c r="M25" s="236"/>
      <c r="N25" s="240">
        <f>SUM(N12:N23)/12</f>
        <v>126833.33333333333</v>
      </c>
      <c r="P25" s="240">
        <f>SUM(P12:P23)/12</f>
        <v>77750</v>
      </c>
      <c r="R25" s="240">
        <f>SUM(R12:R23)/12</f>
        <v>1577833.3333333333</v>
      </c>
      <c r="S25" s="241"/>
      <c r="T25" s="240">
        <f>SUM(T12:T23)/12</f>
        <v>8378583.333333333</v>
      </c>
    </row>
    <row r="26" spans="1:20" ht="13.5" thickTop="1">
      <c r="R26" s="242"/>
    </row>
  </sheetData>
  <phoneticPr fontId="13" type="noConversion"/>
  <pageMargins left="0.5" right="0.25" top="0.5" bottom="0.25" header="0.75" footer="0.5"/>
  <pageSetup scale="73" orientation="landscape" horizontalDpi="1200" verticalDpi="1200"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S439"/>
  <sheetViews>
    <sheetView showGridLines="0" topLeftCell="A262" zoomScale="80" zoomScaleNormal="80" workbookViewId="0">
      <selection activeCell="L290" sqref="L290"/>
    </sheetView>
  </sheetViews>
  <sheetFormatPr defaultRowHeight="15.75"/>
  <cols>
    <col min="1" max="1" width="10.44140625" style="432" customWidth="1"/>
    <col min="2" max="2" width="44.77734375" style="432" customWidth="1"/>
    <col min="3" max="3" width="37.88671875" style="432" customWidth="1"/>
    <col min="4" max="4" width="15.77734375" style="432" customWidth="1"/>
    <col min="5" max="5" width="5" style="432" customWidth="1"/>
    <col min="6" max="6" width="5.88671875" style="432" customWidth="1"/>
    <col min="7" max="7" width="13" style="432" bestFit="1" customWidth="1"/>
    <col min="8" max="8" width="4.6640625" style="432" customWidth="1"/>
    <col min="9" max="9" width="14.6640625" style="432" customWidth="1"/>
    <col min="10" max="10" width="2.33203125" style="432" customWidth="1"/>
    <col min="11" max="11" width="12.77734375" style="440" customWidth="1"/>
    <col min="12" max="13" width="15.88671875" style="432" customWidth="1"/>
    <col min="14" max="14" width="15" style="432" customWidth="1"/>
    <col min="15" max="15" width="42.109375" style="432" customWidth="1"/>
    <col min="16" max="16" width="15.109375" style="432" customWidth="1"/>
    <col min="17" max="17" width="14.88671875" style="432" customWidth="1"/>
    <col min="18" max="18" width="12.88671875" style="432" customWidth="1"/>
    <col min="19" max="19" width="11.6640625" style="432" customWidth="1"/>
    <col min="20" max="20" width="5.21875" style="432" customWidth="1"/>
    <col min="21" max="16384" width="8.88671875" style="432"/>
  </cols>
  <sheetData>
    <row r="1" spans="1:18">
      <c r="K1" s="433" t="s">
        <v>259</v>
      </c>
    </row>
    <row r="2" spans="1:18">
      <c r="B2" s="434"/>
      <c r="C2" s="434"/>
      <c r="D2" s="435"/>
      <c r="E2" s="434"/>
      <c r="F2" s="434"/>
      <c r="G2" s="434"/>
      <c r="H2" s="436"/>
      <c r="I2" s="437"/>
      <c r="J2" s="437"/>
      <c r="K2" s="438" t="s">
        <v>260</v>
      </c>
    </row>
    <row r="3" spans="1:18">
      <c r="B3" s="434"/>
      <c r="C3" s="434"/>
      <c r="D3" s="435"/>
      <c r="E3" s="434"/>
      <c r="F3" s="434"/>
      <c r="G3" s="434"/>
      <c r="H3" s="436"/>
      <c r="I3" s="436"/>
      <c r="J3" s="436"/>
      <c r="K3" s="439"/>
    </row>
    <row r="4" spans="1:18">
      <c r="B4" s="434" t="s">
        <v>261</v>
      </c>
      <c r="C4" s="434"/>
      <c r="D4" s="435" t="s">
        <v>262</v>
      </c>
      <c r="E4" s="434"/>
      <c r="F4" s="434"/>
      <c r="G4" s="434"/>
      <c r="H4" s="436"/>
      <c r="K4" s="438" t="s">
        <v>1121</v>
      </c>
      <c r="L4" s="440"/>
      <c r="M4" s="440"/>
    </row>
    <row r="5" spans="1:18">
      <c r="B5" s="434"/>
      <c r="C5" s="441" t="s">
        <v>5</v>
      </c>
      <c r="D5" s="441" t="s">
        <v>264</v>
      </c>
      <c r="E5" s="441"/>
      <c r="F5" s="441"/>
      <c r="G5" s="441"/>
      <c r="H5" s="436"/>
      <c r="I5" s="436"/>
      <c r="J5" s="436"/>
      <c r="K5" s="439"/>
      <c r="L5" s="440"/>
      <c r="M5" s="440"/>
    </row>
    <row r="6" spans="1:18">
      <c r="B6" s="442"/>
      <c r="C6" s="442"/>
      <c r="D6" s="442"/>
      <c r="E6" s="442"/>
      <c r="F6" s="442"/>
      <c r="G6" s="442"/>
      <c r="H6" s="442"/>
      <c r="I6" s="442"/>
      <c r="J6" s="442"/>
      <c r="K6" s="439"/>
    </row>
    <row r="7" spans="1:18">
      <c r="A7" s="1183" t="s">
        <v>265</v>
      </c>
      <c r="B7" s="1183"/>
      <c r="C7" s="1183"/>
      <c r="D7" s="1183"/>
      <c r="E7" s="1183"/>
      <c r="F7" s="1183"/>
      <c r="G7" s="1183"/>
      <c r="H7" s="1183"/>
      <c r="I7" s="1183"/>
      <c r="J7" s="1183"/>
      <c r="K7" s="1183"/>
      <c r="N7" s="444"/>
    </row>
    <row r="8" spans="1:18">
      <c r="A8" s="445"/>
      <c r="B8" s="442"/>
      <c r="C8" s="442"/>
      <c r="D8" s="446"/>
      <c r="E8" s="442"/>
      <c r="F8" s="442"/>
      <c r="G8" s="442"/>
      <c r="H8" s="442"/>
      <c r="I8" s="442"/>
      <c r="J8" s="442"/>
      <c r="K8" s="439"/>
    </row>
    <row r="9" spans="1:18">
      <c r="A9" s="445" t="s">
        <v>46</v>
      </c>
      <c r="B9" s="442"/>
      <c r="C9" s="442"/>
      <c r="D9" s="446"/>
      <c r="E9" s="442"/>
      <c r="F9" s="442"/>
      <c r="G9" s="442"/>
      <c r="H9" s="442"/>
      <c r="I9" s="445" t="s">
        <v>266</v>
      </c>
      <c r="J9" s="445"/>
      <c r="K9" s="439"/>
    </row>
    <row r="10" spans="1:18" ht="16.5" thickBot="1">
      <c r="A10" s="447" t="s">
        <v>22</v>
      </c>
      <c r="B10" s="442"/>
      <c r="C10" s="442"/>
      <c r="D10" s="442"/>
      <c r="E10" s="442"/>
      <c r="F10" s="442"/>
      <c r="G10" s="442"/>
      <c r="H10" s="442"/>
      <c r="I10" s="447" t="s">
        <v>267</v>
      </c>
      <c r="J10" s="448"/>
      <c r="K10" s="439"/>
    </row>
    <row r="11" spans="1:18">
      <c r="A11" s="445">
        <v>1</v>
      </c>
      <c r="B11" s="442" t="s">
        <v>268</v>
      </c>
      <c r="C11" s="442"/>
      <c r="D11" s="449"/>
      <c r="E11" s="442"/>
      <c r="F11" s="442"/>
      <c r="G11" s="442"/>
      <c r="H11" s="442"/>
      <c r="I11" s="450">
        <f>+I212</f>
        <v>405164242.44359183</v>
      </c>
      <c r="J11" s="450"/>
      <c r="K11" s="439"/>
    </row>
    <row r="12" spans="1:18">
      <c r="A12" s="445"/>
      <c r="B12" s="442"/>
      <c r="C12" s="442"/>
      <c r="D12" s="442"/>
      <c r="E12" s="442"/>
      <c r="F12" s="442"/>
      <c r="G12" s="442"/>
      <c r="H12" s="442"/>
      <c r="I12" s="449"/>
      <c r="J12" s="449"/>
      <c r="K12" s="439"/>
    </row>
    <row r="13" spans="1:18" ht="16.5" thickBot="1">
      <c r="A13" s="445" t="s">
        <v>5</v>
      </c>
      <c r="B13" s="451" t="s">
        <v>269</v>
      </c>
      <c r="C13" s="452" t="s">
        <v>270</v>
      </c>
      <c r="D13" s="447" t="s">
        <v>23</v>
      </c>
      <c r="E13" s="441"/>
      <c r="F13" s="453" t="s">
        <v>271</v>
      </c>
      <c r="G13" s="453"/>
      <c r="H13" s="442"/>
      <c r="I13" s="449"/>
      <c r="J13" s="449"/>
      <c r="K13" s="439"/>
    </row>
    <row r="14" spans="1:18">
      <c r="A14" s="445">
        <v>2</v>
      </c>
      <c r="B14" s="451" t="s">
        <v>272</v>
      </c>
      <c r="C14" s="441" t="s">
        <v>273</v>
      </c>
      <c r="D14" s="441">
        <f>I285</f>
        <v>1200206.2966666666</v>
      </c>
      <c r="E14" s="441"/>
      <c r="F14" s="441" t="s">
        <v>274</v>
      </c>
      <c r="G14" s="454">
        <f>I235</f>
        <v>0.9801350103114348</v>
      </c>
      <c r="H14" s="441"/>
      <c r="I14" s="441">
        <f>+G14*D14</f>
        <v>1176364.2109592322</v>
      </c>
      <c r="J14" s="441"/>
      <c r="K14" s="439"/>
    </row>
    <row r="15" spans="1:18">
      <c r="A15" s="445">
        <v>3</v>
      </c>
      <c r="B15" s="451" t="s">
        <v>275</v>
      </c>
      <c r="C15" s="441" t="s">
        <v>276</v>
      </c>
      <c r="D15" s="441">
        <f>I292</f>
        <v>11547239.233507127</v>
      </c>
      <c r="E15" s="441"/>
      <c r="F15" s="441" t="str">
        <f t="shared" ref="F15:G17" si="0">+F14</f>
        <v>TP</v>
      </c>
      <c r="G15" s="454">
        <f t="shared" si="0"/>
        <v>0.9801350103114348</v>
      </c>
      <c r="H15" s="441"/>
      <c r="I15" s="441">
        <f>+G15*D15</f>
        <v>11317853.445202112</v>
      </c>
      <c r="J15" s="441"/>
      <c r="K15" s="439"/>
    </row>
    <row r="16" spans="1:18">
      <c r="A16" s="445">
        <v>4</v>
      </c>
      <c r="B16" s="455" t="s">
        <v>277</v>
      </c>
      <c r="C16" s="441"/>
      <c r="D16" s="456">
        <v>0</v>
      </c>
      <c r="E16" s="441"/>
      <c r="F16" s="441" t="str">
        <f t="shared" si="0"/>
        <v>TP</v>
      </c>
      <c r="G16" s="454">
        <f t="shared" si="0"/>
        <v>0.9801350103114348</v>
      </c>
      <c r="H16" s="441"/>
      <c r="I16" s="441">
        <f>+G16*D16</f>
        <v>0</v>
      </c>
      <c r="J16" s="441"/>
      <c r="K16" s="439"/>
      <c r="P16" s="961" t="s">
        <v>278</v>
      </c>
      <c r="Q16" s="961" t="s">
        <v>278</v>
      </c>
      <c r="R16" s="961" t="s">
        <v>145</v>
      </c>
    </row>
    <row r="17" spans="1:19" ht="16.5" thickBot="1">
      <c r="A17" s="445">
        <v>5</v>
      </c>
      <c r="B17" s="455" t="s">
        <v>279</v>
      </c>
      <c r="C17" s="441"/>
      <c r="D17" s="456">
        <v>0</v>
      </c>
      <c r="E17" s="441"/>
      <c r="F17" s="441" t="str">
        <f t="shared" si="0"/>
        <v>TP</v>
      </c>
      <c r="G17" s="454">
        <f t="shared" si="0"/>
        <v>0.9801350103114348</v>
      </c>
      <c r="H17" s="441"/>
      <c r="I17" s="457">
        <f>+G17*D17</f>
        <v>0</v>
      </c>
      <c r="J17" s="458"/>
      <c r="K17" s="439"/>
      <c r="P17" s="961" t="s">
        <v>280</v>
      </c>
      <c r="Q17" s="961" t="s">
        <v>280</v>
      </c>
      <c r="R17" s="961" t="s">
        <v>281</v>
      </c>
    </row>
    <row r="18" spans="1:19">
      <c r="A18" s="445">
        <v>6</v>
      </c>
      <c r="B18" s="451" t="s">
        <v>282</v>
      </c>
      <c r="C18" s="442"/>
      <c r="D18" s="459" t="s">
        <v>5</v>
      </c>
      <c r="E18" s="441"/>
      <c r="F18" s="441"/>
      <c r="G18" s="454"/>
      <c r="H18" s="441"/>
      <c r="I18" s="441">
        <f>SUM(I14:I17)</f>
        <v>12494217.656161344</v>
      </c>
      <c r="J18" s="441"/>
      <c r="K18" s="439"/>
      <c r="N18" s="432" t="s">
        <v>283</v>
      </c>
      <c r="O18" s="432" t="s">
        <v>278</v>
      </c>
      <c r="P18" s="961" t="s">
        <v>284</v>
      </c>
      <c r="Q18" s="961" t="s">
        <v>285</v>
      </c>
      <c r="R18" s="961" t="s">
        <v>286</v>
      </c>
    </row>
    <row r="19" spans="1:19">
      <c r="A19" s="445"/>
      <c r="B19" s="451"/>
      <c r="C19" s="442"/>
      <c r="D19" s="459"/>
      <c r="E19" s="441"/>
      <c r="F19" s="441"/>
      <c r="G19" s="454"/>
      <c r="H19" s="441"/>
      <c r="I19" s="441"/>
      <c r="J19" s="452"/>
      <c r="K19" s="439"/>
      <c r="N19" s="432" t="s">
        <v>287</v>
      </c>
      <c r="O19" s="965">
        <f>+Q28</f>
        <v>11842378.140000001</v>
      </c>
      <c r="P19" s="965">
        <v>0</v>
      </c>
      <c r="Q19" s="965">
        <f>O19-P19</f>
        <v>11842378.140000001</v>
      </c>
      <c r="R19" s="966">
        <f>Q19/Q21</f>
        <v>3.4298686179645844E-3</v>
      </c>
    </row>
    <row r="20" spans="1:19">
      <c r="A20" s="460" t="s">
        <v>288</v>
      </c>
      <c r="B20" s="440" t="s">
        <v>289</v>
      </c>
      <c r="C20" s="439"/>
      <c r="D20" s="452" t="s">
        <v>5</v>
      </c>
      <c r="E20" s="439"/>
      <c r="F20" s="439"/>
      <c r="G20" s="461"/>
      <c r="H20" s="439"/>
      <c r="I20" s="462">
        <f>'Prior Year True Up'!$D$8</f>
        <v>374467606</v>
      </c>
      <c r="J20" s="463"/>
      <c r="K20" s="439"/>
      <c r="L20" s="946"/>
      <c r="N20" s="432" t="s">
        <v>290</v>
      </c>
      <c r="O20" s="967">
        <f>+O21-O19</f>
        <v>4608315201.6584616</v>
      </c>
      <c r="P20" s="968">
        <f>'Attachment GG and MM Proj'!$E$48</f>
        <v>1167436948.4677718</v>
      </c>
      <c r="Q20" s="967">
        <f>O20-P20</f>
        <v>3440878253.19069</v>
      </c>
      <c r="R20" s="969">
        <f>Q20/Q21</f>
        <v>0.99657013138203543</v>
      </c>
    </row>
    <row r="21" spans="1:19" ht="16.5" thickBot="1">
      <c r="A21" s="460" t="s">
        <v>291</v>
      </c>
      <c r="B21" s="440" t="s">
        <v>292</v>
      </c>
      <c r="C21" s="439" t="s">
        <v>293</v>
      </c>
      <c r="D21" s="452"/>
      <c r="E21" s="439"/>
      <c r="F21" s="439"/>
      <c r="G21" s="461"/>
      <c r="H21" s="439"/>
      <c r="I21" s="464">
        <f>'Prior Year True Up'!$F$8</f>
        <v>395739384</v>
      </c>
      <c r="J21" s="463"/>
      <c r="K21" s="439"/>
      <c r="L21" s="946"/>
      <c r="N21" s="432" t="s">
        <v>23</v>
      </c>
      <c r="O21" s="970">
        <f>+I87</f>
        <v>4620157579.7984619</v>
      </c>
      <c r="P21" s="970">
        <f>SUM(P19:P20)</f>
        <v>1167436948.4677718</v>
      </c>
      <c r="Q21" s="970">
        <f>SUM(Q19:Q20)</f>
        <v>3452720631.3306899</v>
      </c>
      <c r="R21" s="969">
        <f>SUM(R19:R20)</f>
        <v>1</v>
      </c>
    </row>
    <row r="22" spans="1:19">
      <c r="A22" s="460" t="s">
        <v>294</v>
      </c>
      <c r="B22" s="440" t="s">
        <v>295</v>
      </c>
      <c r="C22" s="439" t="s">
        <v>296</v>
      </c>
      <c r="D22" s="452"/>
      <c r="E22" s="439"/>
      <c r="F22" s="439"/>
      <c r="G22" s="461"/>
      <c r="H22" s="439"/>
      <c r="I22" s="463">
        <f>I20-I21</f>
        <v>-21271778</v>
      </c>
      <c r="J22" s="463"/>
      <c r="K22" s="467"/>
      <c r="L22" s="946"/>
    </row>
    <row r="23" spans="1:19">
      <c r="A23" s="460" t="s">
        <v>297</v>
      </c>
      <c r="B23" s="440" t="s">
        <v>298</v>
      </c>
      <c r="C23" s="439" t="s">
        <v>299</v>
      </c>
      <c r="D23" s="452"/>
      <c r="E23" s="439"/>
      <c r="F23" s="439"/>
      <c r="G23" s="461"/>
      <c r="H23" s="439"/>
      <c r="I23" s="462">
        <f>-'Prior Year True Up'!$H$24</f>
        <v>677498.83739999996</v>
      </c>
      <c r="J23" s="463"/>
      <c r="K23" s="439"/>
      <c r="L23" s="946"/>
    </row>
    <row r="24" spans="1:19" ht="16.5" thickBot="1">
      <c r="A24" s="460" t="s">
        <v>300</v>
      </c>
      <c r="B24" s="440" t="s">
        <v>301</v>
      </c>
      <c r="C24" s="439"/>
      <c r="D24" s="452"/>
      <c r="E24" s="439"/>
      <c r="F24" s="439"/>
      <c r="G24" s="461"/>
      <c r="H24" s="439"/>
      <c r="I24" s="464">
        <f>'True Up Interest Calc '!$C$15</f>
        <v>-1488806.2319525904</v>
      </c>
      <c r="J24" s="463"/>
      <c r="K24" s="467"/>
      <c r="L24" s="946"/>
    </row>
    <row r="25" spans="1:19">
      <c r="A25" s="445"/>
      <c r="B25" s="451"/>
      <c r="C25" s="442"/>
      <c r="I25" s="441"/>
      <c r="J25" s="452"/>
      <c r="K25" s="439"/>
      <c r="L25" s="946"/>
    </row>
    <row r="26" spans="1:19" ht="16.5" thickBot="1">
      <c r="A26" s="445">
        <v>7</v>
      </c>
      <c r="B26" s="451" t="s">
        <v>121</v>
      </c>
      <c r="C26" s="439" t="s">
        <v>302</v>
      </c>
      <c r="D26" s="459"/>
      <c r="E26" s="441"/>
      <c r="F26" s="441"/>
      <c r="G26" s="441"/>
      <c r="H26" s="441"/>
      <c r="I26" s="465">
        <f>+I11-I18+I22+I23+I24</f>
        <v>370586939.39287788</v>
      </c>
      <c r="J26" s="466"/>
      <c r="K26" s="467"/>
      <c r="L26" s="946"/>
    </row>
    <row r="27" spans="1:19" ht="16.5" thickTop="1">
      <c r="A27" s="445"/>
      <c r="C27" s="442"/>
      <c r="D27" s="459"/>
      <c r="E27" s="441"/>
      <c r="F27" s="441"/>
      <c r="G27" s="441"/>
      <c r="H27" s="441"/>
      <c r="J27" s="440"/>
      <c r="K27" s="439"/>
      <c r="L27" s="946"/>
      <c r="Q27" s="1184"/>
      <c r="R27" s="1184"/>
      <c r="S27" s="1184"/>
    </row>
    <row r="28" spans="1:19">
      <c r="A28" s="445"/>
      <c r="B28" s="451" t="s">
        <v>303</v>
      </c>
      <c r="C28" s="442"/>
      <c r="D28" s="449"/>
      <c r="E28" s="442"/>
      <c r="F28" s="442"/>
      <c r="G28" s="442"/>
      <c r="H28" s="442"/>
      <c r="I28" s="449"/>
      <c r="J28" s="467"/>
      <c r="K28" s="439"/>
      <c r="L28" s="946"/>
      <c r="N28" s="1066">
        <v>8121493.1973192394</v>
      </c>
      <c r="O28" s="468" t="s">
        <v>304</v>
      </c>
      <c r="P28" s="469"/>
      <c r="Q28" s="1066">
        <v>11842378.140000001</v>
      </c>
      <c r="R28" s="468" t="s">
        <v>305</v>
      </c>
      <c r="S28" s="469"/>
    </row>
    <row r="29" spans="1:19">
      <c r="A29" s="445">
        <v>8</v>
      </c>
      <c r="B29" s="470" t="s">
        <v>306</v>
      </c>
      <c r="C29" s="440"/>
      <c r="D29" s="449"/>
      <c r="E29" s="442"/>
      <c r="F29" s="442"/>
      <c r="G29" s="471" t="s">
        <v>307</v>
      </c>
      <c r="H29" s="442"/>
      <c r="I29" s="472">
        <f>'Divisor '!H25</f>
        <v>6800750</v>
      </c>
      <c r="J29" s="467"/>
      <c r="K29" s="439"/>
      <c r="L29" s="946"/>
      <c r="N29" s="971">
        <f>N28/I103</f>
        <v>2.350654500417851E-3</v>
      </c>
      <c r="O29" s="473" t="s">
        <v>308</v>
      </c>
      <c r="P29" s="972"/>
      <c r="Q29" s="973">
        <f>R19</f>
        <v>3.4298686179645844E-3</v>
      </c>
      <c r="R29" s="473" t="s">
        <v>309</v>
      </c>
      <c r="S29" s="474"/>
    </row>
    <row r="30" spans="1:19">
      <c r="A30" s="445">
        <v>9</v>
      </c>
      <c r="B30" s="451" t="s">
        <v>310</v>
      </c>
      <c r="C30" s="441"/>
      <c r="D30" s="441"/>
      <c r="E30" s="441"/>
      <c r="F30" s="441"/>
      <c r="G30" s="452" t="s">
        <v>311</v>
      </c>
      <c r="H30" s="441"/>
      <c r="I30" s="472">
        <v>0</v>
      </c>
      <c r="J30" s="467"/>
      <c r="K30" s="439"/>
      <c r="L30" s="946"/>
      <c r="N30" s="974">
        <f>P32/P34</f>
        <v>7.3799269964094968E-3</v>
      </c>
      <c r="O30" s="475" t="s">
        <v>312</v>
      </c>
      <c r="P30" s="975"/>
      <c r="Q30" s="976"/>
      <c r="R30" s="475"/>
      <c r="S30" s="476"/>
    </row>
    <row r="31" spans="1:19">
      <c r="A31" s="445">
        <v>10</v>
      </c>
      <c r="B31" s="455" t="s">
        <v>123</v>
      </c>
      <c r="C31" s="442"/>
      <c r="D31" s="442"/>
      <c r="E31" s="442"/>
      <c r="G31" s="471" t="s">
        <v>313</v>
      </c>
      <c r="H31" s="442"/>
      <c r="I31" s="472">
        <f>'Divisor '!$R$25</f>
        <v>1577833.3333333333</v>
      </c>
      <c r="J31" s="467"/>
      <c r="K31" s="439"/>
      <c r="N31" s="977" t="s">
        <v>283</v>
      </c>
      <c r="O31" s="978" t="s">
        <v>314</v>
      </c>
      <c r="P31" s="979" t="s">
        <v>101</v>
      </c>
      <c r="Q31" s="977" t="s">
        <v>283</v>
      </c>
      <c r="R31" s="978" t="s">
        <v>314</v>
      </c>
      <c r="S31" s="979" t="s">
        <v>101</v>
      </c>
    </row>
    <row r="32" spans="1:19">
      <c r="A32" s="445">
        <v>11</v>
      </c>
      <c r="B32" s="451" t="s">
        <v>315</v>
      </c>
      <c r="C32" s="442"/>
      <c r="D32" s="442"/>
      <c r="E32" s="442"/>
      <c r="G32" s="471" t="s">
        <v>316</v>
      </c>
      <c r="H32" s="442"/>
      <c r="I32" s="477">
        <v>0</v>
      </c>
      <c r="J32" s="455"/>
      <c r="K32" s="439"/>
      <c r="N32" s="553" t="s">
        <v>287</v>
      </c>
      <c r="O32" s="980">
        <f>N29*I26</f>
        <v>871121.85687994573</v>
      </c>
      <c r="P32" s="981">
        <f>'Divisor '!F25</f>
        <v>61833.333333333336</v>
      </c>
      <c r="Q32" s="982" t="s">
        <v>287</v>
      </c>
      <c r="R32" s="983">
        <f>Q29*I26</f>
        <v>1271064.5136511752</v>
      </c>
      <c r="S32" s="984">
        <f>P32</f>
        <v>61833.333333333336</v>
      </c>
    </row>
    <row r="33" spans="1:19">
      <c r="A33" s="445">
        <v>12</v>
      </c>
      <c r="B33" s="455" t="s">
        <v>124</v>
      </c>
      <c r="C33" s="442"/>
      <c r="D33" s="442"/>
      <c r="E33" s="442"/>
      <c r="F33" s="442"/>
      <c r="G33" s="436"/>
      <c r="H33" s="442"/>
      <c r="I33" s="477">
        <v>0</v>
      </c>
      <c r="J33" s="455"/>
      <c r="K33" s="439"/>
      <c r="N33" s="553" t="s">
        <v>290</v>
      </c>
      <c r="O33" s="980">
        <f>O34-O32</f>
        <v>369715817.53599793</v>
      </c>
      <c r="P33" s="985">
        <f>P34-P32</f>
        <v>8316750</v>
      </c>
      <c r="Q33" s="553" t="s">
        <v>290</v>
      </c>
      <c r="R33" s="980">
        <f>R34-R32</f>
        <v>369315874.87922668</v>
      </c>
      <c r="S33" s="986">
        <f>P33</f>
        <v>8316750</v>
      </c>
    </row>
    <row r="34" spans="1:19">
      <c r="A34" s="445">
        <v>13</v>
      </c>
      <c r="B34" s="455" t="s">
        <v>317</v>
      </c>
      <c r="C34" s="442"/>
      <c r="D34" s="442"/>
      <c r="E34" s="442"/>
      <c r="F34" s="442"/>
      <c r="G34" s="471"/>
      <c r="H34" s="442"/>
      <c r="I34" s="477">
        <v>0</v>
      </c>
      <c r="J34" s="455"/>
      <c r="K34" s="439"/>
      <c r="N34" s="987" t="s">
        <v>23</v>
      </c>
      <c r="O34" s="988">
        <f>I26</f>
        <v>370586939.39287788</v>
      </c>
      <c r="P34" s="989">
        <f>I37</f>
        <v>8378583.333333333</v>
      </c>
      <c r="Q34" s="987" t="s">
        <v>23</v>
      </c>
      <c r="R34" s="988">
        <f>I26</f>
        <v>370586939.39287788</v>
      </c>
      <c r="S34" s="990">
        <f>SUM(S32:S33)</f>
        <v>8378583.333333333</v>
      </c>
    </row>
    <row r="35" spans="1:19" ht="16.5" thickBot="1">
      <c r="A35" s="445">
        <v>14</v>
      </c>
      <c r="B35" s="455" t="s">
        <v>318</v>
      </c>
      <c r="C35" s="442"/>
      <c r="D35" s="442"/>
      <c r="E35" s="442"/>
      <c r="F35" s="442"/>
      <c r="G35" s="436"/>
      <c r="H35" s="442"/>
      <c r="I35" s="478">
        <v>0</v>
      </c>
      <c r="J35" s="455"/>
      <c r="K35" s="439"/>
    </row>
    <row r="36" spans="1:19" s="440" customFormat="1">
      <c r="A36" s="460"/>
      <c r="B36" s="455"/>
      <c r="C36" s="439"/>
      <c r="D36" s="439"/>
      <c r="E36" s="439"/>
      <c r="F36" s="439"/>
      <c r="G36" s="471"/>
      <c r="H36" s="439"/>
      <c r="I36" s="455"/>
      <c r="J36" s="455"/>
      <c r="K36" s="439"/>
      <c r="N36" s="432"/>
      <c r="O36" s="432"/>
      <c r="P36" s="432"/>
    </row>
    <row r="37" spans="1:19">
      <c r="A37" s="445">
        <v>15</v>
      </c>
      <c r="B37" s="434" t="s">
        <v>125</v>
      </c>
      <c r="C37" s="442"/>
      <c r="D37" s="442"/>
      <c r="E37" s="442"/>
      <c r="F37" s="442"/>
      <c r="G37" s="442"/>
      <c r="H37" s="442"/>
      <c r="I37" s="467">
        <f>SUM(I29:I35)</f>
        <v>8378583.333333333</v>
      </c>
      <c r="J37" s="467"/>
      <c r="K37" s="439"/>
      <c r="L37" s="440"/>
    </row>
    <row r="38" spans="1:19">
      <c r="A38" s="445">
        <v>16</v>
      </c>
      <c r="B38" s="451" t="s">
        <v>126</v>
      </c>
      <c r="C38" s="442" t="s">
        <v>319</v>
      </c>
      <c r="D38" s="479">
        <f>IF(I37&gt;0,I26/I37,0)</f>
        <v>44.230262402300852</v>
      </c>
      <c r="E38" s="442"/>
      <c r="F38" s="442"/>
      <c r="G38" s="442"/>
      <c r="H38" s="442"/>
      <c r="J38" s="440"/>
      <c r="K38" s="439"/>
      <c r="L38" s="947"/>
    </row>
    <row r="39" spans="1:19">
      <c r="A39" s="445">
        <v>17</v>
      </c>
      <c r="B39" s="451" t="s">
        <v>320</v>
      </c>
      <c r="C39" s="442" t="s">
        <v>321</v>
      </c>
      <c r="D39" s="480">
        <f>+D38/12</f>
        <v>3.6858552001917375</v>
      </c>
      <c r="E39" s="442"/>
      <c r="F39" s="442"/>
      <c r="G39" s="442"/>
      <c r="H39" s="442"/>
      <c r="K39" s="439"/>
      <c r="L39" s="948"/>
    </row>
    <row r="40" spans="1:19">
      <c r="A40" s="445"/>
      <c r="B40" s="451"/>
      <c r="C40" s="442"/>
      <c r="D40" s="480"/>
      <c r="E40" s="442"/>
      <c r="F40" s="442"/>
      <c r="G40" s="442"/>
      <c r="H40" s="442"/>
      <c r="K40" s="439"/>
      <c r="L40" s="440"/>
    </row>
    <row r="41" spans="1:19">
      <c r="A41" s="445"/>
      <c r="B41" s="451"/>
      <c r="C41" s="442"/>
      <c r="D41" s="481" t="s">
        <v>322</v>
      </c>
      <c r="E41" s="442"/>
      <c r="F41" s="442"/>
      <c r="G41" s="442"/>
      <c r="H41" s="442"/>
      <c r="I41" s="482" t="s">
        <v>323</v>
      </c>
      <c r="J41" s="482"/>
      <c r="K41" s="439"/>
      <c r="L41" s="440"/>
    </row>
    <row r="42" spans="1:19">
      <c r="A42" s="445">
        <v>18</v>
      </c>
      <c r="B42" s="451" t="s">
        <v>324</v>
      </c>
      <c r="C42" s="483" t="s">
        <v>325</v>
      </c>
      <c r="D42" s="480">
        <f>+D38/52</f>
        <v>0.85058196927501639</v>
      </c>
      <c r="E42" s="442"/>
      <c r="F42" s="442"/>
      <c r="G42" s="442"/>
      <c r="H42" s="442"/>
      <c r="I42" s="484">
        <f>+D38/52</f>
        <v>0.85058196927501639</v>
      </c>
      <c r="J42" s="484"/>
      <c r="K42" s="439"/>
    </row>
    <row r="43" spans="1:19">
      <c r="A43" s="445">
        <v>19</v>
      </c>
      <c r="B43" s="451" t="s">
        <v>326</v>
      </c>
      <c r="C43" s="442" t="s">
        <v>327</v>
      </c>
      <c r="D43" s="480">
        <f>+D38/260</f>
        <v>0.17011639385500327</v>
      </c>
      <c r="E43" s="442" t="s">
        <v>328</v>
      </c>
      <c r="G43" s="442"/>
      <c r="H43" s="442"/>
      <c r="I43" s="484">
        <f>D38/365</f>
        <v>0.12117880110219412</v>
      </c>
      <c r="J43" s="484"/>
      <c r="K43" s="439"/>
    </row>
    <row r="44" spans="1:19">
      <c r="A44" s="445">
        <v>20</v>
      </c>
      <c r="B44" s="451" t="s">
        <v>329</v>
      </c>
      <c r="C44" s="442" t="s">
        <v>330</v>
      </c>
      <c r="D44" s="480">
        <f>+D38/4160*1000</f>
        <v>10.632274615937705</v>
      </c>
      <c r="E44" s="442" t="s">
        <v>331</v>
      </c>
      <c r="G44" s="442"/>
      <c r="H44" s="442"/>
      <c r="I44" s="484">
        <f>+D38/8760*1000</f>
        <v>5.049116712591422</v>
      </c>
      <c r="J44" s="484"/>
      <c r="K44" s="439" t="s">
        <v>5</v>
      </c>
    </row>
    <row r="45" spans="1:19">
      <c r="A45" s="445"/>
      <c r="B45" s="451"/>
      <c r="C45" s="442" t="s">
        <v>332</v>
      </c>
      <c r="D45" s="442"/>
      <c r="E45" s="442" t="s">
        <v>333</v>
      </c>
      <c r="G45" s="442"/>
      <c r="H45" s="442"/>
      <c r="K45" s="439" t="s">
        <v>5</v>
      </c>
    </row>
    <row r="46" spans="1:19">
      <c r="A46" s="445"/>
      <c r="B46" s="451"/>
      <c r="C46" s="442"/>
      <c r="D46" s="442"/>
      <c r="E46" s="442"/>
      <c r="G46" s="442"/>
      <c r="H46" s="442"/>
      <c r="K46" s="439" t="s">
        <v>5</v>
      </c>
    </row>
    <row r="47" spans="1:19">
      <c r="A47" s="445">
        <v>21</v>
      </c>
      <c r="B47" s="451" t="s">
        <v>334</v>
      </c>
      <c r="C47" s="442" t="s">
        <v>335</v>
      </c>
      <c r="D47" s="485">
        <v>0</v>
      </c>
      <c r="E47" s="486" t="s">
        <v>336</v>
      </c>
      <c r="F47" s="486"/>
      <c r="G47" s="486"/>
      <c r="H47" s="486"/>
      <c r="I47" s="486">
        <f>D47</f>
        <v>0</v>
      </c>
      <c r="J47" s="486" t="s">
        <v>336</v>
      </c>
    </row>
    <row r="48" spans="1:19">
      <c r="A48" s="445">
        <v>22</v>
      </c>
      <c r="B48" s="451"/>
      <c r="C48" s="442"/>
      <c r="D48" s="485">
        <v>0</v>
      </c>
      <c r="E48" s="486" t="s">
        <v>337</v>
      </c>
      <c r="F48" s="486"/>
      <c r="G48" s="486"/>
      <c r="H48" s="486"/>
      <c r="I48" s="486">
        <f>D48</f>
        <v>0</v>
      </c>
      <c r="J48" s="486" t="s">
        <v>337</v>
      </c>
    </row>
    <row r="49" spans="1:11" s="440" customFormat="1">
      <c r="A49" s="460"/>
      <c r="B49" s="470"/>
      <c r="C49" s="439"/>
      <c r="D49" s="487"/>
      <c r="E49" s="487"/>
      <c r="F49" s="487"/>
      <c r="G49" s="487"/>
      <c r="H49" s="487"/>
      <c r="I49" s="487"/>
      <c r="J49" s="487"/>
      <c r="K49" s="439"/>
    </row>
    <row r="50" spans="1:11" s="440" customFormat="1">
      <c r="A50" s="460"/>
      <c r="B50" s="470"/>
      <c r="C50" s="439"/>
      <c r="D50" s="487"/>
      <c r="E50" s="487"/>
      <c r="F50" s="487"/>
      <c r="G50" s="487"/>
      <c r="H50" s="487"/>
      <c r="I50" s="487"/>
      <c r="J50" s="487"/>
      <c r="K50" s="439"/>
    </row>
    <row r="51" spans="1:11" s="440" customFormat="1">
      <c r="A51" s="460"/>
      <c r="B51" s="470"/>
      <c r="C51" s="439"/>
      <c r="D51" s="487"/>
      <c r="E51" s="487"/>
      <c r="F51" s="487"/>
      <c r="G51" s="487"/>
      <c r="H51" s="487"/>
      <c r="I51" s="487"/>
      <c r="J51" s="487"/>
      <c r="K51" s="439"/>
    </row>
    <row r="52" spans="1:11" s="440" customFormat="1">
      <c r="A52" s="460"/>
      <c r="B52" s="470"/>
      <c r="C52" s="439"/>
      <c r="D52" s="487"/>
      <c r="E52" s="487"/>
      <c r="F52" s="487"/>
      <c r="G52" s="487"/>
      <c r="H52" s="487"/>
      <c r="I52" s="487"/>
      <c r="J52" s="487"/>
      <c r="K52" s="439"/>
    </row>
    <row r="53" spans="1:11" s="440" customFormat="1">
      <c r="A53" s="460"/>
      <c r="B53" s="470"/>
      <c r="C53" s="439"/>
      <c r="D53" s="487"/>
      <c r="E53" s="487"/>
      <c r="F53" s="487"/>
      <c r="G53" s="487"/>
      <c r="H53" s="487"/>
      <c r="I53" s="487"/>
      <c r="J53" s="487"/>
      <c r="K53" s="439"/>
    </row>
    <row r="54" spans="1:11" s="440" customFormat="1">
      <c r="A54" s="460"/>
      <c r="B54" s="470"/>
      <c r="C54" s="439"/>
      <c r="D54" s="487"/>
      <c r="E54" s="487"/>
      <c r="F54" s="487"/>
      <c r="G54" s="487"/>
      <c r="H54" s="487"/>
      <c r="I54" s="487"/>
      <c r="J54" s="487"/>
      <c r="K54" s="439"/>
    </row>
    <row r="55" spans="1:11" s="440" customFormat="1">
      <c r="A55" s="460"/>
      <c r="B55" s="470"/>
      <c r="C55" s="439"/>
      <c r="D55" s="487"/>
      <c r="E55" s="487"/>
      <c r="F55" s="487"/>
      <c r="G55" s="487"/>
      <c r="H55" s="487"/>
      <c r="I55" s="487"/>
      <c r="J55" s="487"/>
      <c r="K55" s="439"/>
    </row>
    <row r="56" spans="1:11" s="440" customFormat="1">
      <c r="A56" s="460"/>
      <c r="B56" s="470"/>
      <c r="C56" s="439"/>
      <c r="D56" s="487"/>
      <c r="E56" s="487"/>
      <c r="F56" s="487"/>
      <c r="G56" s="487"/>
      <c r="H56" s="487"/>
      <c r="I56" s="487"/>
      <c r="J56" s="487"/>
      <c r="K56" s="439"/>
    </row>
    <row r="57" spans="1:11" s="440" customFormat="1">
      <c r="A57" s="460"/>
      <c r="B57" s="470"/>
      <c r="C57" s="439"/>
      <c r="D57" s="487"/>
      <c r="E57" s="487"/>
      <c r="F57" s="487"/>
      <c r="G57" s="487"/>
      <c r="H57" s="487"/>
      <c r="I57" s="487"/>
      <c r="J57" s="487"/>
      <c r="K57" s="439"/>
    </row>
    <row r="58" spans="1:11" s="440" customFormat="1">
      <c r="A58" s="460"/>
      <c r="B58" s="470"/>
      <c r="C58" s="439"/>
      <c r="D58" s="487"/>
      <c r="E58" s="487"/>
      <c r="F58" s="487"/>
      <c r="G58" s="487"/>
      <c r="H58" s="487"/>
      <c r="I58" s="487"/>
      <c r="J58" s="487"/>
      <c r="K58" s="439"/>
    </row>
    <row r="59" spans="1:11" s="440" customFormat="1">
      <c r="A59" s="460"/>
      <c r="B59" s="470"/>
      <c r="C59" s="439"/>
      <c r="D59" s="487"/>
      <c r="E59" s="487"/>
      <c r="F59" s="487"/>
      <c r="G59" s="487"/>
      <c r="H59" s="487"/>
      <c r="I59" s="487"/>
      <c r="J59" s="487"/>
      <c r="K59" s="439"/>
    </row>
    <row r="60" spans="1:11" s="440" customFormat="1">
      <c r="A60" s="460"/>
      <c r="B60" s="470"/>
      <c r="C60" s="439"/>
      <c r="D60" s="487"/>
      <c r="E60" s="487"/>
      <c r="F60" s="487"/>
      <c r="G60" s="487"/>
      <c r="H60" s="487"/>
      <c r="I60" s="487"/>
      <c r="J60" s="487"/>
      <c r="K60" s="439"/>
    </row>
    <row r="61" spans="1:11" s="440" customFormat="1">
      <c r="A61" s="460"/>
      <c r="B61" s="470"/>
      <c r="C61" s="439"/>
      <c r="D61" s="487"/>
      <c r="E61" s="487"/>
      <c r="F61" s="487"/>
      <c r="G61" s="487"/>
      <c r="H61" s="487"/>
      <c r="I61" s="487"/>
      <c r="J61" s="487"/>
      <c r="K61" s="439"/>
    </row>
    <row r="62" spans="1:11" s="440" customFormat="1">
      <c r="A62" s="460"/>
      <c r="B62" s="470"/>
      <c r="C62" s="439"/>
      <c r="D62" s="487"/>
      <c r="E62" s="487"/>
      <c r="F62" s="487"/>
      <c r="G62" s="487"/>
      <c r="H62" s="487"/>
      <c r="I62" s="487"/>
      <c r="J62" s="487"/>
      <c r="K62" s="439"/>
    </row>
    <row r="63" spans="1:11" s="440" customFormat="1">
      <c r="A63" s="460"/>
      <c r="B63" s="470"/>
      <c r="C63" s="439"/>
      <c r="D63" s="487"/>
      <c r="E63" s="487"/>
      <c r="F63" s="487"/>
      <c r="G63" s="487"/>
      <c r="H63" s="487"/>
      <c r="I63" s="487"/>
      <c r="J63" s="487"/>
      <c r="K63" s="439"/>
    </row>
    <row r="64" spans="1:11" s="440" customFormat="1">
      <c r="A64" s="460"/>
      <c r="B64" s="470"/>
      <c r="C64" s="439"/>
      <c r="D64" s="487"/>
      <c r="E64" s="487"/>
      <c r="F64" s="487"/>
      <c r="G64" s="487"/>
      <c r="H64" s="487"/>
      <c r="I64" s="487"/>
      <c r="J64" s="487"/>
      <c r="K64" s="439"/>
    </row>
    <row r="65" spans="1:11" s="440" customFormat="1">
      <c r="A65" s="460"/>
      <c r="B65" s="470"/>
      <c r="C65" s="439"/>
      <c r="D65" s="487"/>
      <c r="E65" s="487"/>
      <c r="F65" s="487"/>
      <c r="G65" s="487"/>
      <c r="H65" s="487"/>
      <c r="I65" s="487"/>
      <c r="J65" s="487"/>
      <c r="K65" s="439"/>
    </row>
    <row r="66" spans="1:11" s="440" customFormat="1">
      <c r="A66" s="460"/>
      <c r="B66" s="470"/>
      <c r="C66" s="439"/>
      <c r="D66" s="487"/>
      <c r="E66" s="487"/>
      <c r="F66" s="487"/>
      <c r="G66" s="487"/>
      <c r="H66" s="487"/>
      <c r="I66" s="487"/>
      <c r="J66" s="487"/>
      <c r="K66" s="439"/>
    </row>
    <row r="67" spans="1:11" s="440" customFormat="1">
      <c r="A67" s="460"/>
      <c r="B67" s="470"/>
      <c r="C67" s="439"/>
      <c r="D67" s="487"/>
      <c r="E67" s="487"/>
      <c r="F67" s="487"/>
      <c r="G67" s="487"/>
      <c r="H67" s="487"/>
      <c r="I67" s="487"/>
      <c r="J67" s="487"/>
      <c r="K67" s="439"/>
    </row>
    <row r="68" spans="1:11" s="440" customFormat="1">
      <c r="A68" s="460"/>
      <c r="B68" s="470"/>
      <c r="C68" s="439"/>
      <c r="D68" s="487"/>
      <c r="E68" s="487"/>
      <c r="F68" s="487"/>
      <c r="G68" s="487"/>
      <c r="H68" s="487"/>
      <c r="I68" s="487"/>
      <c r="J68" s="487"/>
      <c r="K68" s="439"/>
    </row>
    <row r="69" spans="1:11" s="440" customFormat="1">
      <c r="A69" s="460"/>
      <c r="B69" s="470"/>
      <c r="C69" s="439"/>
      <c r="D69" s="487"/>
      <c r="E69" s="487"/>
      <c r="F69" s="487"/>
      <c r="G69" s="487"/>
      <c r="H69" s="487"/>
      <c r="I69" s="487"/>
      <c r="J69" s="487"/>
      <c r="K69" s="439"/>
    </row>
    <row r="70" spans="1:11" s="440" customFormat="1">
      <c r="A70" s="460"/>
      <c r="B70" s="470"/>
      <c r="C70" s="439"/>
      <c r="D70" s="487"/>
      <c r="E70" s="487"/>
      <c r="F70" s="487"/>
      <c r="G70" s="487"/>
      <c r="H70" s="487"/>
      <c r="I70" s="487"/>
      <c r="J70" s="487"/>
      <c r="K70" s="439"/>
    </row>
    <row r="71" spans="1:11" s="440" customFormat="1">
      <c r="A71" s="460"/>
      <c r="B71" s="470"/>
      <c r="C71" s="439"/>
      <c r="D71" s="487"/>
      <c r="E71" s="487"/>
      <c r="F71" s="487"/>
      <c r="G71" s="487"/>
      <c r="H71" s="487"/>
      <c r="I71" s="487"/>
      <c r="J71" s="487"/>
      <c r="K71" s="439"/>
    </row>
    <row r="72" spans="1:11" s="440" customFormat="1">
      <c r="A72" s="460"/>
      <c r="B72" s="470"/>
      <c r="C72" s="439"/>
      <c r="D72" s="487"/>
      <c r="E72" s="487"/>
      <c r="F72" s="487"/>
      <c r="G72" s="487"/>
      <c r="H72" s="487"/>
      <c r="I72" s="487"/>
      <c r="J72" s="487"/>
      <c r="K72" s="439"/>
    </row>
    <row r="73" spans="1:11" s="440" customFormat="1">
      <c r="A73" s="460"/>
      <c r="B73" s="470"/>
      <c r="C73" s="439"/>
      <c r="D73" s="487"/>
      <c r="E73" s="487"/>
      <c r="F73" s="487"/>
      <c r="G73" s="487"/>
      <c r="H73" s="487"/>
      <c r="I73" s="487"/>
      <c r="J73" s="487"/>
      <c r="K73" s="433" t="s">
        <v>259</v>
      </c>
    </row>
    <row r="74" spans="1:11">
      <c r="B74" s="434"/>
      <c r="C74" s="434"/>
      <c r="D74" s="435"/>
      <c r="E74" s="434"/>
      <c r="F74" s="434"/>
      <c r="G74" s="434"/>
      <c r="H74" s="436"/>
      <c r="I74" s="436"/>
      <c r="J74" s="436"/>
      <c r="K74" s="488" t="s">
        <v>338</v>
      </c>
    </row>
    <row r="75" spans="1:11">
      <c r="B75" s="434"/>
      <c r="C75" s="434"/>
      <c r="D75" s="435"/>
      <c r="E75" s="434"/>
      <c r="F75" s="434"/>
      <c r="G75" s="434"/>
      <c r="H75" s="436"/>
      <c r="I75" s="436"/>
      <c r="J75" s="436"/>
      <c r="K75" s="489"/>
    </row>
    <row r="76" spans="1:11">
      <c r="B76" s="434" t="s">
        <v>261</v>
      </c>
      <c r="C76" s="434"/>
      <c r="D76" s="435" t="s">
        <v>262</v>
      </c>
      <c r="E76" s="434"/>
      <c r="F76" s="434"/>
      <c r="G76" s="434"/>
      <c r="H76" s="436"/>
      <c r="K76" s="437" t="str">
        <f>K4</f>
        <v>For the 12 months ended 12/31/2018</v>
      </c>
    </row>
    <row r="77" spans="1:11">
      <c r="B77" s="434"/>
      <c r="C77" s="441" t="s">
        <v>5</v>
      </c>
      <c r="D77" s="441" t="s">
        <v>264</v>
      </c>
      <c r="E77" s="441"/>
      <c r="F77" s="441"/>
      <c r="G77" s="441"/>
      <c r="H77" s="436"/>
      <c r="I77" s="436"/>
      <c r="J77" s="436"/>
      <c r="K77" s="439"/>
    </row>
    <row r="78" spans="1:11">
      <c r="B78" s="434"/>
      <c r="C78" s="441"/>
      <c r="D78" s="441"/>
      <c r="E78" s="441"/>
      <c r="F78" s="441"/>
      <c r="G78" s="441"/>
      <c r="H78" s="436"/>
      <c r="I78" s="436"/>
      <c r="J78" s="436"/>
      <c r="K78" s="439"/>
    </row>
    <row r="79" spans="1:11">
      <c r="A79" s="1182" t="str">
        <f>A7</f>
        <v>Northern States Power Companies</v>
      </c>
      <c r="B79" s="1182"/>
      <c r="C79" s="1182"/>
      <c r="D79" s="1182"/>
      <c r="E79" s="1182"/>
      <c r="F79" s="1182"/>
      <c r="G79" s="1182"/>
      <c r="H79" s="1182"/>
      <c r="I79" s="1182"/>
      <c r="J79" s="1182"/>
      <c r="K79" s="1182"/>
    </row>
    <row r="80" spans="1:11">
      <c r="B80" s="451"/>
      <c r="C80" s="442"/>
      <c r="D80" s="452"/>
      <c r="E80" s="452"/>
      <c r="F80" s="452"/>
      <c r="G80" s="452"/>
      <c r="H80" s="441"/>
      <c r="I80" s="441"/>
      <c r="J80" s="441"/>
      <c r="K80" s="452"/>
    </row>
    <row r="81" spans="1:14">
      <c r="B81" s="491" t="s">
        <v>339</v>
      </c>
      <c r="C81" s="491" t="s">
        <v>340</v>
      </c>
      <c r="D81" s="491" t="s">
        <v>341</v>
      </c>
      <c r="E81" s="441" t="s">
        <v>5</v>
      </c>
      <c r="F81" s="441"/>
      <c r="G81" s="492" t="s">
        <v>342</v>
      </c>
      <c r="H81" s="441"/>
      <c r="I81" s="493" t="s">
        <v>343</v>
      </c>
      <c r="J81" s="493"/>
      <c r="K81" s="494"/>
    </row>
    <row r="82" spans="1:14">
      <c r="B82" s="451"/>
      <c r="C82" s="495" t="s">
        <v>344</v>
      </c>
      <c r="D82" s="441"/>
      <c r="E82" s="441"/>
      <c r="F82" s="441"/>
      <c r="G82" s="445"/>
      <c r="H82" s="441"/>
      <c r="I82" s="496" t="s">
        <v>24</v>
      </c>
      <c r="J82" s="496"/>
      <c r="K82" s="494"/>
      <c r="L82" s="497" t="s">
        <v>345</v>
      </c>
      <c r="M82" s="497" t="s">
        <v>346</v>
      </c>
    </row>
    <row r="83" spans="1:14">
      <c r="A83" s="445" t="s">
        <v>46</v>
      </c>
      <c r="B83" s="451"/>
      <c r="C83" s="498" t="s">
        <v>347</v>
      </c>
      <c r="D83" s="499" t="s">
        <v>348</v>
      </c>
      <c r="E83" s="500"/>
      <c r="F83" s="496" t="s">
        <v>349</v>
      </c>
      <c r="H83" s="500"/>
      <c r="I83" s="445" t="s">
        <v>350</v>
      </c>
      <c r="J83" s="445"/>
      <c r="K83" s="494"/>
      <c r="L83" s="497" t="s">
        <v>23</v>
      </c>
      <c r="M83" s="497" t="s">
        <v>23</v>
      </c>
    </row>
    <row r="84" spans="1:14" ht="16.5" thickBot="1">
      <c r="A84" s="447" t="s">
        <v>22</v>
      </c>
      <c r="B84" s="501" t="s">
        <v>351</v>
      </c>
      <c r="C84" s="441"/>
      <c r="D84" s="441"/>
      <c r="E84" s="441"/>
      <c r="F84" s="441"/>
      <c r="G84" s="441"/>
      <c r="H84" s="441"/>
      <c r="I84" s="441"/>
      <c r="J84" s="441"/>
      <c r="K84" s="452"/>
    </row>
    <row r="85" spans="1:14">
      <c r="A85" s="445"/>
      <c r="B85" s="451" t="s">
        <v>352</v>
      </c>
      <c r="C85" s="502"/>
      <c r="D85" s="441"/>
      <c r="E85" s="441"/>
      <c r="F85" s="441"/>
      <c r="G85" s="441"/>
      <c r="H85" s="441"/>
      <c r="I85" s="441"/>
      <c r="J85" s="441"/>
      <c r="K85" s="452"/>
    </row>
    <row r="86" spans="1:14">
      <c r="A86" s="445">
        <v>1</v>
      </c>
      <c r="B86" s="451" t="s">
        <v>353</v>
      </c>
      <c r="C86" s="452" t="s">
        <v>354</v>
      </c>
      <c r="D86" s="456">
        <f>L86+M86</f>
        <v>9506905151.5815392</v>
      </c>
      <c r="E86" s="441"/>
      <c r="F86" s="441" t="s">
        <v>355</v>
      </c>
      <c r="G86" s="503" t="s">
        <v>5</v>
      </c>
      <c r="H86" s="441"/>
      <c r="I86" s="441" t="s">
        <v>5</v>
      </c>
      <c r="J86" s="441"/>
      <c r="K86" s="452"/>
      <c r="L86" s="504">
        <f>'Gross Plant'!$D$48</f>
        <v>8994351075</v>
      </c>
      <c r="M86" s="504">
        <f>'Gross Plant'!$D$70</f>
        <v>512554076.58153844</v>
      </c>
    </row>
    <row r="87" spans="1:14">
      <c r="A87" s="445">
        <v>2</v>
      </c>
      <c r="B87" s="451" t="s">
        <v>356</v>
      </c>
      <c r="C87" s="452" t="s">
        <v>357</v>
      </c>
      <c r="D87" s="456">
        <f>L87+M87</f>
        <v>4713797110.7984619</v>
      </c>
      <c r="E87" s="441"/>
      <c r="F87" s="441" t="s">
        <v>274</v>
      </c>
      <c r="G87" s="503">
        <f>I235</f>
        <v>0.9801350103114348</v>
      </c>
      <c r="H87" s="441"/>
      <c r="I87" s="441">
        <f>+G87*D87</f>
        <v>4620157579.7984619</v>
      </c>
      <c r="J87" s="441"/>
      <c r="K87" s="452"/>
      <c r="L87" s="504">
        <f>'Gross Plant'!$F$48</f>
        <v>3629395245</v>
      </c>
      <c r="M87" s="504">
        <f>'Gross Plant'!$F$70</f>
        <v>1084401865.7984614</v>
      </c>
      <c r="N87" s="440"/>
    </row>
    <row r="88" spans="1:14">
      <c r="A88" s="445">
        <v>3</v>
      </c>
      <c r="B88" s="451" t="s">
        <v>358</v>
      </c>
      <c r="C88" s="452" t="s">
        <v>359</v>
      </c>
      <c r="D88" s="456">
        <f>L88+M88</f>
        <v>4991645524.9015379</v>
      </c>
      <c r="E88" s="441"/>
      <c r="F88" s="441" t="s">
        <v>355</v>
      </c>
      <c r="G88" s="503" t="s">
        <v>5</v>
      </c>
      <c r="H88" s="441"/>
      <c r="I88" s="441" t="s">
        <v>5</v>
      </c>
      <c r="J88" s="441"/>
      <c r="K88" s="452"/>
      <c r="L88" s="504">
        <f>'Gross Plant'!$H$48</f>
        <v>4059163532</v>
      </c>
      <c r="M88" s="504">
        <f>'Gross Plant'!$H$70</f>
        <v>932481992.90153813</v>
      </c>
      <c r="N88" s="451"/>
    </row>
    <row r="89" spans="1:14">
      <c r="A89" s="445">
        <v>4</v>
      </c>
      <c r="B89" s="451" t="s">
        <v>360</v>
      </c>
      <c r="C89" s="452" t="s">
        <v>361</v>
      </c>
      <c r="D89" s="456">
        <f>L89+M89</f>
        <v>1115257929.986923</v>
      </c>
      <c r="E89" s="441"/>
      <c r="F89" s="441" t="s">
        <v>362</v>
      </c>
      <c r="G89" s="503">
        <f>I253</f>
        <v>7.5804034366566977E-2</v>
      </c>
      <c r="H89" s="441"/>
      <c r="I89" s="441">
        <f>+G89*D89</f>
        <v>84541050.452315062</v>
      </c>
      <c r="J89" s="441"/>
      <c r="K89" s="452"/>
      <c r="L89" s="504">
        <f>'Gross Plant'!$J$48</f>
        <v>961109690</v>
      </c>
      <c r="M89" s="504">
        <f>'Gross Plant'!$J$70</f>
        <v>154148239.98692307</v>
      </c>
      <c r="N89" s="451"/>
    </row>
    <row r="90" spans="1:14" ht="16.5" thickBot="1">
      <c r="A90" s="445">
        <v>5</v>
      </c>
      <c r="B90" s="451" t="s">
        <v>363</v>
      </c>
      <c r="C90" s="452" t="s">
        <v>364</v>
      </c>
      <c r="D90" s="464">
        <f>L90+M90</f>
        <v>985297181.74692309</v>
      </c>
      <c r="E90" s="441"/>
      <c r="F90" s="441" t="s">
        <v>365</v>
      </c>
      <c r="G90" s="503">
        <f>K258</f>
        <v>6.9923472096169476E-2</v>
      </c>
      <c r="H90" s="441"/>
      <c r="I90" s="457">
        <f>+G90*D90</f>
        <v>68895399.994315401</v>
      </c>
      <c r="J90" s="458"/>
      <c r="K90" s="452"/>
      <c r="L90" s="505">
        <f>'Gross Plant'!$L$48</f>
        <v>779290546</v>
      </c>
      <c r="M90" s="505">
        <f>'Gross Plant'!$L$70</f>
        <v>206006635.74692309</v>
      </c>
      <c r="N90" s="506"/>
    </row>
    <row r="91" spans="1:14">
      <c r="A91" s="445">
        <v>6</v>
      </c>
      <c r="B91" s="434" t="s">
        <v>366</v>
      </c>
      <c r="C91" s="452"/>
      <c r="D91" s="441">
        <f>SUM(D86:D90)</f>
        <v>21312902899.015385</v>
      </c>
      <c r="E91" s="441"/>
      <c r="F91" s="441" t="s">
        <v>367</v>
      </c>
      <c r="G91" s="507">
        <f>IF(I91&gt;0,I91/D91,0)</f>
        <v>0.22397671743090536</v>
      </c>
      <c r="H91" s="441"/>
      <c r="I91" s="441">
        <f>SUM(I86:I90)</f>
        <v>4773594030.2450924</v>
      </c>
      <c r="J91" s="441"/>
      <c r="K91" s="508"/>
      <c r="L91" s="441">
        <f>SUM(L86:L90)</f>
        <v>18423310088</v>
      </c>
      <c r="M91" s="441">
        <f>SUM(M86:M90)</f>
        <v>2889592811.0153842</v>
      </c>
      <c r="N91" s="451"/>
    </row>
    <row r="92" spans="1:14">
      <c r="B92" s="451"/>
      <c r="C92" s="441"/>
      <c r="D92" s="441"/>
      <c r="E92" s="441"/>
      <c r="F92" s="441"/>
      <c r="G92" s="507"/>
      <c r="H92" s="441"/>
      <c r="I92" s="441"/>
      <c r="J92" s="441"/>
      <c r="K92" s="508"/>
      <c r="L92" s="441"/>
      <c r="M92" s="441"/>
      <c r="N92" s="451"/>
    </row>
    <row r="93" spans="1:14">
      <c r="B93" s="451" t="s">
        <v>368</v>
      </c>
      <c r="C93" s="441"/>
      <c r="D93" s="441"/>
      <c r="E93" s="441"/>
      <c r="F93" s="441"/>
      <c r="G93" s="441"/>
      <c r="H93" s="441"/>
      <c r="I93" s="441"/>
      <c r="J93" s="441"/>
      <c r="K93" s="452"/>
      <c r="L93" s="441"/>
      <c r="M93" s="441"/>
      <c r="N93" s="451"/>
    </row>
    <row r="94" spans="1:14">
      <c r="A94" s="445">
        <v>7</v>
      </c>
      <c r="B94" s="451" t="str">
        <f>+B86</f>
        <v xml:space="preserve">  Production</v>
      </c>
      <c r="C94" s="441" t="s">
        <v>369</v>
      </c>
      <c r="D94" s="456">
        <f>L94+M94</f>
        <v>4458624497.6484613</v>
      </c>
      <c r="E94" s="441"/>
      <c r="F94" s="441" t="str">
        <f>+F86</f>
        <v>NA</v>
      </c>
      <c r="G94" s="503" t="str">
        <f>+G86</f>
        <v xml:space="preserve"> </v>
      </c>
      <c r="H94" s="441"/>
      <c r="I94" s="441" t="s">
        <v>5</v>
      </c>
      <c r="J94" s="441"/>
      <c r="K94" s="452"/>
      <c r="L94" s="504">
        <f>'Accum Deprec'!$D$48</f>
        <v>4115254630</v>
      </c>
      <c r="M94" s="504">
        <f>'Accum Deprec'!$D$70</f>
        <v>343369867.6484614</v>
      </c>
      <c r="N94" s="451"/>
    </row>
    <row r="95" spans="1:14">
      <c r="A95" s="445">
        <v>8</v>
      </c>
      <c r="B95" s="451" t="str">
        <f>+B87</f>
        <v xml:space="preserve">  Transmission</v>
      </c>
      <c r="C95" s="441" t="s">
        <v>370</v>
      </c>
      <c r="D95" s="456">
        <f>L95+M95</f>
        <v>1188780390.6753845</v>
      </c>
      <c r="E95" s="441"/>
      <c r="F95" s="441" t="str">
        <f>+F87</f>
        <v>TP</v>
      </c>
      <c r="G95" s="503">
        <f>+G87</f>
        <v>0.9801350103114348</v>
      </c>
      <c r="H95" s="441"/>
      <c r="I95" s="441">
        <f>+G95*D95</f>
        <v>1165165280.4726496</v>
      </c>
      <c r="J95" s="441"/>
      <c r="K95" s="452"/>
      <c r="L95" s="504">
        <f>'Accum Deprec'!$F$48</f>
        <v>895427722</v>
      </c>
      <c r="M95" s="504">
        <f>'Accum Deprec'!$F$70</f>
        <v>293352668.67538452</v>
      </c>
      <c r="N95" s="451"/>
    </row>
    <row r="96" spans="1:14">
      <c r="A96" s="445">
        <v>9</v>
      </c>
      <c r="B96" s="451" t="str">
        <f>+B88</f>
        <v xml:space="preserve">  Distribution</v>
      </c>
      <c r="C96" s="441" t="s">
        <v>371</v>
      </c>
      <c r="D96" s="456">
        <f>L96+M96</f>
        <v>2056692528.3199999</v>
      </c>
      <c r="E96" s="441"/>
      <c r="F96" s="441" t="str">
        <f t="shared" ref="F96:G98" si="1">+F88</f>
        <v>NA</v>
      </c>
      <c r="G96" s="503" t="str">
        <f t="shared" si="1"/>
        <v xml:space="preserve"> </v>
      </c>
      <c r="H96" s="441"/>
      <c r="I96" s="441" t="s">
        <v>5</v>
      </c>
      <c r="J96" s="441"/>
      <c r="K96" s="452"/>
      <c r="L96" s="504">
        <f>'Accum Deprec'!$H$48</f>
        <v>1611159413</v>
      </c>
      <c r="M96" s="504">
        <f>'Accum Deprec'!$H$70</f>
        <v>445533115.31999993</v>
      </c>
      <c r="N96" s="451"/>
    </row>
    <row r="97" spans="1:14">
      <c r="A97" s="445">
        <v>10</v>
      </c>
      <c r="B97" s="451" t="str">
        <f>+B89</f>
        <v xml:space="preserve">  General &amp; Intangible</v>
      </c>
      <c r="C97" s="441" t="s">
        <v>372</v>
      </c>
      <c r="D97" s="456">
        <f>L97+M97</f>
        <v>496863398.28769231</v>
      </c>
      <c r="E97" s="441"/>
      <c r="F97" s="441" t="str">
        <f t="shared" si="1"/>
        <v>W/S</v>
      </c>
      <c r="G97" s="503">
        <f t="shared" si="1"/>
        <v>7.5804034366566977E-2</v>
      </c>
      <c r="H97" s="441"/>
      <c r="I97" s="441">
        <f>+G97*D97</f>
        <v>37664250.11928948</v>
      </c>
      <c r="J97" s="441"/>
      <c r="K97" s="452"/>
      <c r="L97" s="504">
        <f>'Accum Deprec'!$J$48</f>
        <v>426145220</v>
      </c>
      <c r="M97" s="504">
        <f>'Accum Deprec'!$J$70</f>
        <v>70718178.287692294</v>
      </c>
      <c r="N97" s="509"/>
    </row>
    <row r="98" spans="1:14" ht="16.5" thickBot="1">
      <c r="A98" s="445">
        <v>11</v>
      </c>
      <c r="B98" s="451" t="str">
        <f>+B90</f>
        <v xml:space="preserve">  Common</v>
      </c>
      <c r="C98" s="441" t="s">
        <v>364</v>
      </c>
      <c r="D98" s="464">
        <f>L98+M98</f>
        <v>441240355.4653846</v>
      </c>
      <c r="E98" s="441"/>
      <c r="F98" s="441" t="str">
        <f t="shared" si="1"/>
        <v>CE</v>
      </c>
      <c r="G98" s="503">
        <f t="shared" si="1"/>
        <v>6.9923472096169476E-2</v>
      </c>
      <c r="H98" s="441"/>
      <c r="I98" s="457">
        <f>+G98*D98</f>
        <v>30853057.683087721</v>
      </c>
      <c r="J98" s="458"/>
      <c r="K98" s="452"/>
      <c r="L98" s="505">
        <f>'Accum Deprec'!$L$48</f>
        <v>365811522</v>
      </c>
      <c r="M98" s="505">
        <f>'Accum Deprec'!$L$70</f>
        <v>75428833.465384603</v>
      </c>
      <c r="N98" s="506"/>
    </row>
    <row r="99" spans="1:14">
      <c r="A99" s="445">
        <v>12</v>
      </c>
      <c r="B99" s="451" t="s">
        <v>373</v>
      </c>
      <c r="C99" s="441"/>
      <c r="D99" s="510">
        <f>SUM(D94:D98)</f>
        <v>8642201170.3969231</v>
      </c>
      <c r="E99" s="441"/>
      <c r="F99" s="441"/>
      <c r="G99" s="441"/>
      <c r="H99" s="441"/>
      <c r="I99" s="441">
        <f>SUM(I94:I98)</f>
        <v>1233682588.2750268</v>
      </c>
      <c r="J99" s="441"/>
      <c r="K99" s="452"/>
      <c r="L99" s="441">
        <f>SUM(L94:L98)</f>
        <v>7413798507</v>
      </c>
      <c r="M99" s="441">
        <f>SUM(M94:M98)</f>
        <v>1228402663.3969226</v>
      </c>
      <c r="N99" s="451"/>
    </row>
    <row r="100" spans="1:14">
      <c r="A100" s="445"/>
      <c r="C100" s="441" t="s">
        <v>5</v>
      </c>
      <c r="E100" s="441"/>
      <c r="F100" s="441"/>
      <c r="G100" s="507"/>
      <c r="H100" s="441"/>
      <c r="K100" s="508"/>
      <c r="L100" s="441"/>
      <c r="M100" s="441"/>
      <c r="N100" s="451"/>
    </row>
    <row r="101" spans="1:14">
      <c r="A101" s="445"/>
      <c r="B101" s="451" t="s">
        <v>374</v>
      </c>
      <c r="C101" s="441"/>
      <c r="D101" s="441"/>
      <c r="E101" s="441"/>
      <c r="F101" s="441"/>
      <c r="G101" s="441"/>
      <c r="H101" s="441"/>
      <c r="I101" s="441"/>
      <c r="J101" s="441"/>
      <c r="K101" s="452"/>
      <c r="L101" s="441"/>
      <c r="M101" s="441"/>
      <c r="N101" s="451"/>
    </row>
    <row r="102" spans="1:14">
      <c r="A102" s="445">
        <v>13</v>
      </c>
      <c r="B102" s="451" t="str">
        <f>+B94</f>
        <v xml:space="preserve">  Production</v>
      </c>
      <c r="C102" s="441" t="s">
        <v>375</v>
      </c>
      <c r="D102" s="441">
        <f>D86-D94</f>
        <v>5048280653.9330778</v>
      </c>
      <c r="E102" s="441"/>
      <c r="F102" s="441"/>
      <c r="G102" s="507"/>
      <c r="H102" s="441"/>
      <c r="I102" s="441" t="s">
        <v>5</v>
      </c>
      <c r="J102" s="441"/>
      <c r="K102" s="508"/>
      <c r="L102" s="458">
        <f t="shared" ref="L102:M106" si="2">L86-L94</f>
        <v>4879096445</v>
      </c>
      <c r="M102" s="458">
        <f t="shared" si="2"/>
        <v>169184208.93307704</v>
      </c>
      <c r="N102" s="451"/>
    </row>
    <row r="103" spans="1:14">
      <c r="A103" s="445">
        <v>14</v>
      </c>
      <c r="B103" s="451" t="str">
        <f>+B95</f>
        <v xml:space="preserve">  Transmission</v>
      </c>
      <c r="C103" s="452" t="s">
        <v>376</v>
      </c>
      <c r="D103" s="452">
        <f>D87-D95</f>
        <v>3525016720.1230774</v>
      </c>
      <c r="E103" s="441"/>
      <c r="F103" s="441"/>
      <c r="G103" s="503"/>
      <c r="H103" s="441"/>
      <c r="I103" s="452">
        <f>I87-I95</f>
        <v>3454992299.3258123</v>
      </c>
      <c r="J103" s="452"/>
      <c r="K103" s="508"/>
      <c r="L103" s="452">
        <f t="shared" si="2"/>
        <v>2733967523</v>
      </c>
      <c r="M103" s="452">
        <f t="shared" si="2"/>
        <v>791049197.12307692</v>
      </c>
      <c r="N103" s="451"/>
    </row>
    <row r="104" spans="1:14">
      <c r="A104" s="445">
        <v>15</v>
      </c>
      <c r="B104" s="451" t="str">
        <f>+B96</f>
        <v xml:space="preserve">  Distribution</v>
      </c>
      <c r="C104" s="441" t="s">
        <v>377</v>
      </c>
      <c r="D104" s="441">
        <f>D88-D96</f>
        <v>2934952996.5815382</v>
      </c>
      <c r="E104" s="441"/>
      <c r="F104" s="441"/>
      <c r="G104" s="507"/>
      <c r="H104" s="441"/>
      <c r="I104" s="441" t="s">
        <v>5</v>
      </c>
      <c r="J104" s="441"/>
      <c r="K104" s="508"/>
      <c r="L104" s="458">
        <f t="shared" si="2"/>
        <v>2448004119</v>
      </c>
      <c r="M104" s="458">
        <f t="shared" si="2"/>
        <v>486948877.5815382</v>
      </c>
      <c r="N104" s="451"/>
    </row>
    <row r="105" spans="1:14">
      <c r="A105" s="445">
        <v>16</v>
      </c>
      <c r="B105" s="451" t="str">
        <f>+B97</f>
        <v xml:space="preserve">  General &amp; Intangible</v>
      </c>
      <c r="C105" s="441" t="s">
        <v>378</v>
      </c>
      <c r="D105" s="441">
        <f>D89-D97</f>
        <v>618394531.69923067</v>
      </c>
      <c r="E105" s="441"/>
      <c r="F105" s="441"/>
      <c r="G105" s="507"/>
      <c r="H105" s="441"/>
      <c r="I105" s="441">
        <f>I89-I97</f>
        <v>46876800.333025582</v>
      </c>
      <c r="J105" s="441"/>
      <c r="K105" s="508"/>
      <c r="L105" s="458">
        <f t="shared" si="2"/>
        <v>534964470</v>
      </c>
      <c r="M105" s="458">
        <f t="shared" si="2"/>
        <v>83430061.699230775</v>
      </c>
      <c r="N105" s="451"/>
    </row>
    <row r="106" spans="1:14" ht="16.5" thickBot="1">
      <c r="A106" s="445">
        <v>17</v>
      </c>
      <c r="B106" s="451" t="str">
        <f>+B98</f>
        <v xml:space="preserve">  Common</v>
      </c>
      <c r="C106" s="441" t="s">
        <v>379</v>
      </c>
      <c r="D106" s="457">
        <f>D90-D98</f>
        <v>544056826.28153849</v>
      </c>
      <c r="E106" s="441"/>
      <c r="F106" s="441"/>
      <c r="G106" s="507"/>
      <c r="H106" s="441"/>
      <c r="I106" s="457">
        <f>I90-I98</f>
        <v>38042342.311227679</v>
      </c>
      <c r="J106" s="458"/>
      <c r="K106" s="508"/>
      <c r="L106" s="457">
        <f t="shared" si="2"/>
        <v>413479024</v>
      </c>
      <c r="M106" s="457">
        <f t="shared" si="2"/>
        <v>130577802.28153849</v>
      </c>
      <c r="N106" s="451"/>
    </row>
    <row r="107" spans="1:14">
      <c r="A107" s="445">
        <v>18</v>
      </c>
      <c r="B107" s="451" t="s">
        <v>380</v>
      </c>
      <c r="C107" s="441"/>
      <c r="D107" s="441">
        <f>SUM(D102:D106)</f>
        <v>12670701728.618462</v>
      </c>
      <c r="E107" s="441"/>
      <c r="F107" s="441" t="s">
        <v>381</v>
      </c>
      <c r="G107" s="507">
        <f>IF(I107&gt;0,I107/D107,0)</f>
        <v>0.27937769492077191</v>
      </c>
      <c r="H107" s="441"/>
      <c r="I107" s="441">
        <f>SUM(I102:I106)</f>
        <v>3539911441.9700656</v>
      </c>
      <c r="J107" s="441"/>
      <c r="K107" s="452"/>
      <c r="L107" s="441">
        <f>SUM(L102:L106)</f>
        <v>11009511581</v>
      </c>
      <c r="M107" s="441">
        <f>SUM(M102:M106)</f>
        <v>1661190147.6184614</v>
      </c>
      <c r="N107" s="451"/>
    </row>
    <row r="108" spans="1:14">
      <c r="A108" s="445"/>
      <c r="B108" s="451"/>
      <c r="C108" s="441"/>
      <c r="D108" s="441"/>
      <c r="E108" s="441"/>
      <c r="F108" s="441"/>
      <c r="G108" s="507"/>
      <c r="H108" s="441"/>
      <c r="I108" s="441"/>
      <c r="J108" s="441"/>
      <c r="K108" s="452"/>
      <c r="L108" s="441"/>
      <c r="M108" s="511"/>
      <c r="N108" s="451"/>
    </row>
    <row r="109" spans="1:14" s="440" customFormat="1">
      <c r="A109" s="460" t="s">
        <v>382</v>
      </c>
      <c r="B109" s="470" t="s">
        <v>383</v>
      </c>
      <c r="C109" s="452" t="s">
        <v>384</v>
      </c>
      <c r="D109" s="456">
        <f>L109+M109</f>
        <v>0</v>
      </c>
      <c r="E109" s="452"/>
      <c r="F109" s="452" t="s">
        <v>274</v>
      </c>
      <c r="G109" s="512">
        <f>+I235</f>
        <v>0.9801350103114348</v>
      </c>
      <c r="H109" s="452"/>
      <c r="I109" s="452">
        <f>+G109*D109</f>
        <v>0</v>
      </c>
      <c r="J109" s="452"/>
      <c r="K109" s="452"/>
      <c r="L109" s="504">
        <f>CWIP!$O$60</f>
        <v>0</v>
      </c>
      <c r="M109" s="504">
        <f>CWIP!$O$82</f>
        <v>0</v>
      </c>
      <c r="N109" s="470"/>
    </row>
    <row r="110" spans="1:14">
      <c r="A110" s="445"/>
      <c r="C110" s="441"/>
      <c r="E110" s="441"/>
      <c r="H110" s="441"/>
      <c r="K110" s="508"/>
      <c r="L110" s="441"/>
      <c r="M110" s="441"/>
      <c r="N110" s="451"/>
    </row>
    <row r="111" spans="1:14">
      <c r="A111" s="445"/>
      <c r="B111" s="434" t="s">
        <v>385</v>
      </c>
      <c r="C111" s="441"/>
      <c r="D111" s="441"/>
      <c r="E111" s="441"/>
      <c r="F111" s="441"/>
      <c r="G111" s="441"/>
      <c r="H111" s="441"/>
      <c r="I111" s="441"/>
      <c r="J111" s="441"/>
      <c r="K111" s="452"/>
      <c r="L111" s="441"/>
      <c r="M111" s="441"/>
      <c r="N111" s="451"/>
    </row>
    <row r="112" spans="1:14">
      <c r="A112" s="445">
        <v>19</v>
      </c>
      <c r="B112" s="451" t="s">
        <v>386</v>
      </c>
      <c r="C112" s="441" t="s">
        <v>387</v>
      </c>
      <c r="D112" s="456">
        <f t="shared" ref="D112:D118" si="3">L112+M112</f>
        <v>-33326002.384332277</v>
      </c>
      <c r="E112" s="452"/>
      <c r="F112" s="452" t="str">
        <f>+F94</f>
        <v>NA</v>
      </c>
      <c r="G112" s="513" t="s">
        <v>388</v>
      </c>
      <c r="H112" s="441"/>
      <c r="I112" s="441">
        <v>0</v>
      </c>
      <c r="J112" s="441"/>
      <c r="K112" s="508"/>
      <c r="L112" s="504">
        <f>'Adj to Rate Base'!$D$56</f>
        <v>-30187602.851023536</v>
      </c>
      <c r="M112" s="504">
        <f>'Adj to Rate Base'!$D$82</f>
        <v>-3138399.5333087421</v>
      </c>
      <c r="N112" s="451"/>
    </row>
    <row r="113" spans="1:14">
      <c r="A113" s="445">
        <v>20</v>
      </c>
      <c r="B113" s="451" t="s">
        <v>389</v>
      </c>
      <c r="C113" s="441" t="s">
        <v>390</v>
      </c>
      <c r="D113" s="456">
        <f t="shared" si="3"/>
        <v>-3737382806.7134914</v>
      </c>
      <c r="E113" s="441"/>
      <c r="F113" s="441" t="s">
        <v>391</v>
      </c>
      <c r="G113" s="503">
        <f>+G107</f>
        <v>0.27937769492077191</v>
      </c>
      <c r="H113" s="441"/>
      <c r="I113" s="441">
        <f t="shared" ref="I113:I118" si="4">D113*G113</f>
        <v>-1044141393.57614</v>
      </c>
      <c r="J113" s="441"/>
      <c r="K113" s="508"/>
      <c r="L113" s="504">
        <f>'Adj to Rate Base'!$F$56</f>
        <v>-3312199536.1252742</v>
      </c>
      <c r="M113" s="504">
        <f>'Adj to Rate Base'!$F$82</f>
        <v>-425183270.58821714</v>
      </c>
      <c r="N113" s="451"/>
    </row>
    <row r="114" spans="1:14">
      <c r="A114" s="445">
        <v>21</v>
      </c>
      <c r="B114" s="451" t="s">
        <v>392</v>
      </c>
      <c r="C114" s="441" t="s">
        <v>393</v>
      </c>
      <c r="D114" s="456">
        <f t="shared" si="3"/>
        <v>-239377684.67396876</v>
      </c>
      <c r="E114" s="441"/>
      <c r="F114" s="441" t="s">
        <v>391</v>
      </c>
      <c r="G114" s="503">
        <f>+G113</f>
        <v>0.27937769492077191</v>
      </c>
      <c r="H114" s="441"/>
      <c r="I114" s="441">
        <f t="shared" si="4"/>
        <v>-66876785.759684786</v>
      </c>
      <c r="J114" s="441"/>
      <c r="K114" s="508"/>
      <c r="L114" s="514">
        <f>'Adj to Rate Base'!$H$56</f>
        <v>-198799113.78190762</v>
      </c>
      <c r="M114" s="514">
        <f>'Adj to Rate Base'!$H$82</f>
        <v>-40578570.892061144</v>
      </c>
      <c r="N114" s="451"/>
    </row>
    <row r="115" spans="1:14">
      <c r="A115" s="445">
        <v>22</v>
      </c>
      <c r="B115" s="451" t="s">
        <v>394</v>
      </c>
      <c r="C115" s="441" t="s">
        <v>395</v>
      </c>
      <c r="D115" s="456">
        <f t="shared" si="3"/>
        <v>1035933882.0999584</v>
      </c>
      <c r="E115" s="441"/>
      <c r="F115" s="441" t="str">
        <f>+F114</f>
        <v>NP</v>
      </c>
      <c r="G115" s="503">
        <f>+G114</f>
        <v>0.27937769492077191</v>
      </c>
      <c r="H115" s="441"/>
      <c r="I115" s="441">
        <f t="shared" si="4"/>
        <v>289416820.0714131</v>
      </c>
      <c r="J115" s="441"/>
      <c r="K115" s="508"/>
      <c r="L115" s="514">
        <f>'Adj to Rate Base'!$J$56</f>
        <v>970144720.75182939</v>
      </c>
      <c r="M115" s="514">
        <f>'Adj to Rate Base'!$J$82</f>
        <v>65789161.348129004</v>
      </c>
      <c r="N115" s="451"/>
    </row>
    <row r="116" spans="1:14">
      <c r="A116" s="445">
        <v>23</v>
      </c>
      <c r="B116" s="432" t="s">
        <v>396</v>
      </c>
      <c r="C116" s="432" t="s">
        <v>397</v>
      </c>
      <c r="D116" s="456">
        <f t="shared" si="3"/>
        <v>0</v>
      </c>
      <c r="E116" s="441"/>
      <c r="F116" s="441" t="s">
        <v>391</v>
      </c>
      <c r="G116" s="503">
        <f>+G114</f>
        <v>0.27937769492077191</v>
      </c>
      <c r="H116" s="441"/>
      <c r="I116" s="458">
        <f t="shared" si="4"/>
        <v>0</v>
      </c>
      <c r="J116" s="458"/>
      <c r="K116" s="508"/>
      <c r="L116" s="514">
        <v>0</v>
      </c>
      <c r="M116" s="514">
        <v>0</v>
      </c>
      <c r="N116" s="506"/>
    </row>
    <row r="117" spans="1:14">
      <c r="A117" s="460" t="s">
        <v>398</v>
      </c>
      <c r="B117" s="440" t="s">
        <v>399</v>
      </c>
      <c r="C117" s="440" t="s">
        <v>1229</v>
      </c>
      <c r="D117" s="456">
        <f t="shared" si="3"/>
        <v>-63381736.798967719</v>
      </c>
      <c r="E117" s="452"/>
      <c r="F117" s="452" t="s">
        <v>274</v>
      </c>
      <c r="G117" s="515">
        <f>I235</f>
        <v>0.9801350103114348</v>
      </c>
      <c r="H117" s="452"/>
      <c r="I117" s="458">
        <f t="shared" si="4"/>
        <v>-62122659.251012869</v>
      </c>
      <c r="J117" s="458"/>
      <c r="K117" s="508"/>
      <c r="L117" s="504">
        <f>'Adj to Rate Base'!$R$56</f>
        <v>-63381736.798967719</v>
      </c>
      <c r="M117" s="452">
        <f>'Adj to Rate Base'!$R$82</f>
        <v>0</v>
      </c>
      <c r="N117" s="506"/>
    </row>
    <row r="118" spans="1:14" ht="16.5" thickBot="1">
      <c r="A118" s="460" t="s">
        <v>400</v>
      </c>
      <c r="B118" s="440" t="s">
        <v>401</v>
      </c>
      <c r="C118" s="440" t="s">
        <v>1230</v>
      </c>
      <c r="D118" s="464">
        <f t="shared" si="3"/>
        <v>0</v>
      </c>
      <c r="E118" s="452"/>
      <c r="F118" s="452" t="s">
        <v>274</v>
      </c>
      <c r="G118" s="515">
        <f>I235</f>
        <v>0.9801350103114348</v>
      </c>
      <c r="H118" s="452"/>
      <c r="I118" s="458">
        <f t="shared" si="4"/>
        <v>0</v>
      </c>
      <c r="J118" s="458"/>
      <c r="K118" s="508"/>
      <c r="L118" s="505">
        <f>'Adj to Rate Base'!$N$56</f>
        <v>0</v>
      </c>
      <c r="M118" s="452">
        <f>'Adj to Rate Base'!$N$82</f>
        <v>0</v>
      </c>
      <c r="N118" s="506"/>
    </row>
    <row r="119" spans="1:14">
      <c r="A119" s="445">
        <v>24</v>
      </c>
      <c r="B119" s="451" t="s">
        <v>402</v>
      </c>
      <c r="C119" s="441"/>
      <c r="D119" s="510">
        <f>SUM(D112:D118)</f>
        <v>-3037534348.4708018</v>
      </c>
      <c r="E119" s="441"/>
      <c r="F119" s="441"/>
      <c r="G119" s="441"/>
      <c r="H119" s="441"/>
      <c r="I119" s="510">
        <f>SUM(I112:I118)</f>
        <v>-883724018.51542461</v>
      </c>
      <c r="J119" s="458"/>
      <c r="K119" s="452"/>
      <c r="L119" s="510">
        <f>SUM(L112:L118)</f>
        <v>-2634423268.8053441</v>
      </c>
      <c r="M119" s="510">
        <f>SUM(M112:M118)</f>
        <v>-403111079.66545796</v>
      </c>
      <c r="N119" s="451"/>
    </row>
    <row r="120" spans="1:14">
      <c r="A120" s="445"/>
      <c r="B120" s="451"/>
      <c r="C120" s="441"/>
      <c r="D120" s="458"/>
      <c r="E120" s="441"/>
      <c r="F120" s="441"/>
      <c r="G120" s="441"/>
      <c r="H120" s="441"/>
      <c r="I120" s="441"/>
      <c r="J120" s="441"/>
      <c r="K120" s="452"/>
      <c r="L120" s="441"/>
      <c r="M120" s="441"/>
      <c r="N120" s="451"/>
    </row>
    <row r="121" spans="1:14">
      <c r="A121" s="445">
        <v>25</v>
      </c>
      <c r="B121" s="516" t="s">
        <v>403</v>
      </c>
      <c r="C121" s="441" t="s">
        <v>404</v>
      </c>
      <c r="D121" s="456">
        <f>L121+M121</f>
        <v>8103</v>
      </c>
      <c r="E121" s="441"/>
      <c r="F121" s="441" t="str">
        <f>+F95</f>
        <v>TP</v>
      </c>
      <c r="G121" s="503">
        <f>+G95</f>
        <v>0.9801350103114348</v>
      </c>
      <c r="H121" s="441"/>
      <c r="I121" s="441">
        <f>+G121*D121</f>
        <v>7942.0339885535559</v>
      </c>
      <c r="J121" s="441"/>
      <c r="K121" s="452"/>
      <c r="L121" s="504">
        <f>'Land HFFU'!$D$45</f>
        <v>0</v>
      </c>
      <c r="M121" s="504">
        <f>'Land HFFU'!$D$64</f>
        <v>8103</v>
      </c>
      <c r="N121" s="451"/>
    </row>
    <row r="122" spans="1:14">
      <c r="A122" s="445"/>
      <c r="B122" s="451"/>
      <c r="C122" s="441"/>
      <c r="D122" s="441"/>
      <c r="E122" s="441"/>
      <c r="F122" s="441"/>
      <c r="G122" s="441"/>
      <c r="H122" s="441"/>
      <c r="I122" s="441"/>
      <c r="J122" s="441"/>
      <c r="K122" s="452"/>
      <c r="L122" s="441"/>
      <c r="M122" s="441"/>
      <c r="N122" s="451"/>
    </row>
    <row r="123" spans="1:14">
      <c r="A123" s="445"/>
      <c r="B123" s="451" t="s">
        <v>405</v>
      </c>
      <c r="C123" s="441" t="s">
        <v>5</v>
      </c>
      <c r="D123" s="441"/>
      <c r="E123" s="441"/>
      <c r="F123" s="441"/>
      <c r="G123" s="441"/>
      <c r="H123" s="441"/>
      <c r="I123" s="441"/>
      <c r="J123" s="441"/>
      <c r="K123" s="452"/>
      <c r="L123" s="441"/>
      <c r="M123" s="441"/>
      <c r="N123" s="451"/>
    </row>
    <row r="124" spans="1:14">
      <c r="A124" s="445">
        <v>26</v>
      </c>
      <c r="B124" s="451" t="s">
        <v>406</v>
      </c>
      <c r="C124" s="432" t="s">
        <v>407</v>
      </c>
      <c r="D124" s="441">
        <f>+D167/8</f>
        <v>43850668.704999998</v>
      </c>
      <c r="E124" s="441"/>
      <c r="F124" s="441"/>
      <c r="G124" s="507"/>
      <c r="H124" s="441"/>
      <c r="I124" s="441">
        <f>+I167/8</f>
        <v>9504155.7219816949</v>
      </c>
      <c r="J124" s="441"/>
      <c r="K124" s="508"/>
      <c r="L124" s="517"/>
      <c r="M124" s="491"/>
      <c r="N124" s="451"/>
    </row>
    <row r="125" spans="1:14">
      <c r="A125" s="445">
        <v>27</v>
      </c>
      <c r="B125" s="470" t="s">
        <v>408</v>
      </c>
      <c r="C125" s="441" t="s">
        <v>409</v>
      </c>
      <c r="D125" s="456">
        <f>L125+M125</f>
        <v>898524.27549250005</v>
      </c>
      <c r="E125" s="441"/>
      <c r="F125" s="441" t="s">
        <v>410</v>
      </c>
      <c r="G125" s="503">
        <f>I245</f>
        <v>0.95164211284654499</v>
      </c>
      <c r="H125" s="441"/>
      <c r="I125" s="441">
        <f>+G125*D125</f>
        <v>855073.53997359378</v>
      </c>
      <c r="J125" s="441"/>
      <c r="K125" s="508"/>
      <c r="L125" s="504">
        <f>'Working Capital'!$D$32</f>
        <v>534005.29181249999</v>
      </c>
      <c r="M125" s="504">
        <f>'Working Capital'!$D$45</f>
        <v>364518.98368000006</v>
      </c>
      <c r="N125" s="451"/>
    </row>
    <row r="126" spans="1:14" ht="16.5" thickBot="1">
      <c r="A126" s="445">
        <v>28</v>
      </c>
      <c r="B126" s="470" t="s">
        <v>411</v>
      </c>
      <c r="C126" s="441" t="s">
        <v>412</v>
      </c>
      <c r="D126" s="456">
        <f>L126+M126</f>
        <v>53775875.222225994</v>
      </c>
      <c r="E126" s="441"/>
      <c r="F126" s="441" t="s">
        <v>413</v>
      </c>
      <c r="G126" s="503">
        <f>+G91</f>
        <v>0.22397671743090536</v>
      </c>
      <c r="H126" s="441"/>
      <c r="I126" s="457">
        <f>+G126*D126</f>
        <v>12044544.009248136</v>
      </c>
      <c r="J126" s="458"/>
      <c r="K126" s="508"/>
      <c r="L126" s="505">
        <f>'Working Capital'!$F$32</f>
        <v>31096802.871030994</v>
      </c>
      <c r="M126" s="505">
        <f>'Working Capital'!$F$45</f>
        <v>22679072.351194996</v>
      </c>
      <c r="N126" s="518"/>
    </row>
    <row r="127" spans="1:14">
      <c r="A127" s="445">
        <v>29</v>
      </c>
      <c r="B127" s="451" t="s">
        <v>414</v>
      </c>
      <c r="C127" s="442"/>
      <c r="D127" s="510">
        <f>D124+D125+D126</f>
        <v>98525068.202718496</v>
      </c>
      <c r="E127" s="442"/>
      <c r="F127" s="442"/>
      <c r="G127" s="442"/>
      <c r="H127" s="442"/>
      <c r="I127" s="441">
        <f>I124+I125+I126</f>
        <v>22403773.271203425</v>
      </c>
      <c r="J127" s="441"/>
      <c r="K127" s="439"/>
      <c r="L127" s="519">
        <f>SUM(L125:L126)</f>
        <v>31630808.162843496</v>
      </c>
      <c r="M127" s="510">
        <f>SUM(M125:M126)</f>
        <v>23043591.334874995</v>
      </c>
    </row>
    <row r="128" spans="1:14" ht="16.5" thickBot="1">
      <c r="C128" s="441"/>
      <c r="D128" s="520"/>
      <c r="E128" s="441"/>
      <c r="F128" s="441"/>
      <c r="G128" s="441"/>
      <c r="H128" s="441"/>
      <c r="I128" s="520"/>
      <c r="J128" s="473"/>
      <c r="K128" s="452"/>
      <c r="L128" s="473"/>
      <c r="M128" s="473"/>
    </row>
    <row r="129" spans="1:13" ht="16.5" thickBot="1">
      <c r="A129" s="445">
        <v>30</v>
      </c>
      <c r="B129" s="451" t="s">
        <v>415</v>
      </c>
      <c r="C129" s="441"/>
      <c r="D129" s="521">
        <f>+D127+D121+D119+D107+D109</f>
        <v>9731700551.350378</v>
      </c>
      <c r="E129" s="441"/>
      <c r="F129" s="441"/>
      <c r="G129" s="507"/>
      <c r="H129" s="441"/>
      <c r="I129" s="521">
        <f>+I127+I121+I119+I107+I109</f>
        <v>2678599138.7598329</v>
      </c>
      <c r="J129" s="458"/>
      <c r="K129" s="522"/>
      <c r="L129" s="521">
        <f>+L127+L121+L119+L107+L109</f>
        <v>8406719120.3575001</v>
      </c>
      <c r="M129" s="521">
        <f>+M127+M121+M119+M107+M109</f>
        <v>1281130762.2878785</v>
      </c>
    </row>
    <row r="130" spans="1:13" ht="16.5" thickTop="1">
      <c r="A130" s="445"/>
      <c r="B130" s="451"/>
      <c r="C130" s="441"/>
      <c r="D130" s="458"/>
      <c r="E130" s="441"/>
      <c r="F130" s="441"/>
      <c r="G130" s="507"/>
      <c r="H130" s="441"/>
      <c r="I130" s="458"/>
      <c r="J130" s="458"/>
      <c r="K130" s="522"/>
      <c r="L130" s="458"/>
      <c r="M130" s="458"/>
    </row>
    <row r="131" spans="1:13">
      <c r="A131" s="445"/>
      <c r="B131" s="451"/>
      <c r="C131" s="441"/>
      <c r="D131" s="458"/>
      <c r="E131" s="441"/>
      <c r="F131" s="441"/>
      <c r="G131" s="507"/>
      <c r="H131" s="441"/>
      <c r="I131" s="458"/>
      <c r="J131" s="458"/>
      <c r="K131" s="522"/>
      <c r="L131" s="458"/>
      <c r="M131" s="458"/>
    </row>
    <row r="132" spans="1:13">
      <c r="A132" s="445"/>
      <c r="B132" s="451"/>
      <c r="C132" s="441"/>
      <c r="D132" s="458"/>
      <c r="E132" s="441"/>
      <c r="F132" s="441"/>
      <c r="G132" s="507"/>
      <c r="H132" s="441"/>
      <c r="I132" s="458"/>
      <c r="J132" s="458"/>
      <c r="K132" s="522"/>
      <c r="L132" s="458"/>
      <c r="M132" s="458"/>
    </row>
    <row r="133" spans="1:13">
      <c r="A133" s="445"/>
      <c r="B133" s="451"/>
      <c r="C133" s="441"/>
      <c r="D133" s="458"/>
      <c r="E133" s="441"/>
      <c r="F133" s="441"/>
      <c r="G133" s="507"/>
      <c r="H133" s="441"/>
      <c r="I133" s="458"/>
      <c r="J133" s="458"/>
      <c r="K133" s="522"/>
      <c r="L133" s="458"/>
      <c r="M133" s="458"/>
    </row>
    <row r="134" spans="1:13">
      <c r="A134" s="445"/>
      <c r="B134" s="451"/>
      <c r="C134" s="441"/>
      <c r="D134" s="458"/>
      <c r="E134" s="441"/>
      <c r="F134" s="441"/>
      <c r="G134" s="507"/>
      <c r="H134" s="441"/>
      <c r="I134" s="458"/>
      <c r="J134" s="458"/>
      <c r="K134" s="522"/>
      <c r="L134" s="458"/>
      <c r="M134" s="458"/>
    </row>
    <row r="135" spans="1:13">
      <c r="A135" s="445"/>
      <c r="B135" s="451"/>
      <c r="C135" s="441"/>
      <c r="D135" s="458"/>
      <c r="E135" s="441"/>
      <c r="F135" s="441"/>
      <c r="G135" s="507"/>
      <c r="H135" s="441"/>
      <c r="I135" s="458"/>
      <c r="J135" s="458"/>
      <c r="K135" s="522"/>
      <c r="L135" s="458"/>
      <c r="M135" s="458"/>
    </row>
    <row r="136" spans="1:13">
      <c r="A136" s="445"/>
      <c r="B136" s="451"/>
      <c r="C136" s="441"/>
      <c r="D136" s="458"/>
      <c r="E136" s="441"/>
      <c r="F136" s="441"/>
      <c r="G136" s="507"/>
      <c r="H136" s="441"/>
      <c r="I136" s="458"/>
      <c r="J136" s="458"/>
      <c r="K136" s="522"/>
      <c r="L136" s="458"/>
      <c r="M136" s="458"/>
    </row>
    <row r="137" spans="1:13">
      <c r="A137" s="445"/>
      <c r="B137" s="451"/>
      <c r="C137" s="441"/>
      <c r="D137" s="458"/>
      <c r="E137" s="441"/>
      <c r="F137" s="441"/>
      <c r="G137" s="507"/>
      <c r="H137" s="441"/>
      <c r="I137" s="458"/>
      <c r="J137" s="458"/>
      <c r="K137" s="522"/>
      <c r="L137" s="458"/>
      <c r="M137" s="458"/>
    </row>
    <row r="138" spans="1:13">
      <c r="A138" s="445"/>
      <c r="B138" s="451"/>
      <c r="C138" s="441"/>
      <c r="D138" s="458"/>
      <c r="E138" s="441"/>
      <c r="F138" s="441"/>
      <c r="G138" s="507"/>
      <c r="H138" s="441"/>
      <c r="I138" s="458"/>
      <c r="J138" s="458"/>
      <c r="K138" s="522"/>
      <c r="L138" s="458"/>
      <c r="M138" s="458"/>
    </row>
    <row r="139" spans="1:13">
      <c r="A139" s="445"/>
      <c r="B139" s="451"/>
      <c r="C139" s="441"/>
      <c r="D139" s="458"/>
      <c r="E139" s="441"/>
      <c r="F139" s="441"/>
      <c r="G139" s="507"/>
      <c r="H139" s="441"/>
      <c r="I139" s="458"/>
      <c r="J139" s="458"/>
      <c r="K139" s="522"/>
      <c r="L139" s="458"/>
      <c r="M139" s="458"/>
    </row>
    <row r="140" spans="1:13">
      <c r="A140" s="445"/>
      <c r="B140" s="451"/>
      <c r="C140" s="441"/>
      <c r="D140" s="458"/>
      <c r="E140" s="441"/>
      <c r="F140" s="441"/>
      <c r="G140" s="507"/>
      <c r="H140" s="441"/>
      <c r="I140" s="458"/>
      <c r="J140" s="458"/>
      <c r="K140" s="522"/>
      <c r="L140" s="458"/>
      <c r="M140" s="458"/>
    </row>
    <row r="141" spans="1:13">
      <c r="A141" s="445"/>
      <c r="B141" s="451"/>
      <c r="C141" s="441"/>
      <c r="D141" s="458"/>
      <c r="E141" s="441"/>
      <c r="F141" s="441"/>
      <c r="G141" s="507"/>
      <c r="H141" s="441"/>
      <c r="I141" s="458"/>
      <c r="J141" s="458"/>
      <c r="K141" s="522"/>
      <c r="L141" s="458"/>
      <c r="M141" s="458"/>
    </row>
    <row r="142" spans="1:13">
      <c r="A142" s="445"/>
      <c r="B142" s="451"/>
      <c r="C142" s="441"/>
      <c r="D142" s="458"/>
      <c r="E142" s="441"/>
      <c r="F142" s="441"/>
      <c r="G142" s="507"/>
      <c r="H142" s="441"/>
      <c r="I142" s="458"/>
      <c r="J142" s="458"/>
      <c r="K142" s="522"/>
      <c r="L142" s="458"/>
      <c r="M142" s="458"/>
    </row>
    <row r="143" spans="1:13">
      <c r="A143" s="445"/>
      <c r="B143" s="451"/>
      <c r="C143" s="441"/>
      <c r="D143" s="458"/>
      <c r="E143" s="441"/>
      <c r="F143" s="441"/>
      <c r="G143" s="507"/>
      <c r="H143" s="441"/>
      <c r="I143" s="458"/>
      <c r="J143" s="458"/>
      <c r="K143" s="522"/>
      <c r="L143" s="458"/>
      <c r="M143" s="458"/>
    </row>
    <row r="144" spans="1:13">
      <c r="A144" s="445"/>
      <c r="B144" s="451"/>
      <c r="C144" s="441"/>
      <c r="D144" s="458"/>
      <c r="E144" s="441"/>
      <c r="F144" s="441"/>
      <c r="G144" s="507"/>
      <c r="H144" s="441"/>
      <c r="I144" s="458"/>
      <c r="J144" s="458"/>
      <c r="K144" s="522"/>
      <c r="L144" s="458"/>
      <c r="M144" s="458"/>
    </row>
    <row r="145" spans="1:14">
      <c r="A145" s="445"/>
      <c r="B145" s="451"/>
      <c r="C145" s="441"/>
      <c r="D145" s="458"/>
      <c r="E145" s="441"/>
      <c r="F145" s="441"/>
      <c r="G145" s="507"/>
      <c r="H145" s="441"/>
      <c r="I145" s="458"/>
      <c r="J145" s="458"/>
      <c r="K145" s="433" t="s">
        <v>259</v>
      </c>
      <c r="L145" s="458"/>
      <c r="M145" s="458"/>
    </row>
    <row r="146" spans="1:14">
      <c r="B146" s="434"/>
      <c r="C146" s="434"/>
      <c r="D146" s="435"/>
      <c r="E146" s="434"/>
      <c r="F146" s="434"/>
      <c r="G146" s="434"/>
      <c r="H146" s="436"/>
      <c r="I146" s="436"/>
      <c r="J146" s="436"/>
      <c r="K146" s="488" t="s">
        <v>416</v>
      </c>
    </row>
    <row r="147" spans="1:14">
      <c r="B147" s="434"/>
      <c r="C147" s="434"/>
      <c r="D147" s="435"/>
      <c r="E147" s="434"/>
      <c r="F147" s="434"/>
      <c r="G147" s="434"/>
      <c r="H147" s="436"/>
      <c r="I147" s="436"/>
      <c r="J147" s="436"/>
      <c r="K147" s="489"/>
    </row>
    <row r="148" spans="1:14">
      <c r="B148" s="434" t="s">
        <v>261</v>
      </c>
      <c r="C148" s="434"/>
      <c r="D148" s="435" t="s">
        <v>262</v>
      </c>
      <c r="E148" s="434"/>
      <c r="F148" s="434"/>
      <c r="G148" s="434"/>
      <c r="H148" s="436"/>
      <c r="K148" s="437" t="str">
        <f>K4</f>
        <v>For the 12 months ended 12/31/2018</v>
      </c>
    </row>
    <row r="149" spans="1:14">
      <c r="B149" s="434"/>
      <c r="C149" s="441" t="s">
        <v>5</v>
      </c>
      <c r="D149" s="441" t="s">
        <v>264</v>
      </c>
      <c r="E149" s="441"/>
      <c r="F149" s="441"/>
      <c r="G149" s="441"/>
      <c r="H149" s="436"/>
      <c r="I149" s="436"/>
      <c r="J149" s="436"/>
      <c r="K149" s="439"/>
    </row>
    <row r="150" spans="1:14">
      <c r="B150" s="434"/>
      <c r="C150" s="441"/>
      <c r="D150" s="441"/>
      <c r="E150" s="441"/>
      <c r="F150" s="441"/>
      <c r="G150" s="441"/>
      <c r="H150" s="436"/>
      <c r="I150" s="436"/>
      <c r="J150" s="436"/>
      <c r="K150" s="439"/>
    </row>
    <row r="151" spans="1:14">
      <c r="A151" s="1185" t="str">
        <f>A7</f>
        <v>Northern States Power Companies</v>
      </c>
      <c r="B151" s="1185"/>
      <c r="C151" s="1185"/>
      <c r="D151" s="1185"/>
      <c r="E151" s="1185"/>
      <c r="F151" s="1185"/>
      <c r="G151" s="1185"/>
      <c r="H151" s="1185"/>
      <c r="I151" s="1185"/>
      <c r="J151" s="1185"/>
      <c r="K151" s="1185"/>
    </row>
    <row r="152" spans="1:14">
      <c r="A152" s="445"/>
      <c r="D152" s="440"/>
      <c r="E152" s="440"/>
      <c r="F152" s="440"/>
      <c r="G152" s="440"/>
      <c r="K152" s="452"/>
    </row>
    <row r="153" spans="1:14">
      <c r="A153" s="445"/>
      <c r="B153" s="491" t="s">
        <v>339</v>
      </c>
      <c r="C153" s="491" t="s">
        <v>340</v>
      </c>
      <c r="D153" s="491" t="s">
        <v>341</v>
      </c>
      <c r="E153" s="441" t="s">
        <v>5</v>
      </c>
      <c r="F153" s="441"/>
      <c r="G153" s="492" t="s">
        <v>342</v>
      </c>
      <c r="H153" s="441"/>
      <c r="I153" s="493" t="s">
        <v>343</v>
      </c>
      <c r="J153" s="493"/>
      <c r="K153" s="452"/>
    </row>
    <row r="154" spans="1:14">
      <c r="A154" s="445"/>
      <c r="B154" s="491"/>
      <c r="C154" s="436"/>
      <c r="D154" s="436"/>
      <c r="E154" s="436"/>
      <c r="F154" s="436"/>
      <c r="G154" s="436"/>
      <c r="H154" s="436"/>
      <c r="I154" s="436"/>
      <c r="J154" s="436"/>
      <c r="K154" s="523"/>
    </row>
    <row r="155" spans="1:14">
      <c r="A155" s="445" t="s">
        <v>46</v>
      </c>
      <c r="B155" s="451"/>
      <c r="C155" s="495" t="s">
        <v>344</v>
      </c>
      <c r="D155" s="441"/>
      <c r="E155" s="441"/>
      <c r="F155" s="441"/>
      <c r="G155" s="445"/>
      <c r="H155" s="441"/>
      <c r="I155" s="496" t="s">
        <v>24</v>
      </c>
      <c r="J155" s="496"/>
      <c r="K155" s="523"/>
      <c r="L155" s="497" t="s">
        <v>345</v>
      </c>
      <c r="M155" s="497" t="s">
        <v>346</v>
      </c>
    </row>
    <row r="156" spans="1:14" ht="16.5" thickBot="1">
      <c r="A156" s="447" t="s">
        <v>22</v>
      </c>
      <c r="B156" s="451"/>
      <c r="C156" s="498" t="s">
        <v>347</v>
      </c>
      <c r="D156" s="499" t="s">
        <v>348</v>
      </c>
      <c r="E156" s="500"/>
      <c r="F156" s="1186" t="s">
        <v>271</v>
      </c>
      <c r="G156" s="1186"/>
      <c r="H156" s="500"/>
      <c r="I156" s="445" t="s">
        <v>350</v>
      </c>
      <c r="J156" s="445"/>
      <c r="K156" s="523"/>
      <c r="L156" s="497" t="s">
        <v>23</v>
      </c>
      <c r="M156" s="497" t="s">
        <v>23</v>
      </c>
    </row>
    <row r="157" spans="1:14">
      <c r="A157" s="445"/>
      <c r="B157" s="451" t="s">
        <v>417</v>
      </c>
      <c r="C157" s="441"/>
      <c r="D157" s="441"/>
      <c r="E157" s="441"/>
      <c r="F157" s="441"/>
      <c r="G157" s="441"/>
      <c r="H157" s="441"/>
      <c r="I157" s="441"/>
      <c r="J157" s="441"/>
      <c r="K157" s="452"/>
    </row>
    <row r="158" spans="1:14">
      <c r="A158" s="445">
        <v>1</v>
      </c>
      <c r="B158" s="451" t="s">
        <v>418</v>
      </c>
      <c r="C158" s="441" t="s">
        <v>419</v>
      </c>
      <c r="D158" s="456">
        <f t="shared" ref="D158:D165" si="5">L158+M158</f>
        <v>260866763</v>
      </c>
      <c r="E158" s="441"/>
      <c r="F158" s="441" t="s">
        <v>410</v>
      </c>
      <c r="G158" s="503">
        <f>I245</f>
        <v>0.95164211284654499</v>
      </c>
      <c r="H158" s="441"/>
      <c r="I158" s="441">
        <f t="shared" ref="I158:I166" si="6">+G158*D158</f>
        <v>248251797.51275891</v>
      </c>
      <c r="J158" s="441"/>
      <c r="K158" s="452"/>
      <c r="L158" s="504">
        <f>'O&amp;M'!$F$50</f>
        <v>248286083</v>
      </c>
      <c r="M158" s="504">
        <f>'O&amp;M'!$H$50</f>
        <v>12580680</v>
      </c>
      <c r="N158" s="524" t="s">
        <v>420</v>
      </c>
    </row>
    <row r="159" spans="1:14">
      <c r="A159" s="460" t="s">
        <v>421</v>
      </c>
      <c r="B159" s="470" t="s">
        <v>422</v>
      </c>
      <c r="C159" s="452"/>
      <c r="D159" s="456">
        <f t="shared" si="5"/>
        <v>9988071</v>
      </c>
      <c r="E159" s="441"/>
      <c r="F159" s="525"/>
      <c r="G159" s="503">
        <v>1</v>
      </c>
      <c r="H159" s="441"/>
      <c r="I159" s="441">
        <f t="shared" si="6"/>
        <v>9988071</v>
      </c>
      <c r="J159" s="441"/>
      <c r="K159" s="452"/>
      <c r="L159" s="504">
        <f>'O&amp;M'!$F$54</f>
        <v>9988071</v>
      </c>
      <c r="M159" s="504">
        <f>'O&amp;M'!$H$54</f>
        <v>0</v>
      </c>
      <c r="N159" s="526" t="s">
        <v>423</v>
      </c>
    </row>
    <row r="160" spans="1:14">
      <c r="A160" s="445">
        <v>2</v>
      </c>
      <c r="B160" s="451" t="s">
        <v>424</v>
      </c>
      <c r="C160" s="441" t="s">
        <v>425</v>
      </c>
      <c r="D160" s="456">
        <f t="shared" si="5"/>
        <v>193894526</v>
      </c>
      <c r="E160" s="441"/>
      <c r="F160" s="441" t="s">
        <v>410</v>
      </c>
      <c r="G160" s="503">
        <f>+G158</f>
        <v>0.95164211284654499</v>
      </c>
      <c r="H160" s="441"/>
      <c r="I160" s="441">
        <f t="shared" si="6"/>
        <v>184518196.39201936</v>
      </c>
      <c r="J160" s="441"/>
      <c r="K160" s="452"/>
      <c r="L160" s="504">
        <f>'O&amp;M'!$F$56</f>
        <v>193894526</v>
      </c>
      <c r="M160" s="504">
        <f>'O&amp;M'!$H$56</f>
        <v>0</v>
      </c>
      <c r="N160" s="527"/>
    </row>
    <row r="161" spans="1:14">
      <c r="A161" s="445">
        <v>3</v>
      </c>
      <c r="B161" s="451" t="s">
        <v>426</v>
      </c>
      <c r="C161" s="441" t="s">
        <v>427</v>
      </c>
      <c r="D161" s="456">
        <f t="shared" si="5"/>
        <v>306898367</v>
      </c>
      <c r="E161" s="441"/>
      <c r="F161" s="441" t="s">
        <v>362</v>
      </c>
      <c r="G161" s="503">
        <f>+G97</f>
        <v>7.5804034366566977E-2</v>
      </c>
      <c r="H161" s="441"/>
      <c r="I161" s="441">
        <f t="shared" si="6"/>
        <v>23264134.359111283</v>
      </c>
      <c r="J161" s="441"/>
      <c r="K161" s="452" t="s">
        <v>5</v>
      </c>
      <c r="L161" s="504">
        <f>'A&amp;G'!$F$30</f>
        <v>265531700</v>
      </c>
      <c r="M161" s="504">
        <f>'A&amp;G'!$H$30</f>
        <v>41366667</v>
      </c>
      <c r="N161" s="524"/>
    </row>
    <row r="162" spans="1:14">
      <c r="A162" s="445">
        <v>4</v>
      </c>
      <c r="B162" s="451" t="s">
        <v>428</v>
      </c>
      <c r="D162" s="456">
        <f t="shared" si="5"/>
        <v>0</v>
      </c>
      <c r="E162" s="441"/>
      <c r="F162" s="441" t="str">
        <f>+F161</f>
        <v>W/S</v>
      </c>
      <c r="G162" s="503">
        <f>+G161</f>
        <v>7.5804034366566977E-2</v>
      </c>
      <c r="H162" s="441"/>
      <c r="I162" s="441">
        <f t="shared" si="6"/>
        <v>0</v>
      </c>
      <c r="J162" s="441"/>
      <c r="L162" s="504">
        <f>'A&amp;G'!$F$32</f>
        <v>0</v>
      </c>
      <c r="M162" s="504">
        <f>'A&amp;G'!$H$32</f>
        <v>0</v>
      </c>
      <c r="N162" s="524"/>
    </row>
    <row r="163" spans="1:14">
      <c r="A163" s="445">
        <v>5</v>
      </c>
      <c r="B163" s="470" t="s">
        <v>429</v>
      </c>
      <c r="C163" s="452"/>
      <c r="D163" s="456">
        <f t="shared" si="5"/>
        <v>13094178</v>
      </c>
      <c r="E163" s="441"/>
      <c r="F163" s="441" t="str">
        <f>+F162</f>
        <v>W/S</v>
      </c>
      <c r="G163" s="503">
        <f>+G162</f>
        <v>7.5804034366566977E-2</v>
      </c>
      <c r="H163" s="441"/>
      <c r="I163" s="441">
        <f t="shared" si="6"/>
        <v>992591.51911394531</v>
      </c>
      <c r="J163" s="441"/>
      <c r="K163" s="452"/>
      <c r="L163" s="504">
        <f>'A&amp;G'!$F$37</f>
        <v>11410711</v>
      </c>
      <c r="M163" s="504">
        <f>'A&amp;G'!$H$37</f>
        <v>1683467</v>
      </c>
      <c r="N163" s="524"/>
    </row>
    <row r="164" spans="1:14">
      <c r="A164" s="445" t="s">
        <v>430</v>
      </c>
      <c r="B164" s="470" t="s">
        <v>431</v>
      </c>
      <c r="C164" s="452"/>
      <c r="D164" s="456">
        <f t="shared" si="5"/>
        <v>16994.64</v>
      </c>
      <c r="E164" s="441"/>
      <c r="F164" s="528" t="str">
        <f>+F158</f>
        <v>TE</v>
      </c>
      <c r="G164" s="515">
        <f>+G158</f>
        <v>0.95164211284654499</v>
      </c>
      <c r="H164" s="441"/>
      <c r="I164" s="441">
        <f t="shared" si="6"/>
        <v>16172.815116666407</v>
      </c>
      <c r="J164" s="441"/>
      <c r="K164" s="452"/>
      <c r="L164" s="504">
        <f>'A&amp;G'!$F$39</f>
        <v>16994.64</v>
      </c>
      <c r="M164" s="504">
        <f>'A&amp;G'!$H$39</f>
        <v>0</v>
      </c>
      <c r="N164" s="526" t="s">
        <v>432</v>
      </c>
    </row>
    <row r="165" spans="1:14" s="440" customFormat="1">
      <c r="A165" s="460">
        <v>6</v>
      </c>
      <c r="B165" s="470" t="s">
        <v>363</v>
      </c>
      <c r="C165" s="452" t="str">
        <f>+C98</f>
        <v>356.1</v>
      </c>
      <c r="D165" s="456">
        <f t="shared" si="5"/>
        <v>0</v>
      </c>
      <c r="E165" s="452"/>
      <c r="F165" s="452" t="s">
        <v>365</v>
      </c>
      <c r="G165" s="515">
        <f>+G98</f>
        <v>6.9923472096169476E-2</v>
      </c>
      <c r="H165" s="452"/>
      <c r="I165" s="452">
        <f t="shared" si="6"/>
        <v>0</v>
      </c>
      <c r="J165" s="452"/>
      <c r="K165" s="452"/>
      <c r="L165" s="504">
        <v>0</v>
      </c>
      <c r="M165" s="504">
        <v>0</v>
      </c>
      <c r="N165" s="529"/>
    </row>
    <row r="166" spans="1:14" ht="16.5" thickBot="1">
      <c r="A166" s="445">
        <v>7</v>
      </c>
      <c r="B166" s="451" t="s">
        <v>433</v>
      </c>
      <c r="C166" s="441"/>
      <c r="D166" s="464">
        <f>L166+M166</f>
        <v>0</v>
      </c>
      <c r="E166" s="441"/>
      <c r="F166" s="441" t="s">
        <v>5</v>
      </c>
      <c r="G166" s="503">
        <v>1</v>
      </c>
      <c r="H166" s="441"/>
      <c r="I166" s="457">
        <f t="shared" si="6"/>
        <v>0</v>
      </c>
      <c r="J166" s="458"/>
      <c r="K166" s="452"/>
      <c r="L166" s="505">
        <v>0</v>
      </c>
      <c r="M166" s="505">
        <v>0</v>
      </c>
      <c r="N166" s="530"/>
    </row>
    <row r="167" spans="1:14">
      <c r="A167" s="445">
        <v>8</v>
      </c>
      <c r="B167" s="451" t="s">
        <v>434</v>
      </c>
      <c r="C167" s="441"/>
      <c r="D167" s="441">
        <f>+D158-D159-D160+D161-D162-D163+D165+D166+D164</f>
        <v>350805349.63999999</v>
      </c>
      <c r="E167" s="441"/>
      <c r="F167" s="441"/>
      <c r="G167" s="441"/>
      <c r="H167" s="441"/>
      <c r="I167" s="441">
        <f>+I158-I159-I160+I161-I162-I163+I165+I166+I164</f>
        <v>76033245.775853559</v>
      </c>
      <c r="J167" s="441"/>
      <c r="K167" s="452"/>
      <c r="L167" s="441">
        <f>+L158-L159-L160+L161-L162-L163+L165+L166+L164</f>
        <v>298541469.63999999</v>
      </c>
      <c r="M167" s="441">
        <f>+M158-M159-M160+M161-M162-M163+M165+M166+M164</f>
        <v>52263880</v>
      </c>
    </row>
    <row r="168" spans="1:14">
      <c r="A168" s="445"/>
      <c r="C168" s="441"/>
      <c r="E168" s="441"/>
      <c r="F168" s="441"/>
      <c r="G168" s="441"/>
      <c r="H168" s="441"/>
      <c r="K168" s="452"/>
    </row>
    <row r="169" spans="1:14">
      <c r="A169" s="445"/>
      <c r="B169" s="531" t="s">
        <v>435</v>
      </c>
      <c r="C169" s="441"/>
      <c r="D169" s="441"/>
      <c r="E169" s="441"/>
      <c r="F169" s="441"/>
      <c r="G169" s="441"/>
      <c r="H169" s="441"/>
      <c r="I169" s="441"/>
      <c r="J169" s="441"/>
      <c r="K169" s="452"/>
    </row>
    <row r="170" spans="1:14">
      <c r="A170" s="445">
        <v>9</v>
      </c>
      <c r="B170" s="451" t="str">
        <f>+B158</f>
        <v xml:space="preserve">  Transmission </v>
      </c>
      <c r="C170" s="452" t="s">
        <v>436</v>
      </c>
      <c r="D170" s="456">
        <f>L170+M170</f>
        <v>98396647.659999982</v>
      </c>
      <c r="E170" s="441"/>
      <c r="F170" s="441" t="s">
        <v>274</v>
      </c>
      <c r="G170" s="503">
        <f>+G121</f>
        <v>0.9801350103114348</v>
      </c>
      <c r="H170" s="441"/>
      <c r="I170" s="441">
        <f>+G170*D170</f>
        <v>96441999.268844694</v>
      </c>
      <c r="J170" s="441"/>
      <c r="K170" s="508"/>
      <c r="L170" s="504">
        <f>'Dep &amp; Amort Exp'!$D$44</f>
        <v>69859228.419999987</v>
      </c>
      <c r="M170" s="504">
        <f>'Dep &amp; Amort Exp'!$D$64</f>
        <v>28537419.239999995</v>
      </c>
    </row>
    <row r="171" spans="1:14">
      <c r="A171" s="445" t="s">
        <v>437</v>
      </c>
      <c r="B171" s="440" t="s">
        <v>438</v>
      </c>
      <c r="C171" s="452" t="s">
        <v>1231</v>
      </c>
      <c r="D171" s="456">
        <f>L171+M171</f>
        <v>-1100613.96</v>
      </c>
      <c r="E171" s="441"/>
      <c r="F171" s="441" t="s">
        <v>274</v>
      </c>
      <c r="G171" s="503">
        <f>I235</f>
        <v>0.9801350103114348</v>
      </c>
      <c r="H171" s="441"/>
      <c r="I171" s="441">
        <f>+G171*D171</f>
        <v>-1078750.2750335091</v>
      </c>
      <c r="J171" s="441"/>
      <c r="K171" s="508"/>
      <c r="L171" s="504">
        <f>'Dep &amp; Amort Exp'!$F$44</f>
        <v>-1100613.96</v>
      </c>
      <c r="M171" s="504">
        <f>'Dep &amp; Amort Exp'!$F$64</f>
        <v>0</v>
      </c>
    </row>
    <row r="172" spans="1:14">
      <c r="A172" s="445" t="s">
        <v>439</v>
      </c>
      <c r="B172" s="440" t="s">
        <v>440</v>
      </c>
      <c r="C172" s="452" t="s">
        <v>1232</v>
      </c>
      <c r="D172" s="456">
        <f>L172+M172</f>
        <v>0</v>
      </c>
      <c r="E172" s="441"/>
      <c r="F172" s="441" t="s">
        <v>274</v>
      </c>
      <c r="G172" s="503">
        <f>I235</f>
        <v>0.9801350103114348</v>
      </c>
      <c r="H172" s="441"/>
      <c r="I172" s="441">
        <f>+G172*D172</f>
        <v>0</v>
      </c>
      <c r="J172" s="441"/>
      <c r="K172" s="508"/>
      <c r="L172" s="504">
        <f>'Dep &amp; Amort Exp'!$H$44</f>
        <v>0</v>
      </c>
      <c r="M172" s="504">
        <f>'Dep &amp; Amort Exp'!$H$64</f>
        <v>0</v>
      </c>
    </row>
    <row r="173" spans="1:14">
      <c r="A173" s="445">
        <v>10</v>
      </c>
      <c r="B173" s="531" t="s">
        <v>360</v>
      </c>
      <c r="C173" s="441" t="s">
        <v>441</v>
      </c>
      <c r="D173" s="456">
        <f>L173+M173</f>
        <v>53619426.537546545</v>
      </c>
      <c r="E173" s="441"/>
      <c r="F173" s="441" t="s">
        <v>362</v>
      </c>
      <c r="G173" s="503">
        <f>+G161</f>
        <v>7.5804034366566977E-2</v>
      </c>
      <c r="H173" s="441"/>
      <c r="I173" s="441">
        <f>+G173*D173</f>
        <v>4064568.8519677916</v>
      </c>
      <c r="J173" s="441"/>
      <c r="K173" s="508"/>
      <c r="L173" s="504">
        <f>'Dep &amp; Amort Exp'!$J$44</f>
        <v>44690547.537546545</v>
      </c>
      <c r="M173" s="504">
        <f>'Dep &amp; Amort Exp'!$J$64</f>
        <v>8928878.9999999981</v>
      </c>
    </row>
    <row r="174" spans="1:14" ht="16.5" thickBot="1">
      <c r="A174" s="445">
        <v>11</v>
      </c>
      <c r="B174" s="470" t="s">
        <v>442</v>
      </c>
      <c r="C174" s="441" t="s">
        <v>443</v>
      </c>
      <c r="D174" s="464">
        <f>L174+M174</f>
        <v>77323912.630401701</v>
      </c>
      <c r="E174" s="441"/>
      <c r="F174" s="441" t="s">
        <v>365</v>
      </c>
      <c r="G174" s="503">
        <f>+G165</f>
        <v>6.9923472096169476E-2</v>
      </c>
      <c r="H174" s="441"/>
      <c r="I174" s="457">
        <f>+G174*D174</f>
        <v>5406756.4471785398</v>
      </c>
      <c r="J174" s="458"/>
      <c r="K174" s="508"/>
      <c r="L174" s="505">
        <f>'Dep &amp; Amort Exp'!$L$44</f>
        <v>63180949.180401705</v>
      </c>
      <c r="M174" s="505">
        <f>'Dep &amp; Amort Exp'!$L$64</f>
        <v>14142963.449999999</v>
      </c>
    </row>
    <row r="175" spans="1:14">
      <c r="A175" s="445">
        <v>12</v>
      </c>
      <c r="B175" s="451" t="s">
        <v>444</v>
      </c>
      <c r="C175" s="441"/>
      <c r="D175" s="510">
        <f>SUM(D170:D174)</f>
        <v>228239372.86794823</v>
      </c>
      <c r="E175" s="441"/>
      <c r="F175" s="441"/>
      <c r="G175" s="441"/>
      <c r="H175" s="441"/>
      <c r="I175" s="441">
        <f>SUM(I170:I174)</f>
        <v>104834574.29295753</v>
      </c>
      <c r="J175" s="441"/>
      <c r="K175" s="452"/>
      <c r="L175" s="441">
        <f>SUM(L170:L174)</f>
        <v>176630111.17794824</v>
      </c>
      <c r="M175" s="441">
        <f>SUM(M170:M174)</f>
        <v>51609261.689999998</v>
      </c>
    </row>
    <row r="176" spans="1:14">
      <c r="A176" s="445"/>
      <c r="B176" s="451"/>
      <c r="C176" s="441"/>
      <c r="D176" s="441"/>
      <c r="E176" s="441"/>
      <c r="F176" s="441"/>
      <c r="G176" s="441"/>
      <c r="H176" s="441"/>
      <c r="I176" s="441"/>
      <c r="J176" s="441"/>
      <c r="K176" s="452"/>
    </row>
    <row r="177" spans="1:14">
      <c r="A177" s="445" t="s">
        <v>5</v>
      </c>
      <c r="B177" s="451" t="s">
        <v>445</v>
      </c>
      <c r="D177" s="441"/>
      <c r="E177" s="441"/>
      <c r="F177" s="441"/>
      <c r="G177" s="441"/>
      <c r="H177" s="441"/>
      <c r="I177" s="441"/>
      <c r="J177" s="441"/>
      <c r="K177" s="452"/>
    </row>
    <row r="178" spans="1:14">
      <c r="A178" s="445"/>
      <c r="B178" s="451" t="s">
        <v>446</v>
      </c>
      <c r="E178" s="441"/>
      <c r="F178" s="441"/>
      <c r="H178" s="441"/>
      <c r="K178" s="508"/>
    </row>
    <row r="179" spans="1:14">
      <c r="A179" s="445">
        <v>13</v>
      </c>
      <c r="B179" s="451" t="s">
        <v>447</v>
      </c>
      <c r="C179" s="441" t="s">
        <v>448</v>
      </c>
      <c r="D179" s="456">
        <f>L179+M179</f>
        <v>32572431</v>
      </c>
      <c r="E179" s="441"/>
      <c r="F179" s="441" t="s">
        <v>362</v>
      </c>
      <c r="G179" s="454">
        <f>+G173</f>
        <v>7.5804034366566977E-2</v>
      </c>
      <c r="H179" s="441"/>
      <c r="I179" s="441">
        <f>+G179*D179</f>
        <v>2469121.6789266318</v>
      </c>
      <c r="J179" s="441"/>
      <c r="K179" s="508"/>
      <c r="L179" s="504">
        <f>'Taxes Other Than Income'!$F$12</f>
        <v>29318372</v>
      </c>
      <c r="M179" s="504">
        <f>'Taxes Other Than Income'!$H$12</f>
        <v>3254059</v>
      </c>
    </row>
    <row r="180" spans="1:14">
      <c r="A180" s="445">
        <v>14</v>
      </c>
      <c r="B180" s="451" t="s">
        <v>449</v>
      </c>
      <c r="C180" s="441" t="str">
        <f>+C179</f>
        <v>263.i</v>
      </c>
      <c r="D180" s="456">
        <f>L180+M180</f>
        <v>0</v>
      </c>
      <c r="E180" s="441"/>
      <c r="F180" s="441" t="str">
        <f>+F179</f>
        <v>W/S</v>
      </c>
      <c r="G180" s="454">
        <f>+G179</f>
        <v>7.5804034366566977E-2</v>
      </c>
      <c r="H180" s="441"/>
      <c r="I180" s="441">
        <f>+G180*D180</f>
        <v>0</v>
      </c>
      <c r="J180" s="441"/>
      <c r="K180" s="508"/>
      <c r="L180" s="504">
        <f>'Taxes Other Than Income'!$F$13</f>
        <v>0</v>
      </c>
      <c r="M180" s="504">
        <f>'Taxes Other Than Income'!$H$13</f>
        <v>0</v>
      </c>
      <c r="N180" s="532"/>
    </row>
    <row r="181" spans="1:14">
      <c r="A181" s="445">
        <v>15</v>
      </c>
      <c r="B181" s="451" t="s">
        <v>450</v>
      </c>
      <c r="C181" s="441" t="s">
        <v>5</v>
      </c>
      <c r="D181" s="533"/>
      <c r="E181" s="441"/>
      <c r="F181" s="441"/>
      <c r="H181" s="441"/>
      <c r="K181" s="508"/>
      <c r="L181" s="533"/>
      <c r="M181" s="533"/>
    </row>
    <row r="182" spans="1:14">
      <c r="A182" s="445">
        <v>16</v>
      </c>
      <c r="B182" s="451" t="s">
        <v>451</v>
      </c>
      <c r="C182" s="441" t="s">
        <v>448</v>
      </c>
      <c r="D182" s="456">
        <f>L182+M182</f>
        <v>223306000</v>
      </c>
      <c r="E182" s="441"/>
      <c r="F182" s="441" t="s">
        <v>413</v>
      </c>
      <c r="G182" s="454">
        <f>+G91</f>
        <v>0.22397671743090536</v>
      </c>
      <c r="H182" s="441"/>
      <c r="I182" s="441">
        <f>+G182*D182</f>
        <v>50015344.862625755</v>
      </c>
      <c r="J182" s="441"/>
      <c r="K182" s="508"/>
      <c r="L182" s="504">
        <f>'Taxes Other Than Income'!$F$16</f>
        <v>221746000</v>
      </c>
      <c r="M182" s="504">
        <f>'Taxes Other Than Income'!$H$16</f>
        <v>1560000</v>
      </c>
    </row>
    <row r="183" spans="1:14">
      <c r="A183" s="445">
        <v>17</v>
      </c>
      <c r="B183" s="451" t="s">
        <v>452</v>
      </c>
      <c r="C183" s="441" t="s">
        <v>448</v>
      </c>
      <c r="D183" s="456">
        <f>L183+M183</f>
        <v>23327151</v>
      </c>
      <c r="E183" s="441"/>
      <c r="F183" s="452" t="str">
        <f>+F112</f>
        <v>NA</v>
      </c>
      <c r="G183" s="534" t="s">
        <v>388</v>
      </c>
      <c r="H183" s="441"/>
      <c r="I183" s="441">
        <v>0</v>
      </c>
      <c r="J183" s="441"/>
      <c r="K183" s="508"/>
      <c r="L183" s="504">
        <f>'Taxes Other Than Income'!$F$17</f>
        <v>0</v>
      </c>
      <c r="M183" s="504">
        <f>'Taxes Other Than Income'!$H$17</f>
        <v>23327151</v>
      </c>
      <c r="N183" s="532"/>
    </row>
    <row r="184" spans="1:14">
      <c r="A184" s="445">
        <v>18</v>
      </c>
      <c r="B184" s="451" t="s">
        <v>453</v>
      </c>
      <c r="C184" s="441" t="str">
        <f>+C183</f>
        <v>263.i</v>
      </c>
      <c r="D184" s="456">
        <f>L184+M184</f>
        <v>0</v>
      </c>
      <c r="E184" s="441"/>
      <c r="F184" s="441" t="str">
        <f>+F182</f>
        <v>GP</v>
      </c>
      <c r="G184" s="454">
        <f>+G182</f>
        <v>0.22397671743090536</v>
      </c>
      <c r="H184" s="441"/>
      <c r="I184" s="441">
        <f>+G184*D184</f>
        <v>0</v>
      </c>
      <c r="J184" s="441"/>
      <c r="K184" s="508"/>
      <c r="L184" s="452">
        <f>'Taxes Other Than Income'!$F$18</f>
        <v>0</v>
      </c>
      <c r="M184" s="452">
        <f>'Taxes Other Than Income'!$H$18</f>
        <v>0</v>
      </c>
    </row>
    <row r="185" spans="1:14" ht="16.5" thickBot="1">
      <c r="A185" s="445">
        <v>19</v>
      </c>
      <c r="B185" s="451" t="s">
        <v>454</v>
      </c>
      <c r="C185" s="441"/>
      <c r="D185" s="464">
        <f>L185+M185</f>
        <v>0</v>
      </c>
      <c r="E185" s="441"/>
      <c r="F185" s="441" t="s">
        <v>413</v>
      </c>
      <c r="G185" s="454">
        <f>+G182</f>
        <v>0.22397671743090536</v>
      </c>
      <c r="H185" s="441"/>
      <c r="I185" s="457">
        <f>+G185*D185</f>
        <v>0</v>
      </c>
      <c r="J185" s="458"/>
      <c r="K185" s="508"/>
      <c r="L185" s="505">
        <f>'Taxes Other Than Income'!$F$19</f>
        <v>0</v>
      </c>
      <c r="M185" s="505">
        <f>'Taxes Other Than Income'!$H$19</f>
        <v>0</v>
      </c>
    </row>
    <row r="186" spans="1:14">
      <c r="A186" s="445">
        <v>20</v>
      </c>
      <c r="B186" s="451" t="s">
        <v>455</v>
      </c>
      <c r="C186" s="441"/>
      <c r="D186" s="510">
        <f>SUM(D179:D185)</f>
        <v>279205582</v>
      </c>
      <c r="E186" s="441"/>
      <c r="F186" s="441"/>
      <c r="G186" s="454"/>
      <c r="H186" s="441"/>
      <c r="I186" s="441">
        <f>SUM(I179:I185)</f>
        <v>52484466.541552387</v>
      </c>
      <c r="J186" s="441"/>
      <c r="K186" s="452"/>
      <c r="L186" s="441">
        <f>SUM(L179:L185)</f>
        <v>251064372</v>
      </c>
      <c r="M186" s="441">
        <f>SUM(M179:M185)</f>
        <v>28141210</v>
      </c>
    </row>
    <row r="187" spans="1:14">
      <c r="A187" s="445"/>
      <c r="B187" s="451"/>
      <c r="C187" s="441"/>
      <c r="D187" s="441"/>
      <c r="E187" s="441"/>
      <c r="F187" s="441"/>
      <c r="G187" s="454"/>
      <c r="H187" s="441"/>
      <c r="I187" s="441"/>
      <c r="J187" s="441"/>
      <c r="K187" s="452"/>
    </row>
    <row r="188" spans="1:14">
      <c r="A188" s="445" t="s">
        <v>5</v>
      </c>
      <c r="B188" s="451" t="s">
        <v>456</v>
      </c>
      <c r="C188" s="441" t="s">
        <v>457</v>
      </c>
      <c r="D188" s="441"/>
      <c r="E188" s="441"/>
      <c r="G188" s="535"/>
      <c r="H188" s="441"/>
    </row>
    <row r="189" spans="1:14">
      <c r="A189" s="445">
        <v>21</v>
      </c>
      <c r="B189" s="536" t="s">
        <v>458</v>
      </c>
      <c r="C189" s="441"/>
      <c r="D189" s="537">
        <f>IF(D331&gt;0,1-(((1-D332)*(1-D331))/(1-D332*D331*D333)),0)</f>
        <v>0.40846800000000005</v>
      </c>
      <c r="E189" s="441"/>
      <c r="G189" s="535"/>
      <c r="H189" s="441"/>
    </row>
    <row r="190" spans="1:14">
      <c r="A190" s="445">
        <v>22</v>
      </c>
      <c r="B190" s="432" t="s">
        <v>459</v>
      </c>
      <c r="C190" s="441"/>
      <c r="D190" s="537">
        <f>IF(I276&gt;0,(D189/(1-D189))*(1-I273/I276),0)</f>
        <v>0.50572701638024298</v>
      </c>
      <c r="E190" s="441"/>
      <c r="G190" s="535"/>
      <c r="H190" s="441"/>
    </row>
    <row r="191" spans="1:14">
      <c r="A191" s="445"/>
      <c r="B191" s="451" t="s">
        <v>460</v>
      </c>
      <c r="C191" s="441"/>
      <c r="D191" s="441"/>
      <c r="E191" s="441"/>
      <c r="G191" s="535"/>
      <c r="H191" s="441"/>
    </row>
    <row r="192" spans="1:14">
      <c r="A192" s="445"/>
      <c r="B192" s="451" t="s">
        <v>461</v>
      </c>
      <c r="C192" s="441"/>
      <c r="D192" s="441"/>
      <c r="E192" s="441"/>
      <c r="G192" s="535"/>
      <c r="H192" s="441"/>
    </row>
    <row r="193" spans="1:14">
      <c r="A193" s="445">
        <v>23</v>
      </c>
      <c r="B193" s="536" t="s">
        <v>462</v>
      </c>
      <c r="C193" s="441"/>
      <c r="D193" s="538">
        <f>IF(D189&gt;0,1/(1-D189),0)</f>
        <v>1.6905256182252186</v>
      </c>
      <c r="E193" s="441"/>
      <c r="G193" s="535"/>
      <c r="H193" s="441"/>
    </row>
    <row r="194" spans="1:14">
      <c r="A194" s="445">
        <v>24</v>
      </c>
      <c r="B194" s="451" t="s">
        <v>463</v>
      </c>
      <c r="C194" s="441"/>
      <c r="D194" s="456">
        <f>L194+M194</f>
        <v>-1889477.04</v>
      </c>
      <c r="E194" s="441"/>
      <c r="G194" s="535"/>
      <c r="H194" s="441"/>
      <c r="L194" s="504">
        <f>'Taxes Other Than Income'!$F$25</f>
        <v>-1385631.12</v>
      </c>
      <c r="M194" s="504">
        <f>'Taxes Other Than Income'!$H$25</f>
        <v>-503845.92</v>
      </c>
      <c r="N194" s="532"/>
    </row>
    <row r="195" spans="1:14">
      <c r="A195" s="445"/>
      <c r="B195" s="451"/>
      <c r="C195" s="441"/>
      <c r="D195" s="441"/>
      <c r="E195" s="441"/>
      <c r="G195" s="535"/>
      <c r="H195" s="441"/>
    </row>
    <row r="196" spans="1:14">
      <c r="A196" s="445">
        <v>25</v>
      </c>
      <c r="B196" s="536" t="s">
        <v>464</v>
      </c>
      <c r="C196" s="539"/>
      <c r="D196" s="441">
        <f>D190*D200</f>
        <v>389756629.41203254</v>
      </c>
      <c r="E196" s="441"/>
      <c r="F196" s="441" t="s">
        <v>355</v>
      </c>
      <c r="G196" s="454"/>
      <c r="H196" s="441"/>
      <c r="I196" s="441">
        <f>D190*I200</f>
        <v>107278452.14309838</v>
      </c>
      <c r="J196" s="441"/>
      <c r="K196" s="540" t="s">
        <v>5</v>
      </c>
    </row>
    <row r="197" spans="1:14" ht="16.5" thickBot="1">
      <c r="A197" s="445">
        <v>26</v>
      </c>
      <c r="B197" s="432" t="s">
        <v>465</v>
      </c>
      <c r="C197" s="539"/>
      <c r="D197" s="457">
        <f>D193*D194</f>
        <v>-3194209.3411683561</v>
      </c>
      <c r="E197" s="441"/>
      <c r="F197" s="432" t="s">
        <v>391</v>
      </c>
      <c r="G197" s="454">
        <f>G107</f>
        <v>0.27937769492077191</v>
      </c>
      <c r="H197" s="441"/>
      <c r="I197" s="457">
        <f>G197*D197</f>
        <v>-892390.8428300129</v>
      </c>
      <c r="J197" s="458"/>
      <c r="K197" s="540"/>
    </row>
    <row r="198" spans="1:14">
      <c r="A198" s="445">
        <v>27</v>
      </c>
      <c r="B198" s="541" t="s">
        <v>466</v>
      </c>
      <c r="C198" s="432" t="s">
        <v>467</v>
      </c>
      <c r="D198" s="542">
        <f>+D196+D197</f>
        <v>386562420.0708642</v>
      </c>
      <c r="E198" s="441"/>
      <c r="F198" s="441" t="s">
        <v>5</v>
      </c>
      <c r="G198" s="454" t="s">
        <v>5</v>
      </c>
      <c r="H198" s="441"/>
      <c r="I198" s="542">
        <f>+I196+I197</f>
        <v>106386061.30026837</v>
      </c>
      <c r="J198" s="542"/>
      <c r="K198" s="452"/>
    </row>
    <row r="199" spans="1:14">
      <c r="A199" s="445" t="s">
        <v>5</v>
      </c>
      <c r="C199" s="543"/>
      <c r="D199" s="441"/>
      <c r="E199" s="441"/>
      <c r="F199" s="441"/>
      <c r="G199" s="454"/>
      <c r="H199" s="441"/>
      <c r="I199" s="441"/>
      <c r="J199" s="441"/>
      <c r="K199" s="452"/>
    </row>
    <row r="200" spans="1:14">
      <c r="A200" s="445">
        <v>28</v>
      </c>
      <c r="B200" s="451" t="s">
        <v>468</v>
      </c>
      <c r="C200" s="507"/>
      <c r="D200" s="441">
        <f>+$I276*D129</f>
        <v>770685798.4406842</v>
      </c>
      <c r="E200" s="441"/>
      <c r="F200" s="441" t="s">
        <v>355</v>
      </c>
      <c r="G200" s="535"/>
      <c r="H200" s="441"/>
      <c r="I200" s="441">
        <f>+$I276*I129</f>
        <v>212127192.47420728</v>
      </c>
      <c r="J200" s="441"/>
    </row>
    <row r="201" spans="1:14">
      <c r="A201" s="445"/>
      <c r="B201" s="541" t="s">
        <v>469</v>
      </c>
      <c r="D201" s="441"/>
      <c r="E201" s="441"/>
      <c r="F201" s="441"/>
      <c r="G201" s="535"/>
      <c r="H201" s="441"/>
      <c r="I201" s="441"/>
      <c r="J201" s="441"/>
      <c r="K201" s="508"/>
    </row>
    <row r="202" spans="1:14" ht="16.5" thickBot="1">
      <c r="A202" s="445"/>
      <c r="B202" s="451"/>
      <c r="D202" s="457"/>
      <c r="E202" s="441"/>
      <c r="F202" s="441"/>
      <c r="G202" s="535"/>
      <c r="H202" s="441"/>
      <c r="I202" s="457"/>
      <c r="J202" s="458"/>
      <c r="K202" s="508"/>
    </row>
    <row r="203" spans="1:14">
      <c r="A203" s="445">
        <v>29</v>
      </c>
      <c r="B203" s="451" t="s">
        <v>470</v>
      </c>
      <c r="C203" s="441"/>
      <c r="D203" s="510">
        <f>+D200+D198+D186+D175+D167</f>
        <v>2015498523.0194969</v>
      </c>
      <c r="E203" s="441"/>
      <c r="F203" s="441"/>
      <c r="G203" s="441"/>
      <c r="H203" s="441"/>
      <c r="I203" s="458">
        <f>+I200+I198+I186+I175+I167</f>
        <v>551865540.38483906</v>
      </c>
      <c r="J203" s="458"/>
      <c r="K203" s="439"/>
    </row>
    <row r="204" spans="1:14">
      <c r="A204" s="445"/>
      <c r="B204" s="451"/>
      <c r="C204" s="441"/>
      <c r="D204" s="458"/>
      <c r="E204" s="441"/>
      <c r="F204" s="441"/>
      <c r="G204" s="441"/>
      <c r="H204" s="441"/>
      <c r="I204" s="458"/>
      <c r="J204" s="458"/>
      <c r="K204" s="439"/>
    </row>
    <row r="205" spans="1:14">
      <c r="A205" s="445">
        <v>30</v>
      </c>
      <c r="B205" s="451" t="s">
        <v>471</v>
      </c>
      <c r="C205" s="441"/>
      <c r="J205" s="458"/>
      <c r="K205" s="439"/>
    </row>
    <row r="206" spans="1:14">
      <c r="A206" s="445"/>
      <c r="B206" s="451" t="s">
        <v>472</v>
      </c>
      <c r="C206" s="441"/>
      <c r="D206" s="458"/>
      <c r="E206" s="441"/>
      <c r="F206" s="441"/>
      <c r="G206" s="441"/>
      <c r="H206" s="441"/>
      <c r="I206" s="458"/>
      <c r="J206" s="458"/>
      <c r="K206" s="439"/>
    </row>
    <row r="207" spans="1:14">
      <c r="A207" s="445"/>
      <c r="B207" s="451" t="s">
        <v>473</v>
      </c>
      <c r="C207" s="441"/>
      <c r="D207" s="462">
        <f>'Attachment GG'!L95</f>
        <v>79099113.931326166</v>
      </c>
      <c r="E207" s="441"/>
      <c r="F207" s="441"/>
      <c r="G207" s="441"/>
      <c r="H207" s="441"/>
      <c r="I207" s="462">
        <f>D207</f>
        <v>79099113.931326166</v>
      </c>
      <c r="J207" s="458"/>
      <c r="K207" s="439"/>
      <c r="L207" s="946"/>
    </row>
    <row r="208" spans="1:14">
      <c r="A208" s="445"/>
      <c r="B208" s="470"/>
      <c r="C208" s="452"/>
      <c r="D208" s="458"/>
      <c r="E208" s="441"/>
      <c r="F208" s="441"/>
      <c r="G208" s="441"/>
      <c r="H208" s="441"/>
      <c r="I208" s="458"/>
      <c r="J208" s="458"/>
      <c r="K208" s="439"/>
      <c r="L208" s="946"/>
    </row>
    <row r="209" spans="1:12">
      <c r="A209" s="445" t="s">
        <v>474</v>
      </c>
      <c r="B209" s="470" t="s">
        <v>475</v>
      </c>
      <c r="C209" s="452"/>
      <c r="K209" s="439"/>
      <c r="L209" s="946"/>
    </row>
    <row r="210" spans="1:12">
      <c r="A210" s="445"/>
      <c r="B210" s="451" t="s">
        <v>472</v>
      </c>
      <c r="C210" s="441"/>
      <c r="D210" s="458"/>
      <c r="E210" s="441"/>
      <c r="F210" s="441"/>
      <c r="G210" s="441"/>
      <c r="H210" s="441"/>
      <c r="I210" s="458"/>
      <c r="J210" s="458"/>
      <c r="K210" s="439"/>
      <c r="L210" s="946"/>
    </row>
    <row r="211" spans="1:12" ht="16.5" thickBot="1">
      <c r="A211" s="445"/>
      <c r="B211" s="451" t="s">
        <v>476</v>
      </c>
      <c r="C211" s="441"/>
      <c r="D211" s="464">
        <f>'Attachment MM'!P91</f>
        <v>67602184.009921059</v>
      </c>
      <c r="E211" s="441"/>
      <c r="F211" s="441"/>
      <c r="G211" s="441"/>
      <c r="H211" s="441"/>
      <c r="I211" s="464">
        <f>D211</f>
        <v>67602184.009921059</v>
      </c>
      <c r="J211" s="463"/>
      <c r="K211" s="439"/>
      <c r="L211" s="946"/>
    </row>
    <row r="212" spans="1:12" ht="16.5" thickBot="1">
      <c r="A212" s="445">
        <v>31</v>
      </c>
      <c r="B212" s="451" t="s">
        <v>477</v>
      </c>
      <c r="C212" s="441"/>
      <c r="D212" s="544">
        <f>+D203-D207-D211</f>
        <v>1868797225.0782497</v>
      </c>
      <c r="E212" s="441"/>
      <c r="F212" s="441"/>
      <c r="G212" s="441"/>
      <c r="H212" s="441"/>
      <c r="I212" s="544">
        <f>+I203-I207-I211</f>
        <v>405164242.44359183</v>
      </c>
      <c r="J212" s="458"/>
      <c r="K212" s="439"/>
      <c r="L212" s="946"/>
    </row>
    <row r="213" spans="1:12" ht="16.5" thickTop="1">
      <c r="A213" s="445"/>
      <c r="B213" s="451" t="s">
        <v>478</v>
      </c>
      <c r="C213" s="441"/>
      <c r="D213" s="458"/>
      <c r="E213" s="441"/>
      <c r="F213" s="441"/>
      <c r="G213" s="441"/>
      <c r="H213" s="441"/>
      <c r="I213" s="458"/>
      <c r="J213" s="458"/>
      <c r="K213" s="439"/>
    </row>
    <row r="214" spans="1:12">
      <c r="A214" s="445"/>
      <c r="B214" s="451"/>
      <c r="C214" s="441"/>
      <c r="D214" s="458"/>
      <c r="E214" s="441"/>
      <c r="F214" s="441"/>
      <c r="G214" s="441"/>
      <c r="H214" s="441"/>
      <c r="I214" s="458"/>
      <c r="J214" s="458"/>
      <c r="K214" s="439"/>
    </row>
    <row r="215" spans="1:12">
      <c r="A215" s="445"/>
      <c r="B215" s="451"/>
      <c r="C215" s="441"/>
      <c r="D215" s="458"/>
      <c r="E215" s="441"/>
      <c r="F215" s="441"/>
      <c r="G215" s="441"/>
      <c r="H215" s="441"/>
      <c r="I215" s="458"/>
      <c r="J215" s="458"/>
      <c r="K215" s="439"/>
    </row>
    <row r="216" spans="1:12">
      <c r="A216" s="445"/>
      <c r="B216" s="451"/>
      <c r="C216" s="441"/>
      <c r="D216" s="458"/>
      <c r="E216" s="441"/>
      <c r="F216" s="441"/>
      <c r="G216" s="441"/>
      <c r="H216" s="441"/>
      <c r="I216" s="458"/>
      <c r="J216" s="458"/>
      <c r="K216" s="439"/>
    </row>
    <row r="217" spans="1:12">
      <c r="A217" s="445"/>
      <c r="B217" s="451"/>
      <c r="C217" s="441"/>
      <c r="D217" s="458"/>
      <c r="E217" s="441"/>
      <c r="F217" s="441"/>
      <c r="G217" s="441"/>
      <c r="H217" s="441"/>
      <c r="I217" s="458"/>
      <c r="J217" s="458"/>
      <c r="K217" s="439"/>
    </row>
    <row r="218" spans="1:12">
      <c r="A218" s="445"/>
      <c r="B218" s="451"/>
      <c r="C218" s="441"/>
      <c r="D218" s="458"/>
      <c r="E218" s="441"/>
      <c r="F218" s="441"/>
      <c r="G218" s="441"/>
      <c r="H218" s="441"/>
      <c r="I218" s="458"/>
      <c r="J218" s="458"/>
      <c r="K218" s="439"/>
    </row>
    <row r="219" spans="1:12">
      <c r="A219" s="445"/>
      <c r="B219" s="451"/>
      <c r="C219" s="441"/>
      <c r="D219" s="458"/>
      <c r="E219" s="441"/>
      <c r="F219" s="441"/>
      <c r="G219" s="441"/>
      <c r="H219" s="441"/>
      <c r="I219" s="458"/>
      <c r="J219" s="458"/>
      <c r="K219" s="439"/>
    </row>
    <row r="220" spans="1:12">
      <c r="A220" s="445"/>
      <c r="B220" s="451"/>
      <c r="C220" s="441"/>
      <c r="D220" s="458"/>
      <c r="E220" s="441"/>
      <c r="F220" s="441"/>
      <c r="G220" s="441"/>
      <c r="H220" s="441"/>
      <c r="I220" s="458"/>
      <c r="J220" s="458"/>
      <c r="K220" s="439"/>
    </row>
    <row r="221" spans="1:12">
      <c r="A221" s="445"/>
      <c r="B221" s="451"/>
      <c r="C221" s="441"/>
      <c r="D221" s="458"/>
      <c r="E221" s="441"/>
      <c r="F221" s="441"/>
      <c r="G221" s="441"/>
      <c r="H221" s="441"/>
      <c r="I221" s="458"/>
      <c r="J221" s="458"/>
      <c r="K221" s="433" t="s">
        <v>259</v>
      </c>
    </row>
    <row r="222" spans="1:12">
      <c r="B222" s="434"/>
      <c r="C222" s="434"/>
      <c r="D222" s="435"/>
      <c r="E222" s="434"/>
      <c r="F222" s="434"/>
      <c r="G222" s="434"/>
      <c r="H222" s="436"/>
      <c r="I222" s="437"/>
      <c r="J222" s="437"/>
      <c r="K222" s="438" t="s">
        <v>479</v>
      </c>
    </row>
    <row r="223" spans="1:12">
      <c r="B223" s="434" t="s">
        <v>261</v>
      </c>
      <c r="C223" s="434"/>
      <c r="D223" s="435" t="s">
        <v>262</v>
      </c>
      <c r="E223" s="434"/>
      <c r="F223" s="434"/>
      <c r="G223" s="434"/>
      <c r="H223" s="436"/>
      <c r="K223" s="437" t="str">
        <f>K4</f>
        <v>For the 12 months ended 12/31/2018</v>
      </c>
    </row>
    <row r="224" spans="1:12">
      <c r="B224" s="434"/>
      <c r="C224" s="434"/>
      <c r="D224" s="441" t="s">
        <v>264</v>
      </c>
      <c r="E224" s="434"/>
      <c r="F224" s="434"/>
      <c r="G224" s="434"/>
      <c r="H224" s="436"/>
      <c r="I224" s="436"/>
      <c r="J224" s="436"/>
      <c r="K224" s="489"/>
    </row>
    <row r="225" spans="1:19" ht="11.25" customHeight="1">
      <c r="B225" s="434"/>
      <c r="C225" s="434"/>
      <c r="D225" s="441"/>
      <c r="E225" s="434"/>
      <c r="F225" s="434"/>
      <c r="G225" s="434"/>
      <c r="H225" s="436"/>
      <c r="I225" s="436"/>
      <c r="J225" s="436"/>
      <c r="K225" s="489"/>
    </row>
    <row r="226" spans="1:19">
      <c r="A226" s="1185" t="str">
        <f>A7</f>
        <v>Northern States Power Companies</v>
      </c>
      <c r="B226" s="1185"/>
      <c r="C226" s="1185"/>
      <c r="D226" s="1185"/>
      <c r="E226" s="1185"/>
      <c r="F226" s="1185"/>
      <c r="G226" s="1185"/>
      <c r="H226" s="1185"/>
      <c r="I226" s="1185"/>
      <c r="J226" s="1185"/>
      <c r="K226" s="1185"/>
      <c r="L226" s="497" t="s">
        <v>345</v>
      </c>
      <c r="M226" s="497" t="s">
        <v>346</v>
      </c>
    </row>
    <row r="227" spans="1:19">
      <c r="B227" s="434"/>
      <c r="C227" s="434"/>
      <c r="D227" s="440"/>
      <c r="E227" s="516"/>
      <c r="F227" s="516"/>
      <c r="G227" s="516"/>
      <c r="H227" s="436"/>
      <c r="I227" s="436"/>
      <c r="J227" s="436"/>
      <c r="K227" s="439"/>
      <c r="L227" s="497"/>
      <c r="M227" s="497"/>
    </row>
    <row r="228" spans="1:19">
      <c r="A228" s="445" t="s">
        <v>46</v>
      </c>
      <c r="B228" s="434"/>
      <c r="C228" s="501" t="s">
        <v>480</v>
      </c>
      <c r="E228" s="441"/>
      <c r="F228" s="441"/>
      <c r="G228" s="441"/>
      <c r="H228" s="436"/>
      <c r="I228" s="436"/>
      <c r="J228" s="436"/>
      <c r="K228" s="439"/>
      <c r="L228" s="497" t="s">
        <v>23</v>
      </c>
      <c r="M228" s="497" t="s">
        <v>23</v>
      </c>
    </row>
    <row r="229" spans="1:19" ht="16.5" thickBot="1">
      <c r="A229" s="447" t="s">
        <v>22</v>
      </c>
      <c r="B229" s="516" t="s">
        <v>481</v>
      </c>
      <c r="C229" s="439"/>
      <c r="D229" s="439"/>
      <c r="E229" s="439"/>
      <c r="F229" s="439"/>
      <c r="G229" s="439"/>
      <c r="H229" s="440"/>
      <c r="I229" s="440"/>
      <c r="J229" s="440"/>
      <c r="K229" s="452"/>
    </row>
    <row r="230" spans="1:19">
      <c r="A230" s="445">
        <v>1</v>
      </c>
      <c r="B230" s="471" t="s">
        <v>482</v>
      </c>
      <c r="C230" s="439"/>
      <c r="D230" s="452"/>
      <c r="E230" s="452"/>
      <c r="F230" s="452"/>
      <c r="G230" s="452"/>
      <c r="H230" s="452"/>
      <c r="I230" s="452">
        <f>D87</f>
        <v>4713797110.7984619</v>
      </c>
      <c r="J230" s="452"/>
      <c r="K230" s="452"/>
    </row>
    <row r="231" spans="1:19">
      <c r="A231" s="445">
        <v>2</v>
      </c>
      <c r="B231" s="471" t="s">
        <v>483</v>
      </c>
      <c r="C231" s="440"/>
      <c r="D231" s="545"/>
      <c r="E231" s="440"/>
      <c r="F231" s="440"/>
      <c r="G231" s="440"/>
      <c r="H231" s="440"/>
      <c r="I231" s="456">
        <f>L231+M231</f>
        <v>0</v>
      </c>
      <c r="J231" s="452"/>
      <c r="K231" s="452"/>
      <c r="L231" s="504">
        <f>'Support for Allocation Factors'!$F$12</f>
        <v>0</v>
      </c>
      <c r="M231" s="504">
        <f>'Support for Allocation Factors'!$H$12</f>
        <v>0</v>
      </c>
    </row>
    <row r="232" spans="1:19" ht="16.5" thickBot="1">
      <c r="A232" s="445">
        <v>3</v>
      </c>
      <c r="B232" s="546" t="s">
        <v>484</v>
      </c>
      <c r="C232" s="547"/>
      <c r="D232" s="463"/>
      <c r="E232" s="452"/>
      <c r="F232" s="452"/>
      <c r="G232" s="490"/>
      <c r="H232" s="452"/>
      <c r="I232" s="456">
        <f>L232+M232</f>
        <v>93639531</v>
      </c>
      <c r="J232" s="452"/>
      <c r="K232" s="452"/>
      <c r="L232" s="514">
        <f>'Support for Allocation Factors'!$F$13</f>
        <v>84490746.11999999</v>
      </c>
      <c r="M232" s="514">
        <f>'Support for Allocation Factors'!$H$13</f>
        <v>9148784.8800000045</v>
      </c>
      <c r="N232" s="532"/>
    </row>
    <row r="233" spans="1:19">
      <c r="A233" s="445">
        <v>4</v>
      </c>
      <c r="B233" s="471" t="s">
        <v>485</v>
      </c>
      <c r="C233" s="439"/>
      <c r="D233" s="463"/>
      <c r="E233" s="452"/>
      <c r="F233" s="452"/>
      <c r="G233" s="490"/>
      <c r="H233" s="452"/>
      <c r="I233" s="548">
        <f>I230-I231-I232</f>
        <v>4620157579.7984619</v>
      </c>
      <c r="J233" s="463"/>
      <c r="K233" s="452"/>
    </row>
    <row r="234" spans="1:19" ht="11.25" customHeight="1">
      <c r="A234" s="445"/>
      <c r="B234" s="440"/>
      <c r="C234" s="439"/>
      <c r="D234" s="463"/>
      <c r="E234" s="452"/>
      <c r="F234" s="452"/>
      <c r="G234" s="490"/>
      <c r="H234" s="452"/>
      <c r="I234" s="440"/>
      <c r="J234" s="440"/>
      <c r="K234" s="452"/>
    </row>
    <row r="235" spans="1:19">
      <c r="A235" s="445">
        <v>5</v>
      </c>
      <c r="B235" s="471" t="s">
        <v>486</v>
      </c>
      <c r="C235" s="549"/>
      <c r="D235" s="550"/>
      <c r="E235" s="551"/>
      <c r="F235" s="551"/>
      <c r="G235" s="443"/>
      <c r="H235" s="452" t="s">
        <v>487</v>
      </c>
      <c r="I235" s="513">
        <f>IF(I230&gt;0,I233/I230,0)</f>
        <v>0.9801350103114348</v>
      </c>
      <c r="J235" s="513"/>
      <c r="K235" s="452"/>
    </row>
    <row r="236" spans="1:19" ht="11.25" customHeight="1">
      <c r="A236" s="445"/>
      <c r="B236" s="440"/>
      <c r="C236" s="440"/>
      <c r="D236" s="545"/>
      <c r="E236" s="440"/>
      <c r="F236" s="440"/>
      <c r="G236" s="440"/>
      <c r="H236" s="440"/>
      <c r="I236" s="440"/>
      <c r="J236" s="440"/>
      <c r="K236" s="452"/>
    </row>
    <row r="237" spans="1:19">
      <c r="A237" s="445"/>
      <c r="B237" s="470" t="s">
        <v>488</v>
      </c>
      <c r="C237" s="440"/>
      <c r="D237" s="545"/>
      <c r="E237" s="440"/>
      <c r="F237" s="440"/>
      <c r="G237" s="440"/>
      <c r="H237" s="440"/>
      <c r="I237" s="440"/>
      <c r="J237" s="440"/>
      <c r="K237" s="452"/>
    </row>
    <row r="238" spans="1:19">
      <c r="A238" s="445"/>
      <c r="B238" s="440"/>
      <c r="C238" s="440"/>
      <c r="D238" s="545"/>
      <c r="E238" s="440"/>
      <c r="F238" s="440"/>
      <c r="G238" s="440"/>
      <c r="H238" s="440"/>
      <c r="I238" s="440"/>
      <c r="J238" s="440"/>
      <c r="K238" s="452"/>
      <c r="N238" s="1179" t="s">
        <v>489</v>
      </c>
      <c r="O238" s="1180"/>
      <c r="P238" s="1180"/>
      <c r="Q238" s="1180"/>
      <c r="R238" s="1180"/>
      <c r="S238" s="1181"/>
    </row>
    <row r="239" spans="1:19">
      <c r="A239" s="445">
        <v>6</v>
      </c>
      <c r="B239" s="440" t="s">
        <v>490</v>
      </c>
      <c r="C239" s="440"/>
      <c r="D239" s="552"/>
      <c r="E239" s="439"/>
      <c r="F239" s="439"/>
      <c r="G239" s="494"/>
      <c r="H239" s="439"/>
      <c r="I239" s="452">
        <f>D158</f>
        <v>260866763</v>
      </c>
      <c r="J239" s="452"/>
      <c r="K239" s="452"/>
      <c r="N239" s="553"/>
      <c r="O239" s="473"/>
      <c r="P239" s="458"/>
      <c r="Q239" s="554"/>
      <c r="R239" s="473"/>
      <c r="S239" s="555"/>
    </row>
    <row r="240" spans="1:19" ht="16.5" thickBot="1">
      <c r="A240" s="445">
        <v>7</v>
      </c>
      <c r="B240" s="546" t="s">
        <v>491</v>
      </c>
      <c r="C240" s="547"/>
      <c r="D240" s="463"/>
      <c r="E240" s="463"/>
      <c r="F240" s="452"/>
      <c r="G240" s="452"/>
      <c r="H240" s="452"/>
      <c r="I240" s="456">
        <f>L240+M240</f>
        <v>7583496</v>
      </c>
      <c r="J240" s="452"/>
      <c r="K240" s="452"/>
      <c r="L240" s="514">
        <f>'Support for Allocation Factors'!$F$22</f>
        <v>5980333</v>
      </c>
      <c r="M240" s="514">
        <f>'Support for Allocation Factors'!$H$22</f>
        <v>1603163</v>
      </c>
      <c r="N240" s="556">
        <f>+I240</f>
        <v>7583496</v>
      </c>
      <c r="O240" s="557" t="s">
        <v>492</v>
      </c>
      <c r="P240" s="458"/>
      <c r="Q240" s="554"/>
      <c r="R240" s="473"/>
      <c r="S240" s="555"/>
    </row>
    <row r="241" spans="1:19">
      <c r="A241" s="445">
        <v>8</v>
      </c>
      <c r="B241" s="471" t="s">
        <v>493</v>
      </c>
      <c r="C241" s="549"/>
      <c r="D241" s="550"/>
      <c r="E241" s="551"/>
      <c r="F241" s="551"/>
      <c r="G241" s="443"/>
      <c r="H241" s="551"/>
      <c r="I241" s="548">
        <f>+I239-I240</f>
        <v>253283267</v>
      </c>
      <c r="J241" s="463"/>
      <c r="K241" s="452"/>
      <c r="L241" s="514"/>
      <c r="M241" s="514"/>
      <c r="N241" s="558">
        <v>1135404.1100000003</v>
      </c>
      <c r="O241" s="559" t="s">
        <v>494</v>
      </c>
      <c r="S241" s="555"/>
    </row>
    <row r="242" spans="1:19">
      <c r="A242" s="445"/>
      <c r="B242" s="471"/>
      <c r="C242" s="439"/>
      <c r="D242" s="452"/>
      <c r="E242" s="452"/>
      <c r="F242" s="452"/>
      <c r="G242" s="452"/>
      <c r="H242" s="440"/>
      <c r="I242" s="440"/>
      <c r="J242" s="440"/>
      <c r="N242" s="560">
        <f>N240-N241</f>
        <v>6448091.8899999997</v>
      </c>
      <c r="O242" s="559" t="s">
        <v>495</v>
      </c>
      <c r="S242" s="555"/>
    </row>
    <row r="243" spans="1:19">
      <c r="A243" s="445">
        <v>9</v>
      </c>
      <c r="B243" s="471" t="s">
        <v>496</v>
      </c>
      <c r="C243" s="439"/>
      <c r="D243" s="452"/>
      <c r="E243" s="452"/>
      <c r="F243" s="452"/>
      <c r="G243" s="452"/>
      <c r="H243" s="452"/>
      <c r="I243" s="515">
        <f>IF(I239&gt;0,I241/I239,0)</f>
        <v>0.97092961973082026</v>
      </c>
      <c r="J243" s="515"/>
      <c r="N243" s="560"/>
      <c r="O243" s="561" t="s">
        <v>497</v>
      </c>
      <c r="P243" s="562"/>
      <c r="Q243" s="562"/>
      <c r="R243" s="473"/>
      <c r="S243" s="555"/>
    </row>
    <row r="244" spans="1:19">
      <c r="A244" s="445">
        <v>10</v>
      </c>
      <c r="B244" s="471" t="s">
        <v>498</v>
      </c>
      <c r="C244" s="439"/>
      <c r="D244" s="452"/>
      <c r="E244" s="452"/>
      <c r="F244" s="452"/>
      <c r="G244" s="452"/>
      <c r="H244" s="439" t="s">
        <v>274</v>
      </c>
      <c r="I244" s="563">
        <f>I235</f>
        <v>0.9801350103114348</v>
      </c>
      <c r="J244" s="563"/>
      <c r="N244" s="564">
        <v>0</v>
      </c>
      <c r="O244" s="562" t="s">
        <v>499</v>
      </c>
      <c r="P244" s="473"/>
      <c r="Q244" s="562"/>
      <c r="R244" s="473"/>
      <c r="S244" s="555"/>
    </row>
    <row r="245" spans="1:19">
      <c r="A245" s="445">
        <v>11</v>
      </c>
      <c r="B245" s="471" t="s">
        <v>500</v>
      </c>
      <c r="C245" s="439"/>
      <c r="D245" s="439"/>
      <c r="E245" s="439"/>
      <c r="F245" s="439"/>
      <c r="G245" s="439"/>
      <c r="H245" s="439" t="s">
        <v>501</v>
      </c>
      <c r="I245" s="565">
        <f>+I244*I243</f>
        <v>0.95164211284654499</v>
      </c>
      <c r="J245" s="565"/>
      <c r="N245" s="564">
        <v>0</v>
      </c>
      <c r="O245" s="562" t="s">
        <v>502</v>
      </c>
      <c r="P245" s="473"/>
      <c r="Q245" s="562"/>
      <c r="R245" s="473"/>
      <c r="S245" s="555"/>
    </row>
    <row r="246" spans="1:19">
      <c r="A246" s="445"/>
      <c r="C246" s="442"/>
      <c r="D246" s="441"/>
      <c r="E246" s="441"/>
      <c r="F246" s="441"/>
      <c r="G246" s="517"/>
      <c r="H246" s="441"/>
      <c r="N246" s="1065">
        <v>662609.22077055636</v>
      </c>
      <c r="O246" s="562" t="s">
        <v>503</v>
      </c>
      <c r="P246" s="473"/>
      <c r="Q246" s="566"/>
      <c r="R246" s="473"/>
      <c r="S246" s="555"/>
    </row>
    <row r="247" spans="1:19">
      <c r="A247" s="445" t="s">
        <v>5</v>
      </c>
      <c r="B247" s="451" t="s">
        <v>504</v>
      </c>
      <c r="C247" s="441"/>
      <c r="D247" s="441"/>
      <c r="E247" s="441"/>
      <c r="F247" s="441"/>
      <c r="G247" s="441"/>
      <c r="H247" s="441"/>
      <c r="I247" s="441"/>
      <c r="J247" s="441"/>
      <c r="N247" s="560">
        <f>SUM(N244:N246)</f>
        <v>662609.22077055636</v>
      </c>
      <c r="O247" s="567" t="s">
        <v>505</v>
      </c>
      <c r="P247" s="458"/>
      <c r="Q247" s="554"/>
      <c r="R247" s="473"/>
      <c r="S247" s="555"/>
    </row>
    <row r="248" spans="1:19" ht="16.5" thickBot="1">
      <c r="A248" s="445" t="s">
        <v>5</v>
      </c>
      <c r="B248" s="451"/>
      <c r="C248" s="457" t="s">
        <v>506</v>
      </c>
      <c r="D248" s="568" t="s">
        <v>507</v>
      </c>
      <c r="E248" s="568" t="s">
        <v>274</v>
      </c>
      <c r="F248" s="441"/>
      <c r="G248" s="568" t="s">
        <v>286</v>
      </c>
      <c r="H248" s="441"/>
      <c r="I248" s="441"/>
      <c r="J248" s="441"/>
      <c r="K248" s="452"/>
      <c r="N248" s="569">
        <f>N242-N247</f>
        <v>5785482.6692294432</v>
      </c>
      <c r="O248" s="570" t="s">
        <v>508</v>
      </c>
      <c r="P248" s="571"/>
      <c r="Q248" s="572"/>
      <c r="R248" s="475"/>
      <c r="S248" s="476"/>
    </row>
    <row r="249" spans="1:19">
      <c r="A249" s="445">
        <v>12</v>
      </c>
      <c r="B249" s="451" t="s">
        <v>353</v>
      </c>
      <c r="C249" s="441" t="s">
        <v>509</v>
      </c>
      <c r="D249" s="456">
        <f>L249+M249</f>
        <v>274396554</v>
      </c>
      <c r="E249" s="573">
        <v>0</v>
      </c>
      <c r="F249" s="573"/>
      <c r="G249" s="441">
        <f>D249*E249</f>
        <v>0</v>
      </c>
      <c r="H249" s="441"/>
      <c r="I249" s="441"/>
      <c r="J249" s="441"/>
      <c r="K249" s="452"/>
      <c r="L249" s="504">
        <f>'Support for Allocation Factors'!$F$26</f>
        <v>262881747</v>
      </c>
      <c r="M249" s="504">
        <f>'Support for Allocation Factors'!$H$26</f>
        <v>11514807</v>
      </c>
    </row>
    <row r="250" spans="1:19">
      <c r="A250" s="445">
        <v>13</v>
      </c>
      <c r="B250" s="451" t="s">
        <v>356</v>
      </c>
      <c r="C250" s="441" t="s">
        <v>510</v>
      </c>
      <c r="D250" s="456">
        <f>L250+M250</f>
        <v>30249172</v>
      </c>
      <c r="E250" s="573">
        <f>+I235</f>
        <v>0.9801350103114348</v>
      </c>
      <c r="F250" s="573"/>
      <c r="G250" s="441">
        <f>D250*E250</f>
        <v>29648272.510132365</v>
      </c>
      <c r="H250" s="441"/>
      <c r="I250" s="441"/>
      <c r="J250" s="441"/>
      <c r="K250" s="452"/>
      <c r="L250" s="504">
        <f>'Support for Allocation Factors'!$F$27</f>
        <v>23860953</v>
      </c>
      <c r="M250" s="504">
        <f>'Support for Allocation Factors'!$H$27</f>
        <v>6388219</v>
      </c>
    </row>
    <row r="251" spans="1:19">
      <c r="A251" s="445">
        <v>14</v>
      </c>
      <c r="B251" s="451" t="s">
        <v>358</v>
      </c>
      <c r="C251" s="441" t="s">
        <v>511</v>
      </c>
      <c r="D251" s="456">
        <f>L251+M251</f>
        <v>67845229</v>
      </c>
      <c r="E251" s="573">
        <v>0</v>
      </c>
      <c r="F251" s="573"/>
      <c r="G251" s="441">
        <f>D251*E251</f>
        <v>0</v>
      </c>
      <c r="H251" s="441"/>
      <c r="I251" s="574" t="s">
        <v>512</v>
      </c>
      <c r="J251" s="574"/>
      <c r="K251" s="452"/>
      <c r="L251" s="504">
        <f>'Support for Allocation Factors'!$F$28</f>
        <v>55710192</v>
      </c>
      <c r="M251" s="504">
        <f>'Support for Allocation Factors'!$H$28</f>
        <v>12135037</v>
      </c>
    </row>
    <row r="252" spans="1:19" ht="16.5" thickBot="1">
      <c r="A252" s="445">
        <v>15</v>
      </c>
      <c r="B252" s="451" t="s">
        <v>513</v>
      </c>
      <c r="C252" s="441" t="s">
        <v>514</v>
      </c>
      <c r="D252" s="456">
        <f>L252+M252</f>
        <v>18626388</v>
      </c>
      <c r="E252" s="573">
        <v>0</v>
      </c>
      <c r="F252" s="573"/>
      <c r="G252" s="457">
        <f>D252*E252</f>
        <v>0</v>
      </c>
      <c r="H252" s="441"/>
      <c r="I252" s="447" t="s">
        <v>515</v>
      </c>
      <c r="J252" s="448"/>
      <c r="K252" s="452"/>
      <c r="L252" s="505">
        <f>'Support for Allocation Factors'!$F$29</f>
        <v>15271960</v>
      </c>
      <c r="M252" s="505">
        <f>'Support for Allocation Factors'!$H$29</f>
        <v>3354428</v>
      </c>
    </row>
    <row r="253" spans="1:19">
      <c r="A253" s="445">
        <v>16</v>
      </c>
      <c r="B253" s="451" t="s">
        <v>516</v>
      </c>
      <c r="C253" s="441"/>
      <c r="D253" s="510">
        <f>SUM(D249:D252)</f>
        <v>391117343</v>
      </c>
      <c r="E253" s="441"/>
      <c r="F253" s="441"/>
      <c r="G253" s="441">
        <f>SUM(G249:G252)</f>
        <v>29648272.510132365</v>
      </c>
      <c r="H253" s="491" t="s">
        <v>517</v>
      </c>
      <c r="I253" s="503">
        <f>IF(G253&gt;0,G253/D253,0)</f>
        <v>7.5804034366566977E-2</v>
      </c>
      <c r="J253" s="575" t="s">
        <v>518</v>
      </c>
      <c r="K253" s="452"/>
      <c r="L253" s="441">
        <f>SUM(L249:L252)</f>
        <v>357724852</v>
      </c>
      <c r="M253" s="441">
        <f>SUM(M249:M252)</f>
        <v>33392491</v>
      </c>
      <c r="N253" s="451"/>
      <c r="P253" s="441"/>
      <c r="Q253" s="451"/>
    </row>
    <row r="254" spans="1:19">
      <c r="A254" s="445"/>
      <c r="B254" s="451"/>
      <c r="C254" s="441"/>
      <c r="D254" s="441"/>
      <c r="E254" s="441"/>
      <c r="F254" s="441"/>
      <c r="G254" s="441"/>
      <c r="H254" s="441"/>
      <c r="I254" s="441"/>
    </row>
    <row r="255" spans="1:19">
      <c r="A255" s="445"/>
      <c r="B255" s="451" t="s">
        <v>519</v>
      </c>
      <c r="C255" s="441"/>
      <c r="D255" s="441"/>
      <c r="E255" s="441"/>
      <c r="F255" s="441"/>
      <c r="G255" s="441"/>
      <c r="H255" s="441"/>
      <c r="I255" s="441"/>
      <c r="J255" s="441"/>
      <c r="K255" s="452"/>
    </row>
    <row r="256" spans="1:19">
      <c r="A256" s="445"/>
      <c r="B256" s="451"/>
      <c r="C256" s="441"/>
      <c r="D256" s="495" t="s">
        <v>507</v>
      </c>
      <c r="E256" s="441"/>
      <c r="F256" s="441"/>
      <c r="G256" s="517" t="s">
        <v>520</v>
      </c>
      <c r="H256" s="535" t="s">
        <v>5</v>
      </c>
      <c r="I256" s="507" t="str">
        <f>+I251</f>
        <v>W&amp;S Allocator</v>
      </c>
      <c r="J256" s="507"/>
      <c r="K256" s="452"/>
    </row>
    <row r="257" spans="1:17">
      <c r="A257" s="445">
        <v>17</v>
      </c>
      <c r="B257" s="451" t="s">
        <v>521</v>
      </c>
      <c r="C257" s="441" t="s">
        <v>522</v>
      </c>
      <c r="D257" s="456">
        <f>L257+M257</f>
        <v>20564647455.857841</v>
      </c>
      <c r="E257" s="441"/>
      <c r="G257" s="445" t="s">
        <v>523</v>
      </c>
      <c r="H257" s="576"/>
      <c r="I257" s="445" t="s">
        <v>524</v>
      </c>
      <c r="J257" s="445"/>
      <c r="K257" s="494" t="s">
        <v>365</v>
      </c>
      <c r="L257" s="504">
        <f>'Support for Allocation Factors'!$F$35</f>
        <v>17644019542.52784</v>
      </c>
      <c r="M257" s="504">
        <f>'Support for Allocation Factors'!$H$35</f>
        <v>2920627913.3299999</v>
      </c>
    </row>
    <row r="258" spans="1:17">
      <c r="A258" s="445">
        <v>18</v>
      </c>
      <c r="B258" s="451" t="s">
        <v>525</v>
      </c>
      <c r="C258" s="441" t="s">
        <v>526</v>
      </c>
      <c r="D258" s="456">
        <f>L258+M258</f>
        <v>1729486341.3907695</v>
      </c>
      <c r="E258" s="441"/>
      <c r="G258" s="454">
        <f>IF(D260&gt;0,D257/D260,0)</f>
        <v>0.92242415170199565</v>
      </c>
      <c r="H258" s="517" t="s">
        <v>192</v>
      </c>
      <c r="I258" s="454">
        <f>I253</f>
        <v>7.5804034366566977E-2</v>
      </c>
      <c r="J258" s="577" t="s">
        <v>517</v>
      </c>
      <c r="K258" s="461">
        <f>I258*G258</f>
        <v>6.9923472096169476E-2</v>
      </c>
      <c r="L258" s="504">
        <f>'Support for Allocation Factors'!$F$36</f>
        <v>1391225114.9807692</v>
      </c>
      <c r="M258" s="504">
        <f>'Support for Allocation Factors'!$H$36</f>
        <v>338261226.41000021</v>
      </c>
    </row>
    <row r="259" spans="1:17" ht="16.5" thickBot="1">
      <c r="A259" s="445">
        <v>19</v>
      </c>
      <c r="B259" s="578" t="s">
        <v>527</v>
      </c>
      <c r="C259" s="457" t="s">
        <v>528</v>
      </c>
      <c r="D259" s="456">
        <f>L259+M259</f>
        <v>0</v>
      </c>
      <c r="E259" s="441"/>
      <c r="F259" s="441"/>
      <c r="G259" s="441" t="s">
        <v>5</v>
      </c>
      <c r="H259" s="441"/>
      <c r="I259" s="579"/>
      <c r="J259" s="579"/>
      <c r="L259" s="505">
        <f>'Support for Allocation Factors'!$F$37</f>
        <v>0</v>
      </c>
      <c r="M259" s="505">
        <f>'Support for Allocation Factors'!$H$37</f>
        <v>0</v>
      </c>
    </row>
    <row r="260" spans="1:17">
      <c r="A260" s="445">
        <v>20</v>
      </c>
      <c r="B260" s="451" t="s">
        <v>529</v>
      </c>
      <c r="C260" s="441"/>
      <c r="D260" s="510">
        <f>D257+D258+D259</f>
        <v>22294133797.248611</v>
      </c>
      <c r="E260" s="441"/>
      <c r="F260" s="441"/>
      <c r="G260" s="441"/>
      <c r="H260" s="441"/>
      <c r="I260" s="441"/>
      <c r="J260" s="441"/>
      <c r="K260" s="452"/>
      <c r="L260" s="441">
        <f>L257+L258+L259</f>
        <v>19035244657.50861</v>
      </c>
      <c r="M260" s="441">
        <f>M257+M258+M259</f>
        <v>3258889139.7400002</v>
      </c>
    </row>
    <row r="261" spans="1:17" ht="11.25" customHeight="1">
      <c r="A261" s="445"/>
      <c r="B261" s="451"/>
      <c r="C261" s="441"/>
      <c r="E261" s="441"/>
      <c r="F261" s="441"/>
      <c r="G261" s="441"/>
      <c r="H261" s="441"/>
      <c r="I261" s="441"/>
      <c r="J261" s="441"/>
      <c r="K261" s="452"/>
    </row>
    <row r="262" spans="1:17" ht="16.5" thickBot="1">
      <c r="A262" s="445"/>
      <c r="B262" s="434" t="s">
        <v>530</v>
      </c>
      <c r="C262" s="441"/>
      <c r="D262" s="441"/>
      <c r="E262" s="441"/>
      <c r="F262" s="441"/>
      <c r="G262" s="441"/>
      <c r="H262" s="441"/>
      <c r="I262" s="568" t="s">
        <v>507</v>
      </c>
      <c r="J262" s="580"/>
      <c r="K262" s="452"/>
      <c r="L262" s="451"/>
    </row>
    <row r="263" spans="1:17">
      <c r="A263" s="445">
        <v>21</v>
      </c>
      <c r="B263" s="436"/>
      <c r="C263" s="441" t="s">
        <v>531</v>
      </c>
      <c r="D263" s="441"/>
      <c r="E263" s="441"/>
      <c r="F263" s="441"/>
      <c r="G263" s="441"/>
      <c r="H263" s="441"/>
      <c r="I263" s="456">
        <f>L263+M263</f>
        <v>263529888.4811191</v>
      </c>
      <c r="J263" s="452"/>
      <c r="K263" s="452"/>
      <c r="L263" s="581">
        <f>'Capital Structure'!$F$12</f>
        <v>225507911.241761</v>
      </c>
      <c r="M263" s="581">
        <f>'Capital Structure'!$H$12</f>
        <v>38021977.239358097</v>
      </c>
    </row>
    <row r="264" spans="1:17" ht="11.25" customHeight="1">
      <c r="A264" s="445"/>
      <c r="B264" s="451"/>
      <c r="C264" s="441"/>
      <c r="D264" s="441"/>
      <c r="E264" s="441"/>
      <c r="F264" s="441"/>
      <c r="G264" s="441"/>
      <c r="H264" s="441"/>
      <c r="I264" s="441"/>
      <c r="J264" s="452"/>
      <c r="K264" s="452"/>
      <c r="L264" s="582"/>
      <c r="M264" s="582"/>
    </row>
    <row r="265" spans="1:17">
      <c r="A265" s="445">
        <v>22</v>
      </c>
      <c r="B265" s="434"/>
      <c r="C265" s="441" t="s">
        <v>532</v>
      </c>
      <c r="D265" s="441"/>
      <c r="E265" s="441"/>
      <c r="F265" s="441"/>
      <c r="G265" s="441"/>
      <c r="H265" s="452"/>
      <c r="I265" s="456">
        <f>L265+M265</f>
        <v>0</v>
      </c>
      <c r="J265" s="583"/>
      <c r="K265" s="452"/>
      <c r="L265" s="581">
        <v>0</v>
      </c>
      <c r="M265" s="581">
        <v>0</v>
      </c>
    </row>
    <row r="266" spans="1:17" ht="11.25" customHeight="1">
      <c r="A266" s="445"/>
      <c r="B266" s="434"/>
      <c r="C266" s="441"/>
      <c r="D266" s="441"/>
      <c r="E266" s="441"/>
      <c r="F266" s="441"/>
      <c r="G266" s="441"/>
      <c r="H266" s="441"/>
      <c r="I266" s="441"/>
      <c r="J266" s="452"/>
      <c r="K266" s="452"/>
      <c r="L266" s="441"/>
      <c r="M266" s="441"/>
    </row>
    <row r="267" spans="1:17">
      <c r="A267" s="445"/>
      <c r="B267" s="434" t="s">
        <v>533</v>
      </c>
      <c r="C267" s="441"/>
      <c r="D267" s="441"/>
      <c r="E267" s="441"/>
      <c r="F267" s="441"/>
      <c r="G267" s="441"/>
      <c r="H267" s="441"/>
      <c r="I267" s="441"/>
      <c r="J267" s="452"/>
      <c r="K267" s="452"/>
      <c r="L267" s="441"/>
      <c r="M267" s="441"/>
    </row>
    <row r="268" spans="1:17">
      <c r="A268" s="445">
        <v>23</v>
      </c>
      <c r="B268" s="434"/>
      <c r="C268" s="441" t="s">
        <v>534</v>
      </c>
      <c r="D268" s="436"/>
      <c r="E268" s="441"/>
      <c r="F268" s="441"/>
      <c r="G268" s="441"/>
      <c r="H268" s="441"/>
      <c r="I268" s="456">
        <f>L268+M268</f>
        <v>6664356897.534771</v>
      </c>
      <c r="J268" s="452"/>
      <c r="K268" s="452"/>
      <c r="L268" s="504">
        <f>'Capital Structure'!$F$17</f>
        <v>5749420735.7907696</v>
      </c>
      <c r="M268" s="504">
        <f>'Capital Structure'!$H$17</f>
        <v>914936161.74400103</v>
      </c>
    </row>
    <row r="269" spans="1:17">
      <c r="A269" s="445">
        <v>24</v>
      </c>
      <c r="B269" s="434"/>
      <c r="C269" s="441" t="s">
        <v>535</v>
      </c>
      <c r="D269" s="441"/>
      <c r="E269" s="441"/>
      <c r="F269" s="441"/>
      <c r="G269" s="441"/>
      <c r="H269" s="441"/>
      <c r="I269" s="584">
        <f>L269+M269</f>
        <v>0</v>
      </c>
      <c r="J269" s="584"/>
      <c r="K269" s="452"/>
      <c r="L269" s="584">
        <f>'Capital Structure'!$F$18</f>
        <v>0</v>
      </c>
      <c r="M269" s="584">
        <f>'Capital Structure'!$H$18</f>
        <v>0</v>
      </c>
    </row>
    <row r="270" spans="1:17" ht="16.5" thickBot="1">
      <c r="A270" s="445">
        <v>25</v>
      </c>
      <c r="B270" s="434"/>
      <c r="C270" s="441" t="s">
        <v>536</v>
      </c>
      <c r="D270" s="441"/>
      <c r="E270" s="441"/>
      <c r="F270" s="441"/>
      <c r="G270" s="441"/>
      <c r="H270" s="441"/>
      <c r="I270" s="464">
        <f>L270+M270</f>
        <v>949081.37999999989</v>
      </c>
      <c r="J270" s="463"/>
      <c r="K270" s="452"/>
      <c r="L270" s="514">
        <f>'Capital Structure'!$F$19</f>
        <v>3406649.06</v>
      </c>
      <c r="M270" s="585">
        <f>'Capital Structure'!$H$19</f>
        <v>-2457567.6800000002</v>
      </c>
    </row>
    <row r="271" spans="1:17" s="473" customFormat="1">
      <c r="A271" s="448">
        <v>26</v>
      </c>
      <c r="B271" s="586"/>
      <c r="C271" s="458" t="s">
        <v>941</v>
      </c>
      <c r="D271" s="586" t="s">
        <v>537</v>
      </c>
      <c r="E271" s="586"/>
      <c r="F271" s="586"/>
      <c r="G271" s="574" t="s">
        <v>39</v>
      </c>
      <c r="H271" s="586"/>
      <c r="I271" s="458">
        <f>+I268+I269+I270</f>
        <v>6665305978.9147711</v>
      </c>
      <c r="J271" s="458"/>
      <c r="K271" s="463"/>
      <c r="L271" s="441">
        <f>+L268+L269+L270</f>
        <v>5752827384.85077</v>
      </c>
      <c r="M271" s="441">
        <f>+M268+M269+M270</f>
        <v>912478594.06400108</v>
      </c>
      <c r="Q271" s="432"/>
    </row>
    <row r="272" spans="1:17" ht="16.5" thickBot="1">
      <c r="A272" s="445"/>
      <c r="B272" s="451"/>
      <c r="C272" s="441"/>
      <c r="D272" s="447" t="s">
        <v>507</v>
      </c>
      <c r="E272" s="447" t="s">
        <v>538</v>
      </c>
      <c r="F272" s="441"/>
      <c r="G272" s="447" t="s">
        <v>539</v>
      </c>
      <c r="H272" s="441"/>
      <c r="I272" s="447" t="s">
        <v>38</v>
      </c>
      <c r="J272" s="448"/>
      <c r="K272" s="452"/>
    </row>
    <row r="273" spans="1:17">
      <c r="A273" s="445">
        <v>27</v>
      </c>
      <c r="B273" s="434" t="s">
        <v>540</v>
      </c>
      <c r="D273" s="456">
        <f>L273+M273</f>
        <v>5769023568.54</v>
      </c>
      <c r="E273" s="587">
        <f>IF($D$276&gt;0,D273/$D$276,0)</f>
        <v>0.46395935916954067</v>
      </c>
      <c r="F273" s="588"/>
      <c r="G273" s="588">
        <f>IF(D273&gt;0,I263/D273,0)</f>
        <v>4.5680154596389022E-2</v>
      </c>
      <c r="I273" s="588">
        <f>G273*E273</f>
        <v>2.1193735253306197E-2</v>
      </c>
      <c r="J273" s="589" t="s">
        <v>541</v>
      </c>
      <c r="K273" s="452"/>
      <c r="L273" s="504">
        <f>'Capital Structure'!$F$11</f>
        <v>5000035043.54</v>
      </c>
      <c r="M273" s="504">
        <f>'Capital Structure'!$H$11</f>
        <v>768988525</v>
      </c>
      <c r="N273" s="1070"/>
      <c r="O273" s="1071"/>
      <c r="P273" s="1072"/>
    </row>
    <row r="274" spans="1:17">
      <c r="A274" s="445">
        <v>28</v>
      </c>
      <c r="B274" s="434" t="s">
        <v>542</v>
      </c>
      <c r="D274" s="456">
        <f>L274+M274</f>
        <v>0</v>
      </c>
      <c r="E274" s="587">
        <f>IF($D$276&gt;0,D274/$D$276,0)</f>
        <v>0</v>
      </c>
      <c r="F274" s="588"/>
      <c r="G274" s="588">
        <f>IF(D274&gt;0,I265/D274,0)</f>
        <v>0</v>
      </c>
      <c r="I274" s="588">
        <f>G274*E274</f>
        <v>0</v>
      </c>
      <c r="L274" s="504">
        <f>'Capital Structure'!$F$18</f>
        <v>0</v>
      </c>
      <c r="M274" s="504">
        <f>'Capital Structure'!$H$18</f>
        <v>0</v>
      </c>
      <c r="N274" s="1073" t="s">
        <v>1098</v>
      </c>
      <c r="O274" s="1074"/>
      <c r="P274" s="1075"/>
    </row>
    <row r="275" spans="1:17" ht="16.5" thickBot="1">
      <c r="A275" s="445">
        <v>29</v>
      </c>
      <c r="B275" s="434" t="s">
        <v>543</v>
      </c>
      <c r="D275" s="457">
        <f>I271</f>
        <v>6665305978.9147711</v>
      </c>
      <c r="E275" s="587">
        <f>IF($D$276&gt;0,D275/$D$276,0)</f>
        <v>0.53604064083045933</v>
      </c>
      <c r="F275" s="588"/>
      <c r="G275" s="590">
        <f>P275+P276</f>
        <v>0.1082</v>
      </c>
      <c r="I275" s="591">
        <f>G275*E275</f>
        <v>5.7999597337855702E-2</v>
      </c>
      <c r="J275" s="592"/>
      <c r="N275" s="1073" t="s">
        <v>1099</v>
      </c>
      <c r="O275" s="1074"/>
      <c r="P275" s="1076">
        <v>0.1032</v>
      </c>
    </row>
    <row r="276" spans="1:17">
      <c r="A276" s="445">
        <v>30</v>
      </c>
      <c r="B276" s="451" t="s">
        <v>544</v>
      </c>
      <c r="D276" s="441">
        <f>D275+D274+D273</f>
        <v>12434329547.454771</v>
      </c>
      <c r="E276" s="441" t="s">
        <v>5</v>
      </c>
      <c r="F276" s="441"/>
      <c r="G276" s="441"/>
      <c r="H276" s="441"/>
      <c r="I276" s="588">
        <f>SUM(I273:I275)</f>
        <v>7.9193332591161902E-2</v>
      </c>
      <c r="J276" s="589" t="s">
        <v>545</v>
      </c>
      <c r="N276" s="1073" t="s">
        <v>1100</v>
      </c>
      <c r="O276" s="1074"/>
      <c r="P276" s="1076">
        <v>5.0000000000000001E-3</v>
      </c>
    </row>
    <row r="277" spans="1:17" ht="11.25" customHeight="1">
      <c r="E277" s="441"/>
      <c r="F277" s="441"/>
      <c r="G277" s="441"/>
      <c r="H277" s="441"/>
      <c r="N277" s="1077"/>
      <c r="O277" s="1078"/>
      <c r="P277" s="1079"/>
    </row>
    <row r="278" spans="1:17" ht="16.5" thickBot="1">
      <c r="A278" s="445"/>
      <c r="B278" s="434" t="s">
        <v>546</v>
      </c>
      <c r="C278" s="436"/>
      <c r="D278" s="436"/>
      <c r="E278" s="436"/>
      <c r="F278" s="436"/>
      <c r="G278" s="436"/>
      <c r="H278" s="436"/>
      <c r="I278" s="447" t="s">
        <v>100</v>
      </c>
      <c r="J278" s="593"/>
    </row>
    <row r="279" spans="1:17" s="440" customFormat="1" ht="11.25" customHeight="1">
      <c r="A279" s="460"/>
      <c r="B279" s="516"/>
      <c r="C279" s="516"/>
      <c r="D279" s="516"/>
      <c r="E279" s="516"/>
      <c r="F279" s="516"/>
      <c r="G279" s="516"/>
      <c r="H279" s="516"/>
      <c r="K279" s="471"/>
      <c r="Q279" s="432"/>
    </row>
    <row r="280" spans="1:17">
      <c r="A280" s="445"/>
      <c r="B280" s="434" t="s">
        <v>547</v>
      </c>
      <c r="C280" s="436"/>
      <c r="D280" s="436" t="s">
        <v>548</v>
      </c>
      <c r="E280" s="436" t="s">
        <v>549</v>
      </c>
      <c r="F280" s="436"/>
      <c r="G280" s="594" t="s">
        <v>5</v>
      </c>
      <c r="H280" s="533"/>
      <c r="I280" s="595"/>
      <c r="J280" s="595"/>
    </row>
    <row r="281" spans="1:17">
      <c r="A281" s="445">
        <v>31</v>
      </c>
      <c r="B281" s="432" t="s">
        <v>550</v>
      </c>
      <c r="C281" s="436"/>
      <c r="D281" s="436"/>
      <c r="F281" s="436"/>
      <c r="H281" s="533"/>
      <c r="I281" s="596">
        <f>L281+M281</f>
        <v>0</v>
      </c>
      <c r="J281" s="597"/>
      <c r="L281" s="581">
        <f>'Rev Credits'!$F$11</f>
        <v>0</v>
      </c>
      <c r="M281" s="581">
        <f>'Rev Credits'!$H$11</f>
        <v>0</v>
      </c>
    </row>
    <row r="282" spans="1:17" ht="16.5" thickBot="1">
      <c r="A282" s="445">
        <v>32</v>
      </c>
      <c r="B282" s="520" t="s">
        <v>551</v>
      </c>
      <c r="C282" s="598"/>
      <c r="D282" s="473"/>
      <c r="E282" s="586"/>
      <c r="F282" s="586"/>
      <c r="G282" s="586"/>
      <c r="H282" s="436"/>
      <c r="I282" s="599">
        <v>0</v>
      </c>
      <c r="J282" s="597"/>
      <c r="L282" s="581">
        <f>'Rev Credits'!$F$12</f>
        <v>0</v>
      </c>
      <c r="M282" s="581">
        <f>'Rev Credits'!$H$12</f>
        <v>0</v>
      </c>
    </row>
    <row r="283" spans="1:17">
      <c r="A283" s="445">
        <v>33</v>
      </c>
      <c r="B283" s="432" t="s">
        <v>552</v>
      </c>
      <c r="C283" s="442"/>
      <c r="E283" s="436"/>
      <c r="F283" s="436"/>
      <c r="G283" s="436"/>
      <c r="H283" s="436"/>
      <c r="I283" s="600">
        <f>+I281-I282</f>
        <v>0</v>
      </c>
      <c r="J283" s="600"/>
      <c r="L283" s="440"/>
      <c r="M283" s="440"/>
      <c r="N283" s="440"/>
    </row>
    <row r="284" spans="1:17" s="440" customFormat="1" ht="11.25" customHeight="1">
      <c r="A284" s="460"/>
      <c r="B284" s="440" t="s">
        <v>5</v>
      </c>
      <c r="C284" s="439"/>
      <c r="E284" s="471"/>
      <c r="F284" s="471"/>
      <c r="G284" s="487"/>
      <c r="H284" s="471"/>
      <c r="I284" s="601" t="s">
        <v>5</v>
      </c>
      <c r="J284" s="601"/>
      <c r="L284" s="432"/>
      <c r="M284" s="432"/>
      <c r="N284" s="432"/>
    </row>
    <row r="285" spans="1:17">
      <c r="A285" s="445">
        <v>34</v>
      </c>
      <c r="B285" s="434" t="s">
        <v>553</v>
      </c>
      <c r="C285" s="442"/>
      <c r="E285" s="436"/>
      <c r="F285" s="436"/>
      <c r="G285" s="602"/>
      <c r="H285" s="436"/>
      <c r="I285" s="603">
        <f>L285+M285</f>
        <v>1200206.2966666666</v>
      </c>
      <c r="J285" s="604"/>
      <c r="K285" s="605"/>
      <c r="L285" s="504">
        <f>'Rev Credits'!$F$18</f>
        <v>1200206.2966666666</v>
      </c>
      <c r="M285" s="504">
        <f>'Rev Credits'!$H$18</f>
        <v>0</v>
      </c>
      <c r="N285" s="606"/>
    </row>
    <row r="286" spans="1:17" s="440" customFormat="1" ht="11.25" customHeight="1">
      <c r="A286" s="460"/>
      <c r="C286" s="471"/>
      <c r="D286" s="471"/>
      <c r="E286" s="471"/>
      <c r="F286" s="471"/>
      <c r="G286" s="471"/>
      <c r="H286" s="471"/>
      <c r="I286" s="601"/>
      <c r="J286" s="601"/>
      <c r="K286" s="605"/>
      <c r="L286" s="432"/>
      <c r="M286" s="432"/>
      <c r="N286" s="432"/>
    </row>
    <row r="287" spans="1:17">
      <c r="B287" s="434" t="s">
        <v>554</v>
      </c>
      <c r="C287" s="436"/>
      <c r="D287" s="436" t="s">
        <v>555</v>
      </c>
      <c r="E287" s="436"/>
      <c r="F287" s="436"/>
      <c r="G287" s="436"/>
      <c r="H287" s="436"/>
      <c r="J287" s="440"/>
      <c r="K287" s="605"/>
    </row>
    <row r="288" spans="1:17">
      <c r="A288" s="445">
        <v>35</v>
      </c>
      <c r="B288" s="434" t="s">
        <v>556</v>
      </c>
      <c r="C288" s="441"/>
      <c r="D288" s="441"/>
      <c r="E288" s="441"/>
      <c r="F288" s="441"/>
      <c r="G288" s="441"/>
      <c r="H288" s="441"/>
      <c r="I288" s="607">
        <f>L288+M288</f>
        <v>246743189.60206586</v>
      </c>
      <c r="J288" s="608"/>
      <c r="K288" s="609"/>
      <c r="L288" s="581">
        <f>'Rev Credits'!$F$22</f>
        <v>246743189.60206586</v>
      </c>
      <c r="M288" s="581">
        <f>'Rev Credits'!$H$22</f>
        <v>0</v>
      </c>
    </row>
    <row r="289" spans="1:13">
      <c r="A289" s="445">
        <v>36</v>
      </c>
      <c r="B289" s="610" t="s">
        <v>557</v>
      </c>
      <c r="C289" s="586"/>
      <c r="D289" s="586"/>
      <c r="E289" s="586"/>
      <c r="F289" s="586"/>
      <c r="G289" s="436"/>
      <c r="H289" s="436"/>
      <c r="I289" s="607">
        <f>L289+M289</f>
        <v>91932128.9999457</v>
      </c>
      <c r="J289" s="608"/>
      <c r="K289" s="609"/>
      <c r="L289" s="581">
        <f>'Rev Credits'!$F$23</f>
        <v>91932128.9999457</v>
      </c>
      <c r="M289" s="581">
        <f>'Rev Credits'!$H$23</f>
        <v>0</v>
      </c>
    </row>
    <row r="290" spans="1:13">
      <c r="A290" s="445" t="s">
        <v>558</v>
      </c>
      <c r="B290" s="611" t="s">
        <v>559</v>
      </c>
      <c r="C290" s="612"/>
      <c r="D290" s="586"/>
      <c r="E290" s="586"/>
      <c r="F290" s="586"/>
      <c r="G290" s="436"/>
      <c r="H290" s="436"/>
      <c r="I290" s="607">
        <f>L290+M290</f>
        <v>73025162.952671289</v>
      </c>
      <c r="J290" s="608"/>
      <c r="K290" s="609"/>
      <c r="L290" s="581">
        <f>'Rev Credits'!$F$25</f>
        <v>73025162.952671289</v>
      </c>
      <c r="M290" s="581">
        <f>'Rev Credits'!$H$25</f>
        <v>0</v>
      </c>
    </row>
    <row r="291" spans="1:13" ht="16.5" thickBot="1">
      <c r="A291" s="445" t="s">
        <v>560</v>
      </c>
      <c r="B291" s="613" t="s">
        <v>561</v>
      </c>
      <c r="C291" s="614"/>
      <c r="D291" s="586"/>
      <c r="E291" s="586"/>
      <c r="F291" s="586"/>
      <c r="G291" s="436"/>
      <c r="H291" s="436"/>
      <c r="I291" s="615">
        <f>L291+M291</f>
        <v>70238658.415941745</v>
      </c>
      <c r="J291" s="608"/>
      <c r="K291" s="616"/>
      <c r="L291" s="581">
        <f>'Rev Credits'!$F$26</f>
        <v>70238658.415941745</v>
      </c>
      <c r="M291" s="581">
        <f>'Rev Credits'!$H$26</f>
        <v>0</v>
      </c>
    </row>
    <row r="292" spans="1:13">
      <c r="A292" s="445">
        <v>37</v>
      </c>
      <c r="B292" s="617" t="s">
        <v>562</v>
      </c>
      <c r="C292" s="445"/>
      <c r="D292" s="441"/>
      <c r="E292" s="441"/>
      <c r="F292" s="441"/>
      <c r="G292" s="441"/>
      <c r="H292" s="436"/>
      <c r="I292" s="618">
        <f>+I288-I289-I290-I291</f>
        <v>11547239.233507127</v>
      </c>
      <c r="J292" s="618"/>
      <c r="K292" s="616"/>
    </row>
    <row r="293" spans="1:13">
      <c r="A293" s="445"/>
      <c r="B293" s="617"/>
      <c r="C293" s="445"/>
      <c r="D293" s="441"/>
      <c r="E293" s="441"/>
      <c r="F293" s="441"/>
      <c r="G293" s="441"/>
      <c r="H293" s="436"/>
      <c r="I293" s="618"/>
      <c r="J293" s="618"/>
      <c r="K293" s="619"/>
    </row>
    <row r="294" spans="1:13">
      <c r="A294" s="445"/>
      <c r="B294" s="617"/>
      <c r="C294" s="445"/>
      <c r="D294" s="441"/>
      <c r="E294" s="441"/>
      <c r="F294" s="441"/>
      <c r="G294" s="441"/>
      <c r="H294" s="436"/>
      <c r="I294" s="618"/>
      <c r="J294" s="618"/>
      <c r="K294" s="619"/>
    </row>
    <row r="295" spans="1:13">
      <c r="A295" s="445"/>
      <c r="B295" s="617"/>
      <c r="C295" s="445"/>
      <c r="D295" s="441"/>
      <c r="E295" s="441"/>
      <c r="F295" s="441"/>
      <c r="G295" s="441"/>
      <c r="H295" s="436"/>
      <c r="I295" s="618"/>
      <c r="J295" s="618"/>
      <c r="K295" s="619"/>
    </row>
    <row r="296" spans="1:13">
      <c r="A296" s="445"/>
      <c r="B296" s="617"/>
      <c r="C296" s="445"/>
      <c r="D296" s="441"/>
      <c r="E296" s="441"/>
      <c r="F296" s="441"/>
      <c r="G296" s="441"/>
      <c r="H296" s="436"/>
      <c r="I296" s="618"/>
      <c r="J296" s="618"/>
      <c r="K296" s="619"/>
    </row>
    <row r="297" spans="1:13">
      <c r="A297" s="620"/>
      <c r="B297" s="621"/>
      <c r="C297" s="621"/>
      <c r="D297" s="621"/>
      <c r="E297" s="621"/>
      <c r="F297" s="621"/>
      <c r="G297" s="621"/>
      <c r="H297" s="621"/>
      <c r="I297" s="621"/>
      <c r="J297" s="621"/>
      <c r="K297" s="542"/>
    </row>
    <row r="298" spans="1:13">
      <c r="A298" s="621"/>
      <c r="B298" s="621"/>
      <c r="C298" s="621"/>
      <c r="D298" s="621"/>
      <c r="E298" s="621"/>
      <c r="F298" s="621"/>
      <c r="G298" s="621"/>
      <c r="H298" s="621"/>
      <c r="I298" s="621"/>
      <c r="J298" s="621"/>
      <c r="K298" s="433" t="s">
        <v>259</v>
      </c>
    </row>
    <row r="299" spans="1:13">
      <c r="B299" s="434"/>
      <c r="C299" s="434"/>
      <c r="D299" s="435"/>
      <c r="E299" s="434"/>
      <c r="F299" s="434"/>
      <c r="G299" s="434"/>
      <c r="H299" s="436"/>
      <c r="I299" s="436"/>
      <c r="J299" s="436"/>
      <c r="K299" s="489" t="s">
        <v>563</v>
      </c>
    </row>
    <row r="300" spans="1:13">
      <c r="B300" s="434" t="s">
        <v>261</v>
      </c>
      <c r="C300" s="434"/>
      <c r="D300" s="435" t="s">
        <v>262</v>
      </c>
      <c r="E300" s="434"/>
      <c r="F300" s="434"/>
      <c r="G300" s="434"/>
      <c r="H300" s="436"/>
      <c r="K300" s="437" t="s">
        <v>263</v>
      </c>
    </row>
    <row r="301" spans="1:13">
      <c r="B301" s="434"/>
      <c r="C301" s="441" t="s">
        <v>5</v>
      </c>
      <c r="D301" s="441" t="s">
        <v>264</v>
      </c>
      <c r="E301" s="441"/>
      <c r="F301" s="441"/>
      <c r="G301" s="441"/>
      <c r="H301" s="436"/>
      <c r="I301" s="436"/>
      <c r="J301" s="436"/>
      <c r="K301" s="439"/>
    </row>
    <row r="302" spans="1:13" ht="7.5" customHeight="1">
      <c r="A302" s="445"/>
      <c r="B302" s="617"/>
      <c r="C302" s="445"/>
      <c r="D302" s="441"/>
      <c r="E302" s="441"/>
      <c r="F302" s="441"/>
      <c r="G302" s="441"/>
      <c r="H302" s="436"/>
      <c r="I302" s="622"/>
      <c r="J302" s="622"/>
      <c r="K302" s="439"/>
    </row>
    <row r="303" spans="1:13">
      <c r="A303" s="1182" t="str">
        <f>A7</f>
        <v>Northern States Power Companies</v>
      </c>
      <c r="B303" s="1182"/>
      <c r="C303" s="1182"/>
      <c r="D303" s="1182"/>
      <c r="E303" s="1182"/>
      <c r="F303" s="1182"/>
      <c r="G303" s="1182"/>
      <c r="H303" s="1182"/>
      <c r="I303" s="1182"/>
      <c r="J303" s="1182"/>
      <c r="K303" s="1182"/>
    </row>
    <row r="304" spans="1:13" ht="6" customHeight="1">
      <c r="A304" s="445"/>
      <c r="B304" s="617"/>
      <c r="C304" s="445"/>
      <c r="D304" s="441"/>
      <c r="E304" s="441"/>
      <c r="F304" s="441"/>
      <c r="G304" s="441"/>
      <c r="H304" s="436"/>
      <c r="I304" s="622"/>
      <c r="J304" s="622"/>
      <c r="K304" s="619"/>
    </row>
    <row r="305" spans="1:13">
      <c r="A305" s="445"/>
      <c r="B305" s="434" t="s">
        <v>564</v>
      </c>
      <c r="C305" s="445"/>
      <c r="D305" s="441"/>
      <c r="E305" s="441"/>
      <c r="F305" s="441"/>
      <c r="G305" s="441"/>
      <c r="H305" s="436"/>
      <c r="I305" s="441"/>
      <c r="J305" s="441"/>
      <c r="K305" s="619"/>
      <c r="L305" s="946"/>
      <c r="M305" s="946"/>
    </row>
    <row r="306" spans="1:13">
      <c r="A306" s="445"/>
      <c r="B306" s="623" t="s">
        <v>565</v>
      </c>
      <c r="C306" s="445"/>
      <c r="D306" s="441"/>
      <c r="E306" s="441"/>
      <c r="F306" s="441"/>
      <c r="G306" s="441"/>
      <c r="H306" s="436"/>
      <c r="I306" s="441"/>
      <c r="J306" s="441"/>
      <c r="K306" s="452"/>
      <c r="L306" s="946"/>
      <c r="M306" s="946"/>
    </row>
    <row r="307" spans="1:13">
      <c r="A307" s="445" t="s">
        <v>566</v>
      </c>
      <c r="B307" s="434"/>
      <c r="C307" s="436"/>
      <c r="D307" s="441"/>
      <c r="E307" s="441"/>
      <c r="F307" s="441"/>
      <c r="G307" s="441"/>
      <c r="H307" s="436"/>
      <c r="I307" s="441"/>
      <c r="J307" s="441"/>
      <c r="K307" s="452"/>
    </row>
    <row r="308" spans="1:13" ht="16.5" thickBot="1">
      <c r="A308" s="447" t="s">
        <v>567</v>
      </c>
      <c r="B308" s="434"/>
      <c r="C308" s="436"/>
      <c r="D308" s="441"/>
      <c r="E308" s="441"/>
      <c r="F308" s="441"/>
      <c r="G308" s="441"/>
      <c r="H308" s="436"/>
      <c r="I308" s="441"/>
      <c r="J308" s="441"/>
      <c r="K308" s="452"/>
    </row>
    <row r="309" spans="1:13">
      <c r="A309" s="923" t="s">
        <v>247</v>
      </c>
      <c r="B309" s="432" t="s">
        <v>568</v>
      </c>
      <c r="C309" s="925"/>
      <c r="D309" s="926"/>
      <c r="E309" s="926"/>
      <c r="F309" s="926"/>
      <c r="G309" s="926"/>
      <c r="H309" s="925"/>
      <c r="I309" s="926"/>
      <c r="J309" s="926"/>
      <c r="K309" s="452"/>
    </row>
    <row r="310" spans="1:13">
      <c r="A310" s="923" t="s">
        <v>248</v>
      </c>
      <c r="B310" s="432" t="s">
        <v>569</v>
      </c>
      <c r="C310" s="925"/>
      <c r="D310" s="926"/>
      <c r="E310" s="926"/>
      <c r="F310" s="926"/>
      <c r="G310" s="926"/>
      <c r="H310" s="925"/>
      <c r="I310" s="926"/>
      <c r="J310" s="926"/>
      <c r="K310" s="452"/>
    </row>
    <row r="311" spans="1:13">
      <c r="A311" s="923" t="s">
        <v>570</v>
      </c>
      <c r="B311" s="432" t="s">
        <v>571</v>
      </c>
      <c r="C311" s="925"/>
      <c r="D311" s="925"/>
      <c r="E311" s="925"/>
      <c r="F311" s="925"/>
      <c r="G311" s="925"/>
      <c r="H311" s="925"/>
      <c r="I311" s="926"/>
      <c r="J311" s="926"/>
      <c r="K311" s="452"/>
    </row>
    <row r="312" spans="1:13">
      <c r="A312" s="923" t="s">
        <v>572</v>
      </c>
      <c r="B312" s="432" t="s">
        <v>573</v>
      </c>
      <c r="C312" s="925"/>
      <c r="D312" s="925"/>
      <c r="E312" s="925"/>
      <c r="F312" s="925"/>
      <c r="G312" s="925"/>
      <c r="H312" s="925"/>
      <c r="I312" s="926"/>
      <c r="J312" s="926"/>
      <c r="K312" s="471"/>
    </row>
    <row r="313" spans="1:13">
      <c r="A313" s="923" t="s">
        <v>574</v>
      </c>
      <c r="B313" s="432" t="s">
        <v>1256</v>
      </c>
      <c r="C313" s="925"/>
      <c r="D313" s="925"/>
      <c r="E313" s="925"/>
      <c r="F313" s="925"/>
      <c r="G313" s="925"/>
      <c r="H313" s="925"/>
      <c r="I313" s="925"/>
      <c r="J313" s="925"/>
      <c r="K313" s="471"/>
    </row>
    <row r="314" spans="1:13">
      <c r="A314" s="923" t="s">
        <v>575</v>
      </c>
      <c r="B314" s="432" t="s">
        <v>1233</v>
      </c>
      <c r="C314" s="925"/>
      <c r="D314" s="925"/>
      <c r="E314" s="925"/>
      <c r="F314" s="925"/>
      <c r="G314" s="925"/>
      <c r="H314" s="925"/>
      <c r="I314" s="925"/>
      <c r="J314" s="925"/>
      <c r="K314" s="471"/>
    </row>
    <row r="315" spans="1:13">
      <c r="A315" s="923"/>
      <c r="B315" s="432" t="s">
        <v>1234</v>
      </c>
      <c r="C315" s="925"/>
      <c r="D315" s="925"/>
      <c r="E315" s="925"/>
      <c r="F315" s="925"/>
      <c r="G315" s="925"/>
      <c r="H315" s="925"/>
      <c r="I315" s="925"/>
      <c r="J315" s="925"/>
      <c r="K315" s="471"/>
    </row>
    <row r="316" spans="1:13">
      <c r="A316" s="923"/>
      <c r="B316" s="432" t="s">
        <v>1235</v>
      </c>
      <c r="C316" s="1068"/>
      <c r="D316" s="1068"/>
      <c r="E316" s="1068"/>
      <c r="F316" s="1068"/>
      <c r="G316" s="1068"/>
      <c r="H316" s="1068"/>
      <c r="I316" s="1068"/>
      <c r="J316" s="925"/>
      <c r="K316" s="432"/>
    </row>
    <row r="317" spans="1:13">
      <c r="A317" s="923"/>
      <c r="B317" s="432" t="s">
        <v>1236</v>
      </c>
      <c r="C317" s="1068"/>
      <c r="D317" s="1068"/>
      <c r="E317" s="1068"/>
      <c r="F317" s="1068"/>
      <c r="G317" s="1068"/>
      <c r="H317" s="1068"/>
      <c r="I317" s="1068"/>
      <c r="J317" s="925"/>
      <c r="K317" s="432"/>
    </row>
    <row r="318" spans="1:13">
      <c r="A318" s="923"/>
      <c r="B318" s="432" t="s">
        <v>1237</v>
      </c>
      <c r="C318" s="1068"/>
      <c r="D318" s="1068"/>
      <c r="E318" s="1068"/>
      <c r="F318" s="1068"/>
      <c r="G318" s="1068"/>
      <c r="H318" s="1068"/>
      <c r="I318" s="1068"/>
      <c r="J318" s="925"/>
      <c r="K318" s="432"/>
    </row>
    <row r="319" spans="1:13">
      <c r="A319" s="923"/>
      <c r="B319" s="432" t="s">
        <v>1238</v>
      </c>
      <c r="C319" s="1068"/>
      <c r="D319" s="1068"/>
      <c r="E319" s="1068"/>
      <c r="F319" s="1068"/>
      <c r="G319" s="1068"/>
      <c r="H319" s="1068"/>
      <c r="I319" s="1068"/>
      <c r="J319" s="925"/>
      <c r="K319" s="432"/>
    </row>
    <row r="320" spans="1:13">
      <c r="A320" s="923" t="s">
        <v>576</v>
      </c>
      <c r="B320" s="432" t="s">
        <v>577</v>
      </c>
      <c r="C320" s="925"/>
      <c r="D320" s="925"/>
      <c r="E320" s="925"/>
      <c r="F320" s="925"/>
      <c r="G320" s="925"/>
      <c r="H320" s="925"/>
      <c r="I320" s="925"/>
      <c r="J320" s="925"/>
      <c r="K320" s="432"/>
    </row>
    <row r="321" spans="1:11">
      <c r="A321" s="923" t="s">
        <v>578</v>
      </c>
      <c r="B321" s="432" t="s">
        <v>1257</v>
      </c>
      <c r="C321" s="925"/>
      <c r="D321" s="925"/>
      <c r="E321" s="925"/>
      <c r="F321" s="925"/>
      <c r="G321" s="925"/>
      <c r="H321" s="925"/>
      <c r="I321" s="925"/>
      <c r="J321" s="925"/>
      <c r="K321" s="432"/>
    </row>
    <row r="322" spans="1:11">
      <c r="A322" s="923"/>
      <c r="B322" s="432" t="s">
        <v>1245</v>
      </c>
      <c r="C322" s="925"/>
      <c r="D322" s="925"/>
      <c r="E322" s="925"/>
      <c r="F322" s="925"/>
      <c r="G322" s="925"/>
      <c r="H322" s="925"/>
      <c r="I322" s="925"/>
      <c r="J322" s="925"/>
      <c r="K322" s="432"/>
    </row>
    <row r="323" spans="1:11">
      <c r="A323" s="923" t="s">
        <v>579</v>
      </c>
      <c r="B323" s="432" t="s">
        <v>1258</v>
      </c>
      <c r="C323" s="925"/>
      <c r="D323" s="925"/>
      <c r="E323" s="925"/>
      <c r="F323" s="925"/>
      <c r="G323" s="925"/>
      <c r="H323" s="925"/>
      <c r="I323" s="925"/>
      <c r="J323" s="925"/>
      <c r="K323" s="432"/>
    </row>
    <row r="324" spans="1:11">
      <c r="A324" s="923"/>
      <c r="B324" s="432" t="s">
        <v>1246</v>
      </c>
      <c r="C324" s="925"/>
      <c r="D324" s="925"/>
      <c r="E324" s="925"/>
      <c r="F324" s="925"/>
      <c r="G324" s="925"/>
      <c r="H324" s="925"/>
      <c r="I324" s="925"/>
      <c r="J324" s="925"/>
      <c r="K324" s="432"/>
    </row>
    <row r="325" spans="1:11">
      <c r="A325" s="923" t="s">
        <v>580</v>
      </c>
      <c r="B325" s="432" t="s">
        <v>1259</v>
      </c>
      <c r="C325" s="925"/>
      <c r="D325" s="925"/>
      <c r="E325" s="925"/>
      <c r="F325" s="925"/>
      <c r="G325" s="925"/>
      <c r="H325" s="925"/>
      <c r="I325" s="925"/>
      <c r="J325" s="925"/>
      <c r="K325" s="432"/>
    </row>
    <row r="326" spans="1:11">
      <c r="A326" s="923"/>
      <c r="B326" s="432" t="s">
        <v>1247</v>
      </c>
      <c r="C326" s="925"/>
      <c r="D326" s="925"/>
      <c r="E326" s="925"/>
      <c r="F326" s="925"/>
      <c r="G326" s="925"/>
      <c r="H326" s="925"/>
      <c r="I326" s="925"/>
      <c r="J326" s="925"/>
      <c r="K326" s="432"/>
    </row>
    <row r="327" spans="1:11">
      <c r="A327" s="923" t="s">
        <v>581</v>
      </c>
      <c r="B327" s="432" t="s">
        <v>1260</v>
      </c>
      <c r="C327" s="925"/>
      <c r="D327" s="925"/>
      <c r="E327" s="925"/>
      <c r="F327" s="925"/>
      <c r="G327" s="925"/>
      <c r="H327" s="925"/>
      <c r="I327" s="925"/>
      <c r="J327" s="925"/>
      <c r="K327" s="471"/>
    </row>
    <row r="328" spans="1:11">
      <c r="A328" s="923"/>
      <c r="B328" s="432" t="s">
        <v>1248</v>
      </c>
      <c r="C328" s="925"/>
      <c r="D328" s="925"/>
      <c r="E328" s="925"/>
      <c r="F328" s="925"/>
      <c r="G328" s="925"/>
      <c r="H328" s="925"/>
      <c r="I328" s="925"/>
      <c r="J328" s="925"/>
      <c r="K328" s="471"/>
    </row>
    <row r="329" spans="1:11">
      <c r="A329" s="923"/>
      <c r="B329" s="432" t="s">
        <v>1249</v>
      </c>
      <c r="C329" s="925"/>
      <c r="D329" s="925"/>
      <c r="E329" s="925"/>
      <c r="F329" s="925"/>
      <c r="G329" s="925"/>
      <c r="H329" s="925"/>
      <c r="I329" s="925"/>
      <c r="J329" s="925"/>
      <c r="K329" s="471"/>
    </row>
    <row r="330" spans="1:11">
      <c r="A330" s="923"/>
      <c r="B330" s="432" t="s">
        <v>1250</v>
      </c>
      <c r="C330" s="925"/>
      <c r="D330" s="925"/>
      <c r="E330" s="925"/>
      <c r="F330" s="925"/>
      <c r="G330" s="925"/>
      <c r="H330" s="925"/>
      <c r="I330" s="925"/>
      <c r="J330" s="925"/>
      <c r="K330" s="471"/>
    </row>
    <row r="331" spans="1:11">
      <c r="A331" s="923" t="s">
        <v>5</v>
      </c>
      <c r="B331" s="925" t="s">
        <v>582</v>
      </c>
      <c r="C331" s="925" t="s">
        <v>583</v>
      </c>
      <c r="D331" s="928">
        <f>'Tax Rate Calc'!C4</f>
        <v>0.35</v>
      </c>
      <c r="E331" s="925"/>
      <c r="F331" s="925"/>
      <c r="G331" s="925"/>
      <c r="H331" s="925"/>
      <c r="I331" s="925"/>
      <c r="J331" s="925"/>
      <c r="K331" s="471"/>
    </row>
    <row r="332" spans="1:11">
      <c r="A332" s="923"/>
      <c r="B332" s="925"/>
      <c r="C332" s="925" t="s">
        <v>584</v>
      </c>
      <c r="D332" s="928">
        <f>'Tax Rate Calc'!C10</f>
        <v>8.9950769230769265E-2</v>
      </c>
      <c r="E332" s="925" t="s">
        <v>585</v>
      </c>
      <c r="F332" s="925"/>
      <c r="G332" s="925"/>
      <c r="H332" s="925"/>
      <c r="I332" s="925"/>
      <c r="J332" s="925"/>
      <c r="K332" s="471"/>
    </row>
    <row r="333" spans="1:11">
      <c r="A333" s="923"/>
      <c r="B333" s="925"/>
      <c r="C333" s="925" t="s">
        <v>586</v>
      </c>
      <c r="D333" s="928">
        <v>0</v>
      </c>
      <c r="E333" s="925" t="s">
        <v>587</v>
      </c>
      <c r="F333" s="925"/>
      <c r="G333" s="925"/>
      <c r="H333" s="925"/>
      <c r="I333" s="925"/>
      <c r="J333" s="925"/>
      <c r="K333" s="471"/>
    </row>
    <row r="334" spans="1:11">
      <c r="A334" s="923" t="s">
        <v>588</v>
      </c>
      <c r="B334" s="432" t="s">
        <v>1261</v>
      </c>
      <c r="C334" s="925"/>
      <c r="D334" s="925"/>
      <c r="E334" s="925"/>
      <c r="F334" s="925"/>
      <c r="G334" s="925"/>
      <c r="H334" s="925"/>
      <c r="I334" s="929"/>
      <c r="J334" s="929"/>
      <c r="K334" s="471"/>
    </row>
    <row r="335" spans="1:11">
      <c r="A335" s="923" t="s">
        <v>589</v>
      </c>
      <c r="B335" s="432" t="s">
        <v>1262</v>
      </c>
      <c r="C335" s="925"/>
      <c r="D335" s="925"/>
      <c r="E335" s="925"/>
      <c r="F335" s="925"/>
      <c r="G335" s="925"/>
      <c r="H335" s="925"/>
      <c r="I335" s="925"/>
      <c r="J335" s="925"/>
      <c r="K335" s="471"/>
    </row>
    <row r="336" spans="1:11">
      <c r="A336" s="923" t="s">
        <v>590</v>
      </c>
      <c r="B336" s="432" t="s">
        <v>1263</v>
      </c>
      <c r="C336" s="925"/>
      <c r="D336" s="925"/>
      <c r="E336" s="925"/>
      <c r="F336" s="925"/>
      <c r="G336" s="925"/>
      <c r="H336" s="925"/>
      <c r="I336" s="925"/>
      <c r="J336" s="925"/>
      <c r="K336" s="471"/>
    </row>
    <row r="337" spans="1:11">
      <c r="A337" s="923"/>
      <c r="B337" s="432" t="s">
        <v>1251</v>
      </c>
      <c r="C337" s="925"/>
      <c r="D337" s="925"/>
      <c r="E337" s="925"/>
      <c r="F337" s="925"/>
      <c r="G337" s="925"/>
      <c r="H337" s="925"/>
      <c r="I337" s="925"/>
      <c r="J337" s="925"/>
      <c r="K337" s="471"/>
    </row>
    <row r="338" spans="1:11">
      <c r="A338" s="923" t="s">
        <v>591</v>
      </c>
      <c r="B338" s="432" t="s">
        <v>1264</v>
      </c>
      <c r="C338" s="925"/>
      <c r="D338" s="925"/>
      <c r="E338" s="925"/>
      <c r="F338" s="925"/>
      <c r="G338" s="925"/>
      <c r="H338" s="925"/>
      <c r="I338" s="925"/>
      <c r="J338" s="925"/>
      <c r="K338" s="471"/>
    </row>
    <row r="339" spans="1:11">
      <c r="A339" s="923" t="s">
        <v>592</v>
      </c>
      <c r="B339" s="432" t="s">
        <v>1265</v>
      </c>
      <c r="C339" s="925"/>
      <c r="D339" s="925"/>
      <c r="E339" s="925"/>
      <c r="F339" s="925"/>
      <c r="G339" s="925"/>
      <c r="H339" s="925"/>
      <c r="I339" s="925"/>
      <c r="J339" s="925"/>
      <c r="K339" s="471"/>
    </row>
    <row r="340" spans="1:11">
      <c r="A340" s="923"/>
      <c r="B340" s="432" t="s">
        <v>1252</v>
      </c>
      <c r="C340" s="925"/>
      <c r="D340" s="925"/>
      <c r="E340" s="925"/>
      <c r="F340" s="925"/>
      <c r="G340" s="925"/>
      <c r="H340" s="925"/>
      <c r="I340" s="925"/>
      <c r="J340" s="925"/>
      <c r="K340" s="471"/>
    </row>
    <row r="341" spans="1:11">
      <c r="A341" s="923" t="s">
        <v>593</v>
      </c>
      <c r="B341" s="432" t="s">
        <v>1266</v>
      </c>
      <c r="C341" s="925"/>
      <c r="D341" s="925"/>
      <c r="E341" s="925"/>
      <c r="F341" s="925"/>
      <c r="G341" s="925"/>
      <c r="H341" s="925"/>
      <c r="I341" s="925"/>
      <c r="J341" s="925"/>
      <c r="K341" s="471"/>
    </row>
    <row r="342" spans="1:11">
      <c r="A342" s="923" t="s">
        <v>594</v>
      </c>
      <c r="B342" s="432" t="s">
        <v>595</v>
      </c>
      <c r="C342" s="925"/>
      <c r="D342" s="925"/>
      <c r="E342" s="925"/>
      <c r="F342" s="925"/>
      <c r="G342" s="925"/>
      <c r="H342" s="925"/>
      <c r="I342" s="925"/>
      <c r="J342" s="925"/>
      <c r="K342" s="471"/>
    </row>
    <row r="343" spans="1:11">
      <c r="A343" s="923" t="s">
        <v>596</v>
      </c>
      <c r="B343" s="432" t="s">
        <v>1267</v>
      </c>
      <c r="C343" s="925"/>
      <c r="D343" s="925"/>
      <c r="E343" s="925"/>
      <c r="F343" s="925"/>
      <c r="G343" s="925"/>
      <c r="H343" s="925"/>
      <c r="I343" s="925"/>
      <c r="J343" s="925"/>
      <c r="K343" s="471"/>
    </row>
    <row r="344" spans="1:11">
      <c r="A344" s="930"/>
      <c r="B344" s="432" t="s">
        <v>1253</v>
      </c>
      <c r="C344" s="925"/>
      <c r="D344" s="925"/>
      <c r="E344" s="925"/>
      <c r="F344" s="925"/>
      <c r="G344" s="925"/>
      <c r="H344" s="925"/>
      <c r="I344" s="925"/>
      <c r="J344" s="925"/>
      <c r="K344" s="471"/>
    </row>
    <row r="345" spans="1:11">
      <c r="A345" s="932" t="s">
        <v>597</v>
      </c>
      <c r="B345" s="432" t="s">
        <v>1268</v>
      </c>
      <c r="C345" s="931"/>
      <c r="D345" s="931"/>
      <c r="E345" s="931"/>
      <c r="F345" s="931"/>
      <c r="G345" s="931"/>
      <c r="H345" s="931"/>
      <c r="I345" s="931"/>
      <c r="J345" s="931"/>
      <c r="K345" s="439"/>
    </row>
    <row r="346" spans="1:11">
      <c r="A346" s="930"/>
      <c r="B346" s="432" t="s">
        <v>1254</v>
      </c>
      <c r="C346" s="933"/>
      <c r="D346" s="931"/>
      <c r="E346" s="931"/>
      <c r="F346" s="931"/>
      <c r="G346" s="931"/>
      <c r="H346" s="931"/>
      <c r="I346" s="931"/>
      <c r="J346" s="931"/>
      <c r="K346" s="439"/>
    </row>
    <row r="347" spans="1:11">
      <c r="A347" s="930"/>
      <c r="B347" s="432" t="s">
        <v>1255</v>
      </c>
      <c r="C347" s="931"/>
      <c r="D347" s="931"/>
      <c r="E347" s="931"/>
      <c r="F347" s="931"/>
      <c r="G347" s="931"/>
      <c r="H347" s="931"/>
      <c r="I347" s="931"/>
      <c r="J347" s="931"/>
      <c r="K347" s="439"/>
    </row>
    <row r="348" spans="1:11">
      <c r="A348" s="932" t="s">
        <v>598</v>
      </c>
      <c r="B348" s="432" t="s">
        <v>599</v>
      </c>
      <c r="C348" s="934"/>
      <c r="D348" s="934"/>
      <c r="E348" s="934"/>
      <c r="F348" s="934"/>
      <c r="G348" s="934"/>
      <c r="H348" s="934"/>
      <c r="I348" s="931"/>
      <c r="J348" s="931"/>
      <c r="K348" s="439"/>
    </row>
    <row r="349" spans="1:11">
      <c r="A349" s="935" t="s">
        <v>600</v>
      </c>
      <c r="B349" s="432" t="s">
        <v>601</v>
      </c>
      <c r="C349" s="931"/>
      <c r="D349" s="931"/>
      <c r="E349" s="931"/>
      <c r="F349" s="931"/>
      <c r="G349" s="931"/>
      <c r="H349" s="931"/>
      <c r="I349" s="931"/>
      <c r="J349" s="931"/>
      <c r="K349" s="439"/>
    </row>
    <row r="350" spans="1:11" s="440" customFormat="1">
      <c r="A350" s="935" t="s">
        <v>1239</v>
      </c>
      <c r="B350" s="432" t="s">
        <v>1241</v>
      </c>
      <c r="C350" s="931"/>
      <c r="D350" s="931"/>
      <c r="E350" s="931"/>
      <c r="F350" s="931"/>
      <c r="G350" s="931"/>
      <c r="H350" s="931"/>
      <c r="I350" s="931"/>
      <c r="J350" s="931"/>
      <c r="K350" s="439"/>
    </row>
    <row r="351" spans="1:11" s="440" customFormat="1">
      <c r="A351" s="935"/>
      <c r="B351" s="432" t="s">
        <v>1242</v>
      </c>
      <c r="C351" s="931"/>
      <c r="D351" s="931"/>
      <c r="E351" s="931"/>
      <c r="F351" s="931"/>
      <c r="G351" s="934"/>
      <c r="H351" s="930"/>
      <c r="I351" s="931"/>
      <c r="J351" s="931"/>
      <c r="K351" s="439"/>
    </row>
    <row r="352" spans="1:11">
      <c r="A352" s="935" t="s">
        <v>1240</v>
      </c>
      <c r="B352" s="432" t="s">
        <v>1276</v>
      </c>
      <c r="C352" s="931"/>
      <c r="D352" s="931"/>
      <c r="E352" s="931"/>
      <c r="F352" s="931"/>
      <c r="G352" s="934"/>
      <c r="H352" s="934"/>
      <c r="I352" s="931"/>
      <c r="J352" s="931"/>
      <c r="K352" s="439"/>
    </row>
    <row r="353" spans="1:11">
      <c r="A353" s="935"/>
      <c r="B353" s="516" t="s">
        <v>1269</v>
      </c>
      <c r="C353" s="931"/>
      <c r="D353" s="931"/>
      <c r="E353" s="931"/>
      <c r="F353" s="931"/>
      <c r="G353" s="934"/>
      <c r="H353" s="934"/>
      <c r="I353" s="931"/>
      <c r="J353" s="931"/>
      <c r="K353" s="439"/>
    </row>
    <row r="354" spans="1:11">
      <c r="A354" s="935"/>
      <c r="B354" s="1080" t="s">
        <v>1270</v>
      </c>
      <c r="C354" s="931"/>
      <c r="D354" s="931"/>
      <c r="E354" s="931"/>
      <c r="F354" s="931"/>
      <c r="G354" s="934"/>
      <c r="H354" s="934"/>
      <c r="I354" s="931"/>
      <c r="J354" s="931"/>
      <c r="K354" s="439"/>
    </row>
    <row r="355" spans="1:11">
      <c r="A355" s="932" t="s">
        <v>602</v>
      </c>
      <c r="B355" s="1080" t="s">
        <v>603</v>
      </c>
      <c r="C355" s="931"/>
      <c r="D355" s="931"/>
      <c r="E355" s="931"/>
      <c r="F355" s="931"/>
      <c r="G355" s="931"/>
      <c r="H355" s="934"/>
      <c r="I355" s="931"/>
      <c r="J355" s="931"/>
      <c r="K355" s="439"/>
    </row>
    <row r="356" spans="1:11">
      <c r="A356" s="932" t="s">
        <v>604</v>
      </c>
      <c r="B356" s="1080" t="s">
        <v>1273</v>
      </c>
      <c r="C356" s="931"/>
      <c r="D356" s="931"/>
      <c r="E356" s="931"/>
      <c r="F356" s="931"/>
      <c r="G356" s="931"/>
      <c r="H356" s="934"/>
      <c r="I356" s="931"/>
      <c r="J356" s="931"/>
      <c r="K356" s="439"/>
    </row>
    <row r="357" spans="1:11">
      <c r="A357" s="932"/>
      <c r="B357" s="1081" t="s">
        <v>1271</v>
      </c>
      <c r="C357" s="931"/>
      <c r="D357" s="931"/>
      <c r="E357" s="931"/>
      <c r="F357" s="931"/>
      <c r="G357" s="931"/>
      <c r="H357" s="934"/>
      <c r="I357" s="931"/>
      <c r="J357" s="931"/>
      <c r="K357" s="439"/>
    </row>
    <row r="358" spans="1:11">
      <c r="A358" s="932" t="s">
        <v>605</v>
      </c>
      <c r="B358" s="1081" t="s">
        <v>606</v>
      </c>
      <c r="C358" s="927"/>
      <c r="D358" s="927"/>
      <c r="E358" s="927"/>
      <c r="F358" s="931"/>
      <c r="G358" s="931"/>
      <c r="H358" s="934"/>
      <c r="I358" s="931"/>
      <c r="J358" s="931"/>
      <c r="K358" s="439"/>
    </row>
    <row r="359" spans="1:11">
      <c r="A359" s="932"/>
      <c r="B359" s="936" t="s">
        <v>127</v>
      </c>
      <c r="C359" s="931" t="s">
        <v>607</v>
      </c>
      <c r="D359" s="1084">
        <v>0</v>
      </c>
      <c r="E359" s="927"/>
      <c r="F359" s="931"/>
      <c r="G359" s="931"/>
      <c r="H359" s="934"/>
      <c r="I359" s="931"/>
      <c r="J359" s="931"/>
      <c r="K359" s="439"/>
    </row>
    <row r="360" spans="1:11">
      <c r="A360" s="932"/>
      <c r="B360" s="936" t="s">
        <v>128</v>
      </c>
      <c r="C360" s="931" t="s">
        <v>607</v>
      </c>
      <c r="D360" s="1085">
        <v>0</v>
      </c>
      <c r="E360" s="927"/>
      <c r="F360" s="931"/>
      <c r="G360" s="931"/>
      <c r="H360" s="934"/>
      <c r="I360" s="931"/>
      <c r="J360" s="931"/>
      <c r="K360" s="439"/>
    </row>
    <row r="361" spans="1:11">
      <c r="A361" s="932"/>
      <c r="B361" s="937" t="s">
        <v>129</v>
      </c>
      <c r="C361" s="931"/>
      <c r="D361" s="595">
        <f>D360-D359</f>
        <v>0</v>
      </c>
      <c r="E361" s="927"/>
      <c r="F361" s="931"/>
      <c r="G361" s="931"/>
      <c r="H361" s="934"/>
      <c r="I361" s="931"/>
      <c r="J361" s="931"/>
      <c r="K361" s="439"/>
    </row>
    <row r="362" spans="1:11">
      <c r="A362" s="932"/>
      <c r="B362" s="936" t="s">
        <v>130</v>
      </c>
      <c r="C362" s="931" t="s">
        <v>608</v>
      </c>
      <c r="D362" s="1082">
        <v>0</v>
      </c>
      <c r="E362" s="927"/>
      <c r="F362" s="931"/>
      <c r="G362" s="931"/>
      <c r="H362" s="931"/>
      <c r="I362" s="931"/>
      <c r="J362" s="931"/>
      <c r="K362" s="439"/>
    </row>
    <row r="363" spans="1:11">
      <c r="A363" s="932"/>
      <c r="B363" s="936" t="s">
        <v>131</v>
      </c>
      <c r="C363" s="931"/>
      <c r="D363" s="1083">
        <f>D361*D362</f>
        <v>0</v>
      </c>
      <c r="E363" s="931"/>
      <c r="F363" s="931"/>
      <c r="G363" s="931"/>
      <c r="H363" s="931"/>
      <c r="I363" s="931"/>
      <c r="J363" s="931"/>
      <c r="K363" s="439"/>
    </row>
    <row r="364" spans="1:11">
      <c r="A364" s="932" t="s">
        <v>609</v>
      </c>
      <c r="B364" s="432" t="s">
        <v>610</v>
      </c>
      <c r="C364" s="931"/>
      <c r="D364" s="927"/>
      <c r="E364" s="931"/>
      <c r="F364" s="931"/>
      <c r="G364" s="931"/>
      <c r="H364" s="931"/>
      <c r="I364" s="931"/>
      <c r="J364" s="931"/>
      <c r="K364" s="439"/>
    </row>
    <row r="365" spans="1:11">
      <c r="A365" s="932" t="s">
        <v>611</v>
      </c>
      <c r="B365" s="432" t="s">
        <v>1274</v>
      </c>
      <c r="C365" s="931"/>
      <c r="D365" s="927"/>
      <c r="E365" s="931"/>
      <c r="F365" s="931"/>
      <c r="G365" s="931"/>
      <c r="H365" s="931"/>
      <c r="I365" s="931"/>
      <c r="J365" s="931"/>
      <c r="K365" s="439"/>
    </row>
    <row r="366" spans="1:11">
      <c r="A366" s="932"/>
      <c r="B366" s="432" t="s">
        <v>1272</v>
      </c>
      <c r="C366" s="931"/>
      <c r="D366" s="927"/>
      <c r="E366" s="931"/>
      <c r="F366" s="931"/>
      <c r="G366" s="931"/>
      <c r="H366" s="931"/>
      <c r="I366" s="931"/>
      <c r="J366" s="931"/>
      <c r="K366" s="439"/>
    </row>
    <row r="367" spans="1:11">
      <c r="A367" s="932" t="s">
        <v>612</v>
      </c>
      <c r="B367" s="432" t="s">
        <v>1275</v>
      </c>
      <c r="C367" s="927"/>
      <c r="D367" s="927"/>
      <c r="E367" s="927"/>
      <c r="F367" s="927"/>
      <c r="G367" s="927"/>
      <c r="H367" s="927"/>
      <c r="I367" s="927"/>
      <c r="J367" s="930"/>
    </row>
    <row r="368" spans="1:11">
      <c r="A368" s="932" t="s">
        <v>613</v>
      </c>
      <c r="B368" s="432" t="s">
        <v>1243</v>
      </c>
      <c r="C368" s="931"/>
      <c r="D368" s="931"/>
      <c r="E368" s="931"/>
      <c r="F368" s="931"/>
      <c r="G368" s="931"/>
      <c r="H368" s="931"/>
      <c r="I368" s="931"/>
      <c r="J368" s="934"/>
      <c r="K368" s="439"/>
    </row>
    <row r="369" spans="1:11">
      <c r="A369" s="932"/>
      <c r="B369" s="432" t="s">
        <v>1244</v>
      </c>
      <c r="C369" s="931"/>
      <c r="D369" s="931"/>
      <c r="E369" s="931"/>
      <c r="F369" s="931"/>
      <c r="G369" s="931"/>
      <c r="H369" s="931"/>
      <c r="I369" s="931"/>
      <c r="J369" s="934"/>
      <c r="K369" s="439"/>
    </row>
    <row r="370" spans="1:11">
      <c r="A370" s="932" t="s">
        <v>614</v>
      </c>
      <c r="B370" s="432" t="s">
        <v>615</v>
      </c>
      <c r="C370" s="927"/>
      <c r="D370" s="927"/>
      <c r="E370" s="927"/>
      <c r="F370" s="927"/>
      <c r="G370" s="927"/>
      <c r="H370" s="927"/>
      <c r="I370" s="927"/>
      <c r="J370" s="930"/>
      <c r="K370" s="439"/>
    </row>
    <row r="371" spans="1:11">
      <c r="A371" s="932" t="s">
        <v>616</v>
      </c>
      <c r="B371" s="432" t="s">
        <v>617</v>
      </c>
      <c r="C371" s="927"/>
      <c r="D371" s="927"/>
      <c r="E371" s="927"/>
      <c r="F371" s="927"/>
      <c r="G371" s="927"/>
      <c r="H371" s="927"/>
      <c r="I371" s="927"/>
      <c r="J371" s="930"/>
    </row>
    <row r="372" spans="1:11">
      <c r="B372" s="440"/>
      <c r="C372" s="440"/>
      <c r="D372" s="440"/>
      <c r="E372" s="440"/>
      <c r="F372" s="440"/>
      <c r="G372" s="440"/>
      <c r="H372" s="440"/>
      <c r="I372" s="440"/>
    </row>
    <row r="373" spans="1:11">
      <c r="B373" s="440"/>
      <c r="C373" s="440"/>
      <c r="D373" s="440"/>
      <c r="E373" s="440"/>
      <c r="F373" s="440"/>
      <c r="G373" s="440"/>
      <c r="H373" s="440"/>
      <c r="I373" s="440"/>
    </row>
    <row r="389" spans="2:2">
      <c r="B389" s="1081"/>
    </row>
    <row r="422" spans="2:2">
      <c r="B422" s="924"/>
    </row>
    <row r="423" spans="2:2">
      <c r="B423" s="924"/>
    </row>
    <row r="424" spans="2:2">
      <c r="B424" s="924"/>
    </row>
    <row r="425" spans="2:2">
      <c r="B425" s="924"/>
    </row>
    <row r="426" spans="2:2">
      <c r="B426" s="925"/>
    </row>
    <row r="433" spans="2:2">
      <c r="B433" s="925"/>
    </row>
    <row r="434" spans="2:2">
      <c r="B434" s="925"/>
    </row>
    <row r="435" spans="2:2">
      <c r="B435" s="925"/>
    </row>
    <row r="436" spans="2:2">
      <c r="B436" s="925"/>
    </row>
    <row r="437" spans="2:2">
      <c r="B437" s="927"/>
    </row>
    <row r="438" spans="2:2">
      <c r="B438" s="925"/>
    </row>
    <row r="439" spans="2:2">
      <c r="B439" s="925"/>
    </row>
  </sheetData>
  <mergeCells count="8">
    <mergeCell ref="N238:S238"/>
    <mergeCell ref="A303:K303"/>
    <mergeCell ref="A7:K7"/>
    <mergeCell ref="Q27:S27"/>
    <mergeCell ref="A79:K79"/>
    <mergeCell ref="A151:K151"/>
    <mergeCell ref="F156:G156"/>
    <mergeCell ref="A226:K226"/>
  </mergeCells>
  <phoneticPr fontId="13" type="noConversion"/>
  <conditionalFormatting sqref="N21">
    <cfRule type="cellIs" dxfId="1" priority="1" stopIfTrue="1" operator="equal">
      <formula>"ERROR in RR detail"</formula>
    </cfRule>
  </conditionalFormatting>
  <conditionalFormatting sqref="N26">
    <cfRule type="cellIs" dxfId="0" priority="2" stopIfTrue="1" operator="equal">
      <formula>"ERROR MW detail"</formula>
    </cfRule>
  </conditionalFormatting>
  <pageMargins left="0.75" right="0.75" top="1" bottom="1" header="0.5" footer="0.5"/>
  <pageSetup scale="41" fitToHeight="5" orientation="portrait" r:id="rId1"/>
  <headerFooter alignWithMargins="0"/>
  <rowBreaks count="4" manualBreakCount="4">
    <brk id="72" max="10" man="1"/>
    <brk id="144" max="10" man="1"/>
    <brk id="220" max="10" man="1"/>
    <brk id="297"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I56"/>
  <sheetViews>
    <sheetView showGridLines="0" workbookViewId="0">
      <selection activeCell="H47" sqref="H47"/>
    </sheetView>
  </sheetViews>
  <sheetFormatPr defaultRowHeight="12"/>
  <cols>
    <col min="1" max="1" width="6.33203125" style="272" customWidth="1"/>
    <col min="2" max="2" width="22.77734375" style="272" customWidth="1"/>
    <col min="3" max="4" width="13.5546875" style="272" bestFit="1" customWidth="1"/>
    <col min="5" max="5" width="13.6640625" style="273" bestFit="1" customWidth="1"/>
    <col min="6" max="6" width="1.77734375" style="272" customWidth="1"/>
    <col min="7" max="7" width="10.44140625" style="272" bestFit="1" customWidth="1"/>
    <col min="8" max="8" width="9" style="272" bestFit="1" customWidth="1"/>
    <col min="9" max="9" width="11.33203125" style="272" customWidth="1"/>
    <col min="10" max="16384" width="8.88671875" style="272"/>
  </cols>
  <sheetData>
    <row r="1" spans="1:9">
      <c r="A1" s="122" t="s">
        <v>1097</v>
      </c>
      <c r="I1" s="48" t="str">
        <f>Cover!C1</f>
        <v>2018 Workpapers</v>
      </c>
    </row>
    <row r="2" spans="1:9" ht="12.75">
      <c r="A2" s="398"/>
      <c r="I2" s="48"/>
    </row>
    <row r="3" spans="1:9">
      <c r="I3" s="48"/>
    </row>
    <row r="4" spans="1:9">
      <c r="A4" s="122" t="s">
        <v>1005</v>
      </c>
    </row>
    <row r="6" spans="1:9" ht="24">
      <c r="C6" s="274" t="s">
        <v>200</v>
      </c>
      <c r="D6" s="274" t="s">
        <v>177</v>
      </c>
      <c r="E6" s="275" t="s">
        <v>178</v>
      </c>
      <c r="G6" s="191" t="s">
        <v>984</v>
      </c>
      <c r="H6" s="191" t="s">
        <v>985</v>
      </c>
      <c r="I6" s="191" t="s">
        <v>986</v>
      </c>
    </row>
    <row r="8" spans="1:9">
      <c r="A8" s="272" t="s">
        <v>220</v>
      </c>
      <c r="B8" s="272" t="s">
        <v>179</v>
      </c>
      <c r="C8" s="276">
        <f>'Attachment GG'!$E$73*2</f>
        <v>14145637.400000004</v>
      </c>
      <c r="D8" s="276">
        <f>C8*0.5</f>
        <v>7072818.700000002</v>
      </c>
      <c r="E8" s="276">
        <f>ROUND(C8-D8,0)</f>
        <v>7072819</v>
      </c>
      <c r="G8" s="951">
        <f>I8+H8</f>
        <v>7072819</v>
      </c>
      <c r="I8" s="951">
        <f t="shared" ref="I8:I24" si="0">E8</f>
        <v>7072819</v>
      </c>
    </row>
    <row r="9" spans="1:9">
      <c r="A9" s="272" t="s">
        <v>221</v>
      </c>
      <c r="B9" s="272" t="s">
        <v>180</v>
      </c>
      <c r="C9" s="276">
        <f>'Attachment GG'!$E$74*2</f>
        <v>6975795.0199999968</v>
      </c>
      <c r="D9" s="276">
        <f>C9*0.5</f>
        <v>3487897.5099999984</v>
      </c>
      <c r="E9" s="276">
        <f t="shared" ref="E9:E25" si="1">ROUND(C9-D9,0)</f>
        <v>3487898</v>
      </c>
      <c r="G9" s="951">
        <f t="shared" ref="G9:G24" si="2">I9+H9</f>
        <v>3487898</v>
      </c>
      <c r="H9" s="951"/>
      <c r="I9" s="951">
        <f t="shared" si="0"/>
        <v>3487898</v>
      </c>
    </row>
    <row r="10" spans="1:9">
      <c r="A10" s="272" t="s">
        <v>222</v>
      </c>
      <c r="B10" s="272" t="s">
        <v>181</v>
      </c>
      <c r="C10" s="276">
        <f>'Attachment GG'!$E$75*2</f>
        <v>8924590.5</v>
      </c>
      <c r="D10" s="276">
        <f>C10*0.5</f>
        <v>4462295.25</v>
      </c>
      <c r="E10" s="276">
        <f t="shared" si="1"/>
        <v>4462295</v>
      </c>
      <c r="G10" s="951">
        <f t="shared" si="2"/>
        <v>4462295</v>
      </c>
      <c r="H10" s="951"/>
      <c r="I10" s="951">
        <f t="shared" si="0"/>
        <v>4462295</v>
      </c>
    </row>
    <row r="11" spans="1:9">
      <c r="A11" s="272" t="s">
        <v>223</v>
      </c>
      <c r="B11" s="272" t="s">
        <v>182</v>
      </c>
      <c r="C11" s="276">
        <f>'Attachment GG'!$E$76</f>
        <v>7706681.2699999968</v>
      </c>
      <c r="D11" s="276"/>
      <c r="E11" s="276">
        <f t="shared" si="1"/>
        <v>7706681</v>
      </c>
      <c r="G11" s="951">
        <f t="shared" si="2"/>
        <v>7706681</v>
      </c>
      <c r="H11" s="951"/>
      <c r="I11" s="951">
        <f t="shared" si="0"/>
        <v>7706681</v>
      </c>
    </row>
    <row r="12" spans="1:9">
      <c r="A12" s="272" t="s">
        <v>224</v>
      </c>
      <c r="B12" s="272" t="s">
        <v>233</v>
      </c>
      <c r="C12" s="340">
        <f>'Attachment GG'!$E$77</f>
        <v>30126267.810000006</v>
      </c>
      <c r="D12" s="276"/>
      <c r="E12" s="276">
        <f t="shared" si="1"/>
        <v>30126268</v>
      </c>
      <c r="G12" s="951">
        <f t="shared" si="2"/>
        <v>32100282</v>
      </c>
      <c r="H12" s="951">
        <v>1974014</v>
      </c>
      <c r="I12" s="951">
        <f t="shared" si="0"/>
        <v>30126268</v>
      </c>
    </row>
    <row r="13" spans="1:9">
      <c r="A13" s="272" t="s">
        <v>243</v>
      </c>
      <c r="B13" s="277" t="s">
        <v>234</v>
      </c>
      <c r="C13" s="340">
        <f>'Attachment GG'!$E$78</f>
        <v>206670773.8583999</v>
      </c>
      <c r="D13" s="276"/>
      <c r="E13" s="276">
        <f t="shared" si="1"/>
        <v>206670774</v>
      </c>
      <c r="G13" s="951">
        <f t="shared" si="2"/>
        <v>224455854</v>
      </c>
      <c r="H13" s="951">
        <v>17785080</v>
      </c>
      <c r="I13" s="951">
        <f t="shared" si="0"/>
        <v>206670774</v>
      </c>
    </row>
    <row r="14" spans="1:9">
      <c r="A14" s="272" t="s">
        <v>244</v>
      </c>
      <c r="B14" s="277" t="s">
        <v>235</v>
      </c>
      <c r="C14" s="340">
        <f>'Attachment GG'!$E$79</f>
        <v>219435710.14915201</v>
      </c>
      <c r="D14" s="276"/>
      <c r="E14" s="276">
        <f t="shared" si="1"/>
        <v>219435710</v>
      </c>
      <c r="G14" s="951">
        <f t="shared" si="2"/>
        <v>229935141</v>
      </c>
      <c r="H14" s="951">
        <v>10499431</v>
      </c>
      <c r="I14" s="951">
        <f t="shared" si="0"/>
        <v>219435710</v>
      </c>
    </row>
    <row r="15" spans="1:9">
      <c r="A15" s="272" t="s">
        <v>225</v>
      </c>
      <c r="B15" s="272" t="s">
        <v>195</v>
      </c>
      <c r="C15" s="340">
        <f>'Attachment GG'!$E$80</f>
        <v>468201.81000000023</v>
      </c>
      <c r="D15" s="276"/>
      <c r="E15" s="276">
        <f t="shared" si="1"/>
        <v>468202</v>
      </c>
      <c r="G15" s="951">
        <f t="shared" si="2"/>
        <v>468202</v>
      </c>
      <c r="H15" s="951"/>
      <c r="I15" s="951">
        <f t="shared" si="0"/>
        <v>468202</v>
      </c>
    </row>
    <row r="16" spans="1:9">
      <c r="A16" s="272" t="s">
        <v>226</v>
      </c>
      <c r="B16" s="272" t="s">
        <v>196</v>
      </c>
      <c r="C16" s="340">
        <f>'Attachment GG'!$E$81</f>
        <v>127736.33000000006</v>
      </c>
      <c r="D16" s="276"/>
      <c r="E16" s="276">
        <f t="shared" si="1"/>
        <v>127736</v>
      </c>
      <c r="G16" s="951">
        <f t="shared" si="2"/>
        <v>127736</v>
      </c>
      <c r="H16" s="951"/>
      <c r="I16" s="951">
        <f t="shared" si="0"/>
        <v>127736</v>
      </c>
    </row>
    <row r="17" spans="1:9">
      <c r="A17" s="272" t="s">
        <v>227</v>
      </c>
      <c r="B17" s="272" t="s">
        <v>206</v>
      </c>
      <c r="C17" s="340">
        <f>'Attachment GG'!$E$82</f>
        <v>47486.62999999999</v>
      </c>
      <c r="D17" s="276"/>
      <c r="E17" s="276">
        <f t="shared" si="1"/>
        <v>47487</v>
      </c>
      <c r="G17" s="951">
        <f t="shared" si="2"/>
        <v>47487</v>
      </c>
      <c r="H17" s="951"/>
      <c r="I17" s="951">
        <f t="shared" si="0"/>
        <v>47487</v>
      </c>
    </row>
    <row r="18" spans="1:9">
      <c r="A18" s="272" t="s">
        <v>228</v>
      </c>
      <c r="B18" s="272" t="s">
        <v>207</v>
      </c>
      <c r="C18" s="340">
        <f>'Attachment GG'!$E$83</f>
        <v>230828.43999999997</v>
      </c>
      <c r="D18" s="276"/>
      <c r="E18" s="276">
        <f t="shared" si="1"/>
        <v>230828</v>
      </c>
      <c r="G18" s="951">
        <f t="shared" si="2"/>
        <v>230828</v>
      </c>
      <c r="H18" s="951"/>
      <c r="I18" s="951">
        <f t="shared" si="0"/>
        <v>230828</v>
      </c>
    </row>
    <row r="19" spans="1:9">
      <c r="A19" s="272" t="s">
        <v>229</v>
      </c>
      <c r="B19" s="272" t="s">
        <v>208</v>
      </c>
      <c r="C19" s="340">
        <f>'Attachment GG'!$E$84</f>
        <v>4271587.1000000006</v>
      </c>
      <c r="D19" s="276"/>
      <c r="E19" s="276">
        <f t="shared" si="1"/>
        <v>4271587</v>
      </c>
      <c r="G19" s="951">
        <f t="shared" si="2"/>
        <v>4271587</v>
      </c>
      <c r="H19" s="951"/>
      <c r="I19" s="951">
        <f t="shared" si="0"/>
        <v>4271587</v>
      </c>
    </row>
    <row r="20" spans="1:9">
      <c r="A20" s="272" t="s">
        <v>230</v>
      </c>
      <c r="B20" s="272" t="s">
        <v>209</v>
      </c>
      <c r="C20" s="340">
        <f>'Attachment GG'!$E$85</f>
        <v>22200964.091915004</v>
      </c>
      <c r="D20" s="276"/>
      <c r="E20" s="276">
        <f t="shared" si="1"/>
        <v>22200964</v>
      </c>
      <c r="G20" s="951">
        <f t="shared" si="2"/>
        <v>22200964</v>
      </c>
      <c r="H20" s="951"/>
      <c r="I20" s="951">
        <f t="shared" si="0"/>
        <v>22200964</v>
      </c>
    </row>
    <row r="21" spans="1:9">
      <c r="A21" s="272" t="s">
        <v>231</v>
      </c>
      <c r="B21" s="272" t="s">
        <v>236</v>
      </c>
      <c r="C21" s="340">
        <f>'Attachment GG'!$E$87</f>
        <v>15310378.909999998</v>
      </c>
      <c r="D21" s="276"/>
      <c r="E21" s="276">
        <f t="shared" si="1"/>
        <v>15310379</v>
      </c>
      <c r="G21" s="951">
        <f t="shared" si="2"/>
        <v>15310379</v>
      </c>
      <c r="H21" s="951"/>
      <c r="I21" s="951">
        <f t="shared" si="0"/>
        <v>15310379</v>
      </c>
    </row>
    <row r="22" spans="1:9">
      <c r="A22" s="272" t="s">
        <v>232</v>
      </c>
      <c r="B22" s="272" t="s">
        <v>237</v>
      </c>
      <c r="C22" s="340">
        <f>'Attachment GG'!$E$88</f>
        <v>18711271.990000006</v>
      </c>
      <c r="D22" s="276"/>
      <c r="E22" s="276">
        <f t="shared" si="1"/>
        <v>18711272</v>
      </c>
      <c r="G22" s="951">
        <f t="shared" si="2"/>
        <v>18711272</v>
      </c>
      <c r="H22" s="951"/>
      <c r="I22" s="951">
        <f t="shared" si="0"/>
        <v>18711272</v>
      </c>
    </row>
    <row r="23" spans="1:9">
      <c r="A23" s="390" t="s">
        <v>239</v>
      </c>
      <c r="B23" s="272" t="s">
        <v>240</v>
      </c>
      <c r="C23" s="340">
        <f>'Attachment GG'!$E$86</f>
        <v>309681</v>
      </c>
      <c r="D23" s="276"/>
      <c r="E23" s="276">
        <f t="shared" si="1"/>
        <v>309681</v>
      </c>
      <c r="G23" s="951">
        <f t="shared" si="2"/>
        <v>309681</v>
      </c>
      <c r="H23" s="951"/>
      <c r="I23" s="951">
        <f t="shared" si="0"/>
        <v>309681</v>
      </c>
    </row>
    <row r="24" spans="1:9">
      <c r="A24" s="898" t="s">
        <v>727</v>
      </c>
      <c r="B24" s="272" t="s">
        <v>257</v>
      </c>
      <c r="C24" s="340">
        <f>'Attachment GG'!$E$89</f>
        <v>37116159.920000009</v>
      </c>
      <c r="D24" s="276"/>
      <c r="E24" s="276">
        <f t="shared" si="1"/>
        <v>37116160</v>
      </c>
      <c r="G24" s="951">
        <f t="shared" si="2"/>
        <v>37116160</v>
      </c>
      <c r="H24" s="951"/>
      <c r="I24" s="951">
        <f t="shared" si="0"/>
        <v>37116160</v>
      </c>
    </row>
    <row r="25" spans="1:9">
      <c r="A25" s="272" t="s">
        <v>1006</v>
      </c>
      <c r="B25" s="272" t="s">
        <v>1095</v>
      </c>
      <c r="C25" s="340">
        <f>'Attachment GG'!$E$90</f>
        <v>672602.52000000037</v>
      </c>
      <c r="D25" s="276"/>
      <c r="E25" s="276">
        <f t="shared" si="1"/>
        <v>672603</v>
      </c>
      <c r="G25" s="951">
        <f t="shared" ref="G25" si="3">I25+H25</f>
        <v>672603</v>
      </c>
      <c r="H25" s="951"/>
      <c r="I25" s="951">
        <f t="shared" ref="I25" si="4">E25</f>
        <v>672603</v>
      </c>
    </row>
    <row r="27" spans="1:9">
      <c r="A27" s="272" t="s">
        <v>23</v>
      </c>
      <c r="C27" s="276"/>
      <c r="D27" s="276"/>
      <c r="E27" s="278">
        <f>SUM(E8:E26)</f>
        <v>578429344</v>
      </c>
      <c r="G27" s="952">
        <f>SUM(G8:G26)</f>
        <v>608687869</v>
      </c>
      <c r="H27" s="952">
        <f>SUM(H8:H26)</f>
        <v>30258525</v>
      </c>
      <c r="I27" s="952">
        <f>SUM(I8:I26)</f>
        <v>578429344</v>
      </c>
    </row>
    <row r="29" spans="1:9">
      <c r="D29" s="272" t="s">
        <v>211</v>
      </c>
      <c r="E29" s="276">
        <f>E27:E27</f>
        <v>578429344</v>
      </c>
    </row>
    <row r="30" spans="1:9">
      <c r="D30" s="272" t="s">
        <v>258</v>
      </c>
      <c r="E30" s="276">
        <v>0</v>
      </c>
    </row>
    <row r="31" spans="1:9">
      <c r="E31" s="278">
        <f>SUM(E29:E30)</f>
        <v>578429344</v>
      </c>
    </row>
    <row r="33" spans="1:9">
      <c r="A33" s="122" t="s">
        <v>204</v>
      </c>
      <c r="E33" s="272"/>
      <c r="I33" s="48"/>
    </row>
    <row r="35" spans="1:9">
      <c r="A35" s="390" t="s">
        <v>238</v>
      </c>
      <c r="B35" s="19" t="s">
        <v>987</v>
      </c>
      <c r="C35" s="276">
        <f>'Attachment MM'!E72</f>
        <v>443759157.98785216</v>
      </c>
      <c r="E35" s="276">
        <f>ROUND(C35-D35,0)</f>
        <v>443759158</v>
      </c>
      <c r="G35" s="951">
        <f>I35+H35</f>
        <v>476465257.46777177</v>
      </c>
      <c r="H35" s="951">
        <v>32706099.467771798</v>
      </c>
      <c r="I35" s="951">
        <f>E35</f>
        <v>443759158</v>
      </c>
    </row>
    <row r="36" spans="1:9">
      <c r="A36" s="898" t="s">
        <v>1134</v>
      </c>
      <c r="B36" s="272" t="s">
        <v>1138</v>
      </c>
      <c r="C36" s="276">
        <f>'Attachment MM'!E73</f>
        <v>70064942.295934647</v>
      </c>
      <c r="E36" s="276">
        <f>ROUND(C36-D36,0)</f>
        <v>70064942</v>
      </c>
      <c r="G36" s="951">
        <f t="shared" ref="G36:G37" si="5">I36+H36</f>
        <v>70064942</v>
      </c>
      <c r="H36" s="951"/>
      <c r="I36" s="951">
        <f t="shared" ref="I36:I37" si="6">E36</f>
        <v>70064942</v>
      </c>
    </row>
    <row r="37" spans="1:9">
      <c r="A37" s="898" t="s">
        <v>1135</v>
      </c>
      <c r="B37" s="19" t="s">
        <v>1140</v>
      </c>
      <c r="C37" s="276">
        <f>'Attachment MM'!E74</f>
        <v>12218879.87119025</v>
      </c>
      <c r="E37" s="276">
        <f>ROUND(C37-D37,0)</f>
        <v>12218880</v>
      </c>
      <c r="G37" s="951">
        <f t="shared" si="5"/>
        <v>12218880</v>
      </c>
      <c r="H37" s="951"/>
      <c r="I37" s="951">
        <f t="shared" si="6"/>
        <v>12218880</v>
      </c>
    </row>
    <row r="38" spans="1:9">
      <c r="E38" s="276"/>
    </row>
    <row r="39" spans="1:9">
      <c r="A39" s="272" t="s">
        <v>23</v>
      </c>
      <c r="E39" s="278">
        <f>SUM(E35:E38)</f>
        <v>526042980</v>
      </c>
      <c r="G39" s="278">
        <f>SUM(G35:G38)</f>
        <v>558749079.46777177</v>
      </c>
      <c r="H39" s="278">
        <f>SUM(H35:H38)</f>
        <v>32706099.467771798</v>
      </c>
      <c r="I39" s="278">
        <f>SUM(I35:I38)</f>
        <v>526042980</v>
      </c>
    </row>
    <row r="41" spans="1:9">
      <c r="D41" s="272" t="s">
        <v>211</v>
      </c>
      <c r="E41" s="276">
        <f>E35+E36+E37</f>
        <v>526042980</v>
      </c>
    </row>
    <row r="42" spans="1:9">
      <c r="D42" s="272" t="s">
        <v>258</v>
      </c>
      <c r="E42" s="276">
        <v>0</v>
      </c>
    </row>
    <row r="43" spans="1:9">
      <c r="E43" s="278">
        <f>SUM(E41:E42)</f>
        <v>526042980</v>
      </c>
    </row>
    <row r="46" spans="1:9">
      <c r="D46" s="272" t="s">
        <v>241</v>
      </c>
      <c r="E46" s="276">
        <f>E29+E41</f>
        <v>1104472324</v>
      </c>
      <c r="I46" s="952">
        <f>I27+I39</f>
        <v>1104472324</v>
      </c>
    </row>
    <row r="47" spans="1:9">
      <c r="D47" s="19" t="s">
        <v>976</v>
      </c>
      <c r="E47" s="276">
        <f>H47</f>
        <v>62964624.467771798</v>
      </c>
      <c r="H47" s="952">
        <f>H27+H39</f>
        <v>62964624.467771798</v>
      </c>
    </row>
    <row r="48" spans="1:9">
      <c r="D48" s="19" t="s">
        <v>977</v>
      </c>
      <c r="E48" s="278">
        <f>E46+E47</f>
        <v>1167436948.4677718</v>
      </c>
      <c r="G48" s="952">
        <f>G27+G39</f>
        <v>1167436948.4677718</v>
      </c>
    </row>
    <row r="50" spans="1:8">
      <c r="H50" s="951"/>
    </row>
    <row r="51" spans="1:8">
      <c r="A51" s="272" t="s">
        <v>242</v>
      </c>
      <c r="H51" s="1064"/>
    </row>
    <row r="52" spans="1:8">
      <c r="H52" s="1064"/>
    </row>
    <row r="53" spans="1:8">
      <c r="H53" s="1064"/>
    </row>
    <row r="54" spans="1:8">
      <c r="H54" s="1064"/>
    </row>
    <row r="55" spans="1:8">
      <c r="H55" s="1064"/>
    </row>
    <row r="56" spans="1:8">
      <c r="H56" s="1064"/>
    </row>
  </sheetData>
  <phoneticPr fontId="13" type="noConversion"/>
  <pageMargins left="0.75" right="0.75" top="1" bottom="1" header="0.5" footer="0.5"/>
  <pageSetup scale="73"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I31"/>
  <sheetViews>
    <sheetView showGridLines="0" zoomScaleNormal="100" workbookViewId="0">
      <selection activeCell="A3" sqref="A3"/>
    </sheetView>
  </sheetViews>
  <sheetFormatPr defaultColWidth="7.109375" defaultRowHeight="12.75"/>
  <cols>
    <col min="1" max="1" width="16.33203125" style="1024" customWidth="1"/>
    <col min="2" max="2" width="1.6640625" style="1021" bestFit="1" customWidth="1"/>
    <col min="3" max="3" width="8.33203125" style="1022" bestFit="1" customWidth="1"/>
    <col min="4" max="6" width="7.109375" style="1021"/>
    <col min="7" max="7" width="8.6640625" style="1021" customWidth="1"/>
    <col min="8" max="16384" width="7.109375" style="1021"/>
  </cols>
  <sheetData>
    <row r="1" spans="1:9">
      <c r="A1" s="1020" t="s">
        <v>855</v>
      </c>
      <c r="G1" s="1023" t="s">
        <v>1077</v>
      </c>
    </row>
    <row r="2" spans="1:9">
      <c r="A2" s="1020" t="s">
        <v>1065</v>
      </c>
      <c r="I2" s="1024"/>
    </row>
    <row r="3" spans="1:9">
      <c r="A3" s="1022"/>
    </row>
    <row r="4" spans="1:9">
      <c r="A4" s="1024" t="s">
        <v>1066</v>
      </c>
      <c r="C4" s="1025">
        <v>0.35</v>
      </c>
      <c r="E4" s="1021" t="s">
        <v>1067</v>
      </c>
    </row>
    <row r="5" spans="1:9">
      <c r="A5" s="1024" t="s">
        <v>1068</v>
      </c>
      <c r="B5" s="1021" t="s">
        <v>517</v>
      </c>
      <c r="C5" s="1025">
        <v>0.408468</v>
      </c>
      <c r="E5" s="1026" t="s">
        <v>1200</v>
      </c>
    </row>
    <row r="6" spans="1:9">
      <c r="A6" s="1024" t="s">
        <v>1069</v>
      </c>
      <c r="B6" s="1021" t="s">
        <v>517</v>
      </c>
      <c r="C6" s="1025">
        <f>C5</f>
        <v>0.408468</v>
      </c>
      <c r="E6" s="1027">
        <f>(1-0.089951)*0.35+0.089951</f>
        <v>0.40846814999999997</v>
      </c>
    </row>
    <row r="7" spans="1:9">
      <c r="A7" s="1028" t="s">
        <v>1070</v>
      </c>
      <c r="B7" s="1021" t="s">
        <v>517</v>
      </c>
      <c r="C7" s="1029" t="s">
        <v>1198</v>
      </c>
    </row>
    <row r="8" spans="1:9">
      <c r="A8" s="1028" t="s">
        <v>1071</v>
      </c>
      <c r="B8" s="1021" t="s">
        <v>517</v>
      </c>
      <c r="C8" s="1025">
        <f>0.408468-0.35</f>
        <v>5.846800000000002E-2</v>
      </c>
    </row>
    <row r="9" spans="1:9">
      <c r="A9" s="1024" t="s">
        <v>1072</v>
      </c>
      <c r="B9" s="1021" t="s">
        <v>517</v>
      </c>
      <c r="C9" s="1029" t="s">
        <v>1199</v>
      </c>
    </row>
    <row r="10" spans="1:9">
      <c r="A10" s="1030" t="s">
        <v>1073</v>
      </c>
      <c r="B10" s="1031" t="s">
        <v>517</v>
      </c>
      <c r="C10" s="1161">
        <f>C8/0.65</f>
        <v>8.9950769230769265E-2</v>
      </c>
      <c r="D10" s="1031" t="s">
        <v>1074</v>
      </c>
    </row>
    <row r="11" spans="1:9">
      <c r="D11" s="1021" t="s">
        <v>1075</v>
      </c>
    </row>
    <row r="13" spans="1:9" ht="13.5" thickBot="1">
      <c r="C13" s="1025"/>
      <c r="D13" s="1032"/>
      <c r="E13" s="1033"/>
      <c r="F13" s="1033"/>
      <c r="G13" s="1033"/>
      <c r="H13" s="1034"/>
    </row>
    <row r="14" spans="1:9">
      <c r="A14" s="1028"/>
      <c r="C14" s="1029"/>
      <c r="D14" s="1035"/>
      <c r="E14" s="1036"/>
      <c r="F14" s="1037" t="s">
        <v>1076</v>
      </c>
      <c r="G14" s="1038"/>
      <c r="H14" s="1039"/>
    </row>
    <row r="15" spans="1:9" ht="13.5" thickBot="1">
      <c r="D15" s="1040"/>
      <c r="E15" s="1041" t="s">
        <v>942</v>
      </c>
      <c r="F15" s="1042"/>
      <c r="G15" s="1043">
        <v>0.408468</v>
      </c>
      <c r="H15" s="1044"/>
    </row>
    <row r="16" spans="1:9" ht="14.25" thickTop="1" thickBot="1">
      <c r="D16" s="1045"/>
      <c r="E16" s="1046"/>
      <c r="F16" s="1046"/>
      <c r="G16" s="1046"/>
      <c r="H16" s="1047"/>
    </row>
    <row r="31" spans="4:4" s="1021" customFormat="1">
      <c r="D31" s="1048"/>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pageSetUpPr fitToPage="1"/>
  </sheetPr>
  <dimension ref="A1:U308"/>
  <sheetViews>
    <sheetView showGridLines="0" topLeftCell="F69" zoomScale="90" zoomScaleNormal="90" workbookViewId="0">
      <selection activeCell="Q82" sqref="Q82"/>
    </sheetView>
  </sheetViews>
  <sheetFormatPr defaultRowHeight="15"/>
  <cols>
    <col min="1" max="1" width="6" style="624" customWidth="1"/>
    <col min="2" max="2" width="1.44140625" style="624" customWidth="1"/>
    <col min="3" max="3" width="39.109375" style="624" customWidth="1"/>
    <col min="4" max="4" width="12" style="624" customWidth="1"/>
    <col min="5" max="5" width="14.44140625" style="624" customWidth="1"/>
    <col min="6" max="6" width="11.88671875" style="624" customWidth="1"/>
    <col min="7" max="7" width="15.44140625" style="624" customWidth="1"/>
    <col min="8" max="8" width="13.88671875" style="624" customWidth="1"/>
    <col min="9" max="10" width="12.77734375" style="624" customWidth="1"/>
    <col min="11" max="11" width="13.5546875" style="624" customWidth="1"/>
    <col min="12" max="12" width="16" style="624" customWidth="1"/>
    <col min="13" max="13" width="14.6640625" style="624" customWidth="1"/>
    <col min="14" max="14" width="13.88671875" style="624" customWidth="1"/>
    <col min="15" max="15" width="1.88671875" style="624" customWidth="1"/>
    <col min="16" max="16" width="13" style="624" customWidth="1"/>
    <col min="17" max="17" width="10" style="624" bestFit="1" customWidth="1"/>
    <col min="18" max="16384" width="8.88671875" style="624"/>
  </cols>
  <sheetData>
    <row r="1" spans="1:18">
      <c r="N1" s="625"/>
    </row>
    <row r="2" spans="1:18">
      <c r="N2" s="625"/>
    </row>
    <row r="4" spans="1:18">
      <c r="N4" s="625" t="s">
        <v>618</v>
      </c>
    </row>
    <row r="5" spans="1:18">
      <c r="C5" s="626" t="s">
        <v>619</v>
      </c>
      <c r="D5" s="626"/>
      <c r="E5" s="626"/>
      <c r="F5" s="626"/>
      <c r="G5" s="627" t="s">
        <v>262</v>
      </c>
      <c r="H5" s="626"/>
      <c r="I5" s="626"/>
      <c r="J5" s="626"/>
      <c r="K5" s="628"/>
      <c r="M5" s="629"/>
      <c r="N5" s="878" t="s">
        <v>1107</v>
      </c>
      <c r="O5" s="629"/>
      <c r="P5" s="630"/>
      <c r="Q5" s="630"/>
      <c r="R5" s="629"/>
    </row>
    <row r="6" spans="1:18">
      <c r="C6" s="626"/>
      <c r="D6" s="626"/>
      <c r="E6" s="631" t="s">
        <v>5</v>
      </c>
      <c r="F6" s="631"/>
      <c r="G6" s="631" t="s">
        <v>620</v>
      </c>
      <c r="H6" s="631"/>
      <c r="I6" s="631"/>
      <c r="J6" s="631"/>
      <c r="K6" s="628"/>
      <c r="M6" s="629"/>
      <c r="N6" s="628"/>
      <c r="O6" s="629"/>
      <c r="P6" s="632"/>
      <c r="Q6" s="630"/>
      <c r="R6" s="629"/>
    </row>
    <row r="7" spans="1:18">
      <c r="C7" s="629"/>
      <c r="D7" s="629"/>
      <c r="E7" s="629"/>
      <c r="F7" s="629"/>
      <c r="G7" s="629"/>
      <c r="H7" s="629"/>
      <c r="I7" s="629"/>
      <c r="J7" s="629"/>
      <c r="K7" s="629"/>
      <c r="M7" s="629"/>
      <c r="N7" s="629" t="s">
        <v>621</v>
      </c>
      <c r="O7" s="629"/>
      <c r="P7" s="630"/>
      <c r="Q7" s="630"/>
      <c r="R7" s="629"/>
    </row>
    <row r="8" spans="1:18">
      <c r="A8" s="633"/>
      <c r="C8" s="629"/>
      <c r="D8" s="629"/>
      <c r="E8" s="629"/>
      <c r="F8" s="634"/>
      <c r="G8" s="635" t="s">
        <v>265</v>
      </c>
      <c r="H8" s="634"/>
      <c r="I8" s="629"/>
      <c r="J8" s="629"/>
      <c r="K8" s="629"/>
      <c r="L8" s="629"/>
      <c r="M8" s="629"/>
      <c r="N8" s="629"/>
      <c r="O8" s="629"/>
      <c r="P8" s="630"/>
      <c r="Q8" s="630"/>
      <c r="R8" s="629"/>
    </row>
    <row r="9" spans="1:18">
      <c r="A9" s="633"/>
      <c r="C9" s="629"/>
      <c r="D9" s="629"/>
      <c r="E9" s="629"/>
      <c r="F9" s="629"/>
      <c r="G9" s="636"/>
      <c r="H9" s="629"/>
      <c r="I9" s="629"/>
      <c r="J9" s="629"/>
      <c r="K9" s="629"/>
      <c r="L9" s="629"/>
      <c r="M9" s="629"/>
      <c r="N9" s="629"/>
      <c r="O9" s="629"/>
      <c r="P9" s="630"/>
      <c r="Q9" s="630"/>
      <c r="R9" s="629"/>
    </row>
    <row r="10" spans="1:18">
      <c r="A10" s="633"/>
      <c r="C10" s="629" t="s">
        <v>622</v>
      </c>
      <c r="D10" s="629"/>
      <c r="E10" s="629"/>
      <c r="F10" s="629"/>
      <c r="G10" s="636"/>
      <c r="H10" s="629"/>
      <c r="I10" s="629"/>
      <c r="J10" s="629"/>
      <c r="K10" s="629"/>
      <c r="L10" s="629"/>
      <c r="M10" s="629"/>
      <c r="N10" s="629"/>
      <c r="O10" s="629"/>
      <c r="P10" s="630"/>
      <c r="Q10" s="630"/>
      <c r="R10" s="629"/>
    </row>
    <row r="11" spans="1:18">
      <c r="A11" s="633"/>
      <c r="C11" s="629"/>
      <c r="D11" s="629"/>
      <c r="E11" s="629"/>
      <c r="F11" s="629"/>
      <c r="G11" s="636"/>
      <c r="L11" s="629"/>
      <c r="M11" s="629"/>
      <c r="N11" s="629"/>
      <c r="O11" s="629"/>
      <c r="P11" s="629"/>
      <c r="Q11" s="629"/>
      <c r="R11" s="629"/>
    </row>
    <row r="12" spans="1:18">
      <c r="A12" s="633"/>
      <c r="C12" s="629"/>
      <c r="D12" s="629"/>
      <c r="E12" s="629"/>
      <c r="F12" s="629"/>
      <c r="G12" s="629"/>
      <c r="L12" s="637"/>
      <c r="M12" s="629"/>
      <c r="N12" s="629"/>
      <c r="O12" s="629"/>
      <c r="P12" s="629"/>
      <c r="Q12" s="629"/>
      <c r="R12" s="629"/>
    </row>
    <row r="13" spans="1:18">
      <c r="C13" s="638" t="s">
        <v>339</v>
      </c>
      <c r="D13" s="638"/>
      <c r="E13" s="638" t="s">
        <v>340</v>
      </c>
      <c r="F13" s="638"/>
      <c r="G13" s="638" t="s">
        <v>341</v>
      </c>
      <c r="L13" s="639" t="s">
        <v>342</v>
      </c>
      <c r="M13" s="631"/>
      <c r="N13" s="639"/>
      <c r="O13" s="631"/>
      <c r="P13" s="639"/>
      <c r="Q13" s="631"/>
      <c r="R13" s="640"/>
    </row>
    <row r="14" spans="1:18" ht="15.75">
      <c r="C14" s="640"/>
      <c r="D14" s="640"/>
      <c r="E14" s="641" t="s">
        <v>148</v>
      </c>
      <c r="F14" s="641"/>
      <c r="G14" s="631"/>
      <c r="M14" s="631"/>
      <c r="O14" s="631"/>
      <c r="P14" s="638"/>
      <c r="Q14" s="638"/>
      <c r="R14" s="640"/>
    </row>
    <row r="15" spans="1:18" ht="15.75">
      <c r="A15" s="633" t="s">
        <v>46</v>
      </c>
      <c r="C15" s="640"/>
      <c r="D15" s="640"/>
      <c r="E15" s="642" t="s">
        <v>347</v>
      </c>
      <c r="F15" s="642"/>
      <c r="G15" s="643" t="s">
        <v>24</v>
      </c>
      <c r="L15" s="643" t="s">
        <v>271</v>
      </c>
      <c r="M15" s="631"/>
      <c r="O15" s="629"/>
      <c r="P15" s="644"/>
      <c r="Q15" s="638"/>
      <c r="R15" s="640"/>
    </row>
    <row r="16" spans="1:18" ht="15.75">
      <c r="A16" s="633" t="s">
        <v>22</v>
      </c>
      <c r="C16" s="645"/>
      <c r="D16" s="645"/>
      <c r="E16" s="631"/>
      <c r="F16" s="631"/>
      <c r="G16" s="631"/>
      <c r="J16" s="646"/>
      <c r="L16" s="631"/>
      <c r="M16" s="631"/>
      <c r="N16" s="631"/>
      <c r="O16" s="629"/>
      <c r="P16" s="631"/>
      <c r="Q16" s="631"/>
      <c r="R16" s="640"/>
    </row>
    <row r="17" spans="1:18" ht="15.75">
      <c r="A17" s="647"/>
      <c r="C17" s="640"/>
      <c r="D17" s="640"/>
      <c r="E17" s="631"/>
      <c r="F17" s="631"/>
      <c r="G17" s="631"/>
      <c r="L17" s="631"/>
      <c r="M17" s="631"/>
      <c r="N17" s="631"/>
      <c r="O17" s="629"/>
      <c r="P17" s="631"/>
      <c r="Q17" s="631"/>
      <c r="R17" s="640"/>
    </row>
    <row r="18" spans="1:18">
      <c r="A18" s="648">
        <v>1</v>
      </c>
      <c r="C18" s="640" t="s">
        <v>623</v>
      </c>
      <c r="D18" s="640"/>
      <c r="E18" s="648" t="s">
        <v>624</v>
      </c>
      <c r="F18" s="648"/>
      <c r="G18" s="649">
        <f>'Attachment O'!I87+'Attachment O'!I109+'Prefunded AFUDC'!H27</f>
        <v>4553411068.1087112</v>
      </c>
      <c r="H18" s="631"/>
      <c r="M18" s="631"/>
      <c r="N18" s="631"/>
      <c r="O18" s="629"/>
      <c r="P18" s="631"/>
      <c r="Q18" s="631"/>
      <c r="R18" s="640"/>
    </row>
    <row r="19" spans="1:18">
      <c r="A19" s="648">
        <v>2</v>
      </c>
      <c r="C19" s="640" t="s">
        <v>625</v>
      </c>
      <c r="D19" s="640"/>
      <c r="E19" s="648" t="s">
        <v>626</v>
      </c>
      <c r="F19" s="648"/>
      <c r="G19" s="649">
        <f>'Attachment O'!I103+'Attachment O'!I109+'Prefunded AFUDC'!H29</f>
        <v>3392869640.0755243</v>
      </c>
      <c r="M19" s="631"/>
      <c r="N19" s="631"/>
      <c r="O19" s="629"/>
      <c r="P19" s="631"/>
      <c r="Q19" s="631"/>
      <c r="R19" s="640"/>
    </row>
    <row r="20" spans="1:18">
      <c r="A20" s="648"/>
      <c r="E20" s="648"/>
      <c r="F20" s="648"/>
      <c r="M20" s="631"/>
      <c r="N20" s="631"/>
      <c r="O20" s="629"/>
      <c r="P20" s="631"/>
      <c r="Q20" s="631"/>
      <c r="R20" s="640"/>
    </row>
    <row r="21" spans="1:18">
      <c r="A21" s="648"/>
      <c r="C21" s="640" t="s">
        <v>627</v>
      </c>
      <c r="D21" s="640"/>
      <c r="E21" s="648"/>
      <c r="F21" s="648"/>
      <c r="G21" s="631"/>
      <c r="L21" s="631"/>
      <c r="M21" s="631"/>
      <c r="N21" s="631"/>
      <c r="O21" s="631"/>
      <c r="P21" s="631"/>
      <c r="Q21" s="631"/>
      <c r="R21" s="640"/>
    </row>
    <row r="22" spans="1:18">
      <c r="A22" s="648">
        <v>3</v>
      </c>
      <c r="C22" s="640" t="s">
        <v>628</v>
      </c>
      <c r="D22" s="640"/>
      <c r="E22" s="648" t="s">
        <v>629</v>
      </c>
      <c r="F22" s="648"/>
      <c r="G22" s="649">
        <f>'Attachment O'!I167</f>
        <v>76033245.775853559</v>
      </c>
      <c r="M22" s="631"/>
      <c r="N22" s="631"/>
      <c r="O22" s="631"/>
      <c r="P22" s="631"/>
      <c r="Q22" s="631"/>
      <c r="R22" s="640"/>
    </row>
    <row r="23" spans="1:18" ht="15.75">
      <c r="A23" s="648">
        <v>4</v>
      </c>
      <c r="C23" s="640" t="s">
        <v>630</v>
      </c>
      <c r="D23" s="640"/>
      <c r="E23" s="648" t="s">
        <v>631</v>
      </c>
      <c r="F23" s="648"/>
      <c r="G23" s="650">
        <f>IF(G22=0,0,G22/G18)</f>
        <v>1.6698085158262346E-2</v>
      </c>
      <c r="L23" s="651">
        <f>G23</f>
        <v>1.6698085158262346E-2</v>
      </c>
      <c r="M23" s="631"/>
      <c r="N23" s="652"/>
      <c r="O23" s="653"/>
      <c r="P23" s="654"/>
      <c r="Q23" s="631"/>
      <c r="R23" s="640"/>
    </row>
    <row r="24" spans="1:18" ht="15.75">
      <c r="A24" s="648"/>
      <c r="C24" s="640"/>
      <c r="D24" s="640"/>
      <c r="E24" s="648"/>
      <c r="F24" s="648"/>
      <c r="G24" s="650"/>
      <c r="L24" s="651"/>
      <c r="M24" s="631"/>
      <c r="N24" s="652"/>
      <c r="O24" s="653"/>
      <c r="P24" s="654"/>
      <c r="Q24" s="631"/>
      <c r="R24" s="640"/>
    </row>
    <row r="25" spans="1:18" ht="15.75">
      <c r="A25" s="639"/>
      <c r="C25" s="640" t="s">
        <v>632</v>
      </c>
      <c r="D25" s="640"/>
      <c r="E25" s="655"/>
      <c r="F25" s="655"/>
      <c r="G25" s="631"/>
      <c r="L25" s="631"/>
      <c r="M25" s="631"/>
      <c r="N25" s="652"/>
      <c r="O25" s="653"/>
      <c r="P25" s="654"/>
      <c r="Q25" s="631"/>
      <c r="R25" s="640"/>
    </row>
    <row r="26" spans="1:18" ht="15.75">
      <c r="A26" s="639" t="s">
        <v>633</v>
      </c>
      <c r="C26" s="640" t="s">
        <v>634</v>
      </c>
      <c r="D26" s="640"/>
      <c r="E26" s="648" t="s">
        <v>635</v>
      </c>
      <c r="F26" s="648"/>
      <c r="G26" s="649">
        <f>'Attachment O'!I173+'Attachment O'!I174</f>
        <v>9471325.2991463318</v>
      </c>
      <c r="M26" s="631"/>
      <c r="N26" s="652"/>
      <c r="O26" s="653"/>
      <c r="P26" s="654"/>
      <c r="Q26" s="631"/>
      <c r="R26" s="640"/>
    </row>
    <row r="27" spans="1:18" ht="15.75">
      <c r="A27" s="639" t="s">
        <v>636</v>
      </c>
      <c r="C27" s="640" t="s">
        <v>637</v>
      </c>
      <c r="D27" s="640"/>
      <c r="E27" s="648" t="s">
        <v>638</v>
      </c>
      <c r="F27" s="648"/>
      <c r="G27" s="650">
        <f>IF(G26=0,0,G26/G18)</f>
        <v>2.0800505725217353E-3</v>
      </c>
      <c r="L27" s="651">
        <f>G27</f>
        <v>2.0800505725217353E-3</v>
      </c>
      <c r="M27" s="631"/>
      <c r="N27" s="652"/>
      <c r="O27" s="653"/>
      <c r="P27" s="654"/>
      <c r="Q27" s="631"/>
      <c r="R27" s="640"/>
    </row>
    <row r="28" spans="1:18" ht="15.75">
      <c r="A28" s="648"/>
      <c r="C28" s="640"/>
      <c r="D28" s="640"/>
      <c r="E28" s="648"/>
      <c r="F28" s="648"/>
      <c r="G28" s="650"/>
      <c r="L28" s="651"/>
      <c r="M28" s="631"/>
      <c r="N28" s="652"/>
      <c r="O28" s="653"/>
      <c r="P28" s="654"/>
      <c r="Q28" s="631"/>
      <c r="R28" s="640"/>
    </row>
    <row r="29" spans="1:18">
      <c r="A29" s="639"/>
      <c r="C29" s="640" t="s">
        <v>639</v>
      </c>
      <c r="D29" s="640"/>
      <c r="E29" s="655"/>
      <c r="F29" s="655"/>
      <c r="G29" s="631"/>
      <c r="L29" s="631"/>
      <c r="M29" s="631"/>
      <c r="N29" s="631"/>
      <c r="O29" s="631"/>
      <c r="P29" s="631"/>
      <c r="Q29" s="631"/>
      <c r="R29" s="640"/>
    </row>
    <row r="30" spans="1:18" ht="15.75">
      <c r="A30" s="639" t="s">
        <v>640</v>
      </c>
      <c r="C30" s="640" t="s">
        <v>641</v>
      </c>
      <c r="D30" s="640"/>
      <c r="E30" s="648" t="s">
        <v>642</v>
      </c>
      <c r="F30" s="648"/>
      <c r="G30" s="649">
        <f>'Attachment O'!I186</f>
        <v>52484466.541552387</v>
      </c>
      <c r="M30" s="631"/>
      <c r="N30" s="644"/>
      <c r="O30" s="631"/>
      <c r="P30" s="648"/>
      <c r="Q30" s="638"/>
      <c r="R30" s="640"/>
    </row>
    <row r="31" spans="1:18" ht="15.75">
      <c r="A31" s="639" t="s">
        <v>643</v>
      </c>
      <c r="C31" s="640" t="s">
        <v>644</v>
      </c>
      <c r="D31" s="640"/>
      <c r="E31" s="648" t="s">
        <v>645</v>
      </c>
      <c r="F31" s="648"/>
      <c r="G31" s="650">
        <f>IF(G30=0,0,G30/G18)</f>
        <v>1.1526406414115418E-2</v>
      </c>
      <c r="L31" s="651">
        <f>G31</f>
        <v>1.1526406414115418E-2</v>
      </c>
      <c r="M31" s="631"/>
      <c r="N31" s="652"/>
      <c r="O31" s="631"/>
      <c r="P31" s="654"/>
      <c r="Q31" s="638"/>
      <c r="R31" s="640"/>
    </row>
    <row r="32" spans="1:18">
      <c r="A32" s="639"/>
      <c r="C32" s="640"/>
      <c r="D32" s="640"/>
      <c r="E32" s="648"/>
      <c r="F32" s="648"/>
      <c r="G32" s="631"/>
      <c r="L32" s="631"/>
      <c r="M32" s="631"/>
      <c r="Q32" s="631"/>
      <c r="R32" s="640"/>
    </row>
    <row r="33" spans="1:18" ht="15.75">
      <c r="A33" s="656" t="s">
        <v>646</v>
      </c>
      <c r="B33" s="657"/>
      <c r="C33" s="645" t="s">
        <v>647</v>
      </c>
      <c r="D33" s="645"/>
      <c r="E33" s="641" t="s">
        <v>648</v>
      </c>
      <c r="F33" s="641"/>
      <c r="G33" s="653"/>
      <c r="L33" s="658">
        <f>L23+L27+L31</f>
        <v>3.0304542144899499E-2</v>
      </c>
      <c r="M33" s="631"/>
      <c r="Q33" s="631"/>
      <c r="R33" s="640"/>
    </row>
    <row r="34" spans="1:18">
      <c r="A34" s="639"/>
      <c r="C34" s="640"/>
      <c r="D34" s="640"/>
      <c r="E34" s="648"/>
      <c r="F34" s="648"/>
      <c r="G34" s="631"/>
      <c r="L34" s="631"/>
      <c r="M34" s="631"/>
      <c r="N34" s="631"/>
      <c r="O34" s="631"/>
      <c r="P34" s="659"/>
      <c r="Q34" s="631"/>
      <c r="R34" s="640"/>
    </row>
    <row r="35" spans="1:18">
      <c r="A35" s="639"/>
      <c r="B35" s="660"/>
      <c r="C35" s="631" t="s">
        <v>649</v>
      </c>
      <c r="D35" s="631"/>
      <c r="E35" s="648"/>
      <c r="F35" s="648"/>
      <c r="G35" s="631"/>
      <c r="L35" s="631"/>
      <c r="M35" s="661"/>
      <c r="N35" s="660"/>
      <c r="Q35" s="638"/>
      <c r="R35" s="631" t="s">
        <v>5</v>
      </c>
    </row>
    <row r="36" spans="1:18">
      <c r="A36" s="639" t="s">
        <v>650</v>
      </c>
      <c r="B36" s="660"/>
      <c r="C36" s="631" t="s">
        <v>466</v>
      </c>
      <c r="D36" s="631"/>
      <c r="E36" s="648" t="s">
        <v>651</v>
      </c>
      <c r="F36" s="648"/>
      <c r="G36" s="649">
        <f>'Attachment O'!I198</f>
        <v>106386061.30026837</v>
      </c>
      <c r="L36" s="631"/>
      <c r="M36" s="661"/>
      <c r="N36" s="660"/>
      <c r="Q36" s="638"/>
      <c r="R36" s="631"/>
    </row>
    <row r="37" spans="1:18">
      <c r="A37" s="639" t="s">
        <v>652</v>
      </c>
      <c r="B37" s="660"/>
      <c r="C37" s="631" t="s">
        <v>653</v>
      </c>
      <c r="D37" s="631"/>
      <c r="E37" s="648" t="s">
        <v>654</v>
      </c>
      <c r="F37" s="648"/>
      <c r="G37" s="650">
        <f>IF(G36=0,0,G36/G19)</f>
        <v>3.1355776256083989E-2</v>
      </c>
      <c r="L37" s="651">
        <f>G37</f>
        <v>3.1355776256083989E-2</v>
      </c>
      <c r="M37" s="661"/>
      <c r="N37" s="660"/>
      <c r="O37" s="631"/>
      <c r="P37" s="631"/>
      <c r="Q37" s="638"/>
      <c r="R37" s="631"/>
    </row>
    <row r="38" spans="1:18">
      <c r="A38" s="639"/>
      <c r="C38" s="631"/>
      <c r="D38" s="631"/>
      <c r="E38" s="648"/>
      <c r="F38" s="648"/>
      <c r="G38" s="631"/>
      <c r="L38" s="631"/>
      <c r="M38" s="631"/>
      <c r="O38" s="629"/>
      <c r="P38" s="631"/>
      <c r="Q38" s="629"/>
      <c r="R38" s="640"/>
    </row>
    <row r="39" spans="1:18">
      <c r="A39" s="639"/>
      <c r="C39" s="640" t="s">
        <v>468</v>
      </c>
      <c r="D39" s="640"/>
      <c r="E39" s="662"/>
      <c r="F39" s="662"/>
      <c r="M39" s="631"/>
      <c r="O39" s="631"/>
      <c r="P39" s="631"/>
      <c r="Q39" s="631"/>
      <c r="R39" s="640"/>
    </row>
    <row r="40" spans="1:18">
      <c r="A40" s="639" t="s">
        <v>655</v>
      </c>
      <c r="C40" s="640" t="s">
        <v>656</v>
      </c>
      <c r="D40" s="640"/>
      <c r="E40" s="648" t="s">
        <v>657</v>
      </c>
      <c r="F40" s="648"/>
      <c r="G40" s="649">
        <f>'Attachment O'!I200</f>
        <v>212127192.47420728</v>
      </c>
      <c r="L40" s="631"/>
      <c r="M40" s="631"/>
      <c r="O40" s="631"/>
      <c r="P40" s="631"/>
      <c r="Q40" s="631"/>
      <c r="R40" s="640"/>
    </row>
    <row r="41" spans="1:18">
      <c r="A41" s="639" t="s">
        <v>658</v>
      </c>
      <c r="B41" s="660"/>
      <c r="C41" s="631" t="s">
        <v>659</v>
      </c>
      <c r="D41" s="631"/>
      <c r="E41" s="648" t="s">
        <v>660</v>
      </c>
      <c r="F41" s="648"/>
      <c r="G41" s="651">
        <f>IF(G40=0,0,G40/G19)</f>
        <v>6.252146854350861E-2</v>
      </c>
      <c r="L41" s="651">
        <f>G41</f>
        <v>6.252146854350861E-2</v>
      </c>
      <c r="M41" s="631"/>
      <c r="P41" s="663"/>
      <c r="Q41" s="638"/>
      <c r="R41" s="631"/>
    </row>
    <row r="42" spans="1:18">
      <c r="A42" s="639"/>
      <c r="C42" s="640"/>
      <c r="D42" s="640"/>
      <c r="E42" s="648"/>
      <c r="F42" s="648"/>
      <c r="G42" s="631"/>
      <c r="L42" s="631"/>
      <c r="M42" s="631"/>
      <c r="N42" s="662"/>
      <c r="O42" s="631"/>
      <c r="P42" s="631"/>
      <c r="Q42" s="631"/>
      <c r="R42" s="640"/>
    </row>
    <row r="43" spans="1:18" ht="15.75">
      <c r="A43" s="656" t="s">
        <v>661</v>
      </c>
      <c r="B43" s="657"/>
      <c r="C43" s="645" t="s">
        <v>662</v>
      </c>
      <c r="D43" s="645"/>
      <c r="E43" s="641" t="s">
        <v>663</v>
      </c>
      <c r="F43" s="641"/>
      <c r="G43" s="653"/>
      <c r="L43" s="658">
        <f>L37+L41</f>
        <v>9.3877244799592599E-2</v>
      </c>
      <c r="M43" s="631"/>
      <c r="N43" s="662"/>
      <c r="O43" s="631"/>
      <c r="P43" s="631"/>
      <c r="Q43" s="631"/>
      <c r="R43" s="640"/>
    </row>
    <row r="44" spans="1:18">
      <c r="M44" s="664"/>
      <c r="N44" s="664"/>
      <c r="O44" s="631"/>
      <c r="P44" s="631"/>
      <c r="Q44" s="631"/>
      <c r="R44" s="640"/>
    </row>
    <row r="45" spans="1:18">
      <c r="M45" s="664"/>
      <c r="N45" s="664"/>
      <c r="O45" s="631"/>
      <c r="P45" s="631"/>
      <c r="Q45" s="631"/>
      <c r="R45" s="640"/>
    </row>
    <row r="46" spans="1:18">
      <c r="M46" s="664"/>
      <c r="N46" s="664"/>
      <c r="O46" s="631"/>
      <c r="P46" s="631"/>
      <c r="Q46" s="631"/>
      <c r="R46" s="640"/>
    </row>
    <row r="47" spans="1:18">
      <c r="M47" s="629"/>
      <c r="N47" s="629"/>
      <c r="O47" s="640"/>
      <c r="P47" s="640"/>
      <c r="Q47" s="640"/>
      <c r="R47" s="640"/>
    </row>
    <row r="48" spans="1:18">
      <c r="M48" s="631"/>
      <c r="N48" s="631"/>
      <c r="O48" s="631"/>
      <c r="P48" s="629"/>
      <c r="Q48" s="631"/>
      <c r="R48" s="640"/>
    </row>
    <row r="49" spans="1:18" ht="15.75">
      <c r="M49" s="631"/>
      <c r="N49" s="652"/>
      <c r="O49" s="631"/>
      <c r="P49" s="631"/>
      <c r="Q49" s="648"/>
      <c r="R49" s="631"/>
    </row>
    <row r="50" spans="1:18" ht="15.75">
      <c r="M50" s="631"/>
      <c r="N50" s="652"/>
      <c r="O50" s="631"/>
      <c r="P50" s="631"/>
      <c r="Q50" s="648"/>
      <c r="R50" s="631"/>
    </row>
    <row r="51" spans="1:18" ht="15.75">
      <c r="M51" s="631"/>
      <c r="N51" s="652"/>
      <c r="O51" s="631"/>
      <c r="P51" s="631"/>
      <c r="Q51" s="648"/>
      <c r="R51" s="631"/>
    </row>
    <row r="52" spans="1:18" ht="15.75">
      <c r="A52" s="639"/>
      <c r="B52" s="660"/>
      <c r="E52" s="655"/>
      <c r="F52" s="655"/>
      <c r="G52" s="631"/>
      <c r="J52" s="650"/>
      <c r="L52" s="631"/>
      <c r="M52" s="631"/>
      <c r="N52" s="652"/>
      <c r="O52" s="631"/>
      <c r="P52" s="631"/>
      <c r="Q52" s="648"/>
      <c r="R52" s="631"/>
    </row>
    <row r="53" spans="1:18" ht="15.75">
      <c r="A53" s="639"/>
      <c r="B53" s="660"/>
      <c r="E53" s="655"/>
      <c r="F53" s="655"/>
      <c r="G53" s="631"/>
      <c r="J53" s="650"/>
      <c r="L53" s="631"/>
      <c r="M53" s="631"/>
      <c r="N53" s="652"/>
      <c r="O53" s="631"/>
      <c r="P53" s="631"/>
      <c r="Q53" s="648"/>
      <c r="R53" s="631"/>
    </row>
    <row r="54" spans="1:18">
      <c r="A54" s="665"/>
      <c r="C54" s="639"/>
      <c r="D54" s="639"/>
      <c r="E54" s="655"/>
      <c r="F54" s="655"/>
      <c r="G54" s="631"/>
      <c r="J54" s="650"/>
      <c r="M54" s="631"/>
      <c r="N54" s="666"/>
      <c r="O54" s="666"/>
      <c r="P54" s="631"/>
      <c r="Q54" s="648"/>
      <c r="R54" s="631"/>
    </row>
    <row r="55" spans="1:18" ht="15.75">
      <c r="A55" s="665"/>
      <c r="C55" s="639"/>
      <c r="D55" s="639"/>
      <c r="E55" s="655"/>
      <c r="F55" s="655"/>
      <c r="G55" s="631"/>
      <c r="J55" s="650"/>
      <c r="M55" s="631"/>
      <c r="N55" s="652"/>
      <c r="O55" s="666"/>
      <c r="P55" s="631"/>
      <c r="Q55" s="648"/>
      <c r="R55" s="631"/>
    </row>
    <row r="56" spans="1:18" ht="15.75">
      <c r="A56" s="665"/>
      <c r="C56" s="639"/>
      <c r="D56" s="639"/>
      <c r="E56" s="655"/>
      <c r="F56" s="655"/>
      <c r="G56" s="631"/>
      <c r="J56" s="650"/>
      <c r="M56" s="631"/>
      <c r="N56" s="652"/>
      <c r="O56" s="666"/>
      <c r="P56" s="631"/>
      <c r="Q56" s="648"/>
      <c r="R56" s="631"/>
    </row>
    <row r="57" spans="1:18">
      <c r="A57" s="633"/>
      <c r="G57" s="631"/>
      <c r="M57" s="631"/>
      <c r="N57" s="631"/>
      <c r="O57" s="631"/>
      <c r="P57" s="631"/>
      <c r="Q57" s="638"/>
      <c r="R57" s="631" t="s">
        <v>5</v>
      </c>
    </row>
    <row r="58" spans="1:18">
      <c r="N58" s="625"/>
    </row>
    <row r="59" spans="1:18">
      <c r="N59" s="625"/>
    </row>
    <row r="61" spans="1:18">
      <c r="A61" s="633"/>
      <c r="G61" s="631"/>
      <c r="M61" s="631"/>
      <c r="N61" s="625" t="str">
        <f>N4</f>
        <v>Attachment GG - Generic Company</v>
      </c>
      <c r="O61" s="631"/>
      <c r="P61" s="629"/>
      <c r="Q61" s="631"/>
      <c r="R61" s="640"/>
    </row>
    <row r="62" spans="1:18">
      <c r="A62" s="633"/>
      <c r="C62" s="640" t="str">
        <f>C5</f>
        <v>Formula Rate calculation</v>
      </c>
      <c r="D62" s="640"/>
      <c r="G62" s="624" t="str">
        <f>G5</f>
        <v xml:space="preserve">     Rate Formula Template</v>
      </c>
      <c r="M62" s="631"/>
      <c r="N62" s="625" t="str">
        <f>N5</f>
        <v>For  the 12 months ended 12/31/2018</v>
      </c>
      <c r="O62" s="631"/>
      <c r="P62" s="629"/>
      <c r="Q62" s="631"/>
      <c r="R62" s="640"/>
    </row>
    <row r="63" spans="1:18">
      <c r="A63" s="633"/>
      <c r="C63" s="640"/>
      <c r="D63" s="640"/>
      <c r="G63" s="624" t="str">
        <f>G6</f>
        <v xml:space="preserve"> Utilizing Attachment O Data</v>
      </c>
      <c r="L63" s="631"/>
      <c r="M63" s="631"/>
      <c r="O63" s="631"/>
      <c r="P63" s="629"/>
      <c r="Q63" s="631"/>
      <c r="R63" s="640"/>
    </row>
    <row r="64" spans="1:18" ht="14.25" customHeight="1">
      <c r="A64" s="633"/>
      <c r="M64" s="631"/>
      <c r="N64" s="624" t="s">
        <v>664</v>
      </c>
      <c r="O64" s="631"/>
      <c r="P64" s="629"/>
      <c r="Q64" s="631"/>
      <c r="R64" s="640"/>
    </row>
    <row r="65" spans="1:21">
      <c r="A65" s="633"/>
      <c r="G65" s="624" t="str">
        <f>G8</f>
        <v>Northern States Power Companies</v>
      </c>
      <c r="M65" s="631"/>
      <c r="N65" s="631"/>
      <c r="O65" s="631"/>
      <c r="P65" s="629"/>
      <c r="Q65" s="631"/>
      <c r="R65" s="640"/>
    </row>
    <row r="66" spans="1:21">
      <c r="A66" s="633"/>
      <c r="E66" s="640"/>
      <c r="F66" s="640"/>
      <c r="G66" s="640"/>
      <c r="H66" s="640"/>
      <c r="I66" s="640"/>
      <c r="J66" s="640"/>
      <c r="K66" s="640"/>
      <c r="L66" s="640"/>
      <c r="M66" s="640"/>
      <c r="N66" s="640"/>
      <c r="O66" s="631"/>
      <c r="P66" s="629"/>
      <c r="Q66" s="631"/>
      <c r="R66" s="640"/>
    </row>
    <row r="67" spans="1:21" ht="15.75">
      <c r="A67" s="633"/>
      <c r="E67" s="645" t="s">
        <v>665</v>
      </c>
      <c r="F67" s="645"/>
      <c r="H67" s="629"/>
      <c r="I67" s="629"/>
      <c r="J67" s="629"/>
      <c r="K67" s="629"/>
      <c r="L67" s="629"/>
      <c r="M67" s="631"/>
      <c r="N67" s="631"/>
      <c r="O67" s="631"/>
      <c r="P67" s="629"/>
      <c r="Q67" s="631"/>
      <c r="R67" s="640"/>
    </row>
    <row r="68" spans="1:21" ht="15.75">
      <c r="A68" s="633"/>
      <c r="E68" s="645"/>
      <c r="F68" s="645"/>
      <c r="H68" s="629"/>
      <c r="I68" s="629"/>
      <c r="J68" s="629"/>
      <c r="K68" s="629"/>
      <c r="L68" s="629"/>
      <c r="M68" s="631"/>
      <c r="N68" s="631"/>
      <c r="O68" s="631"/>
      <c r="P68" s="629"/>
      <c r="Q68" s="631"/>
      <c r="R68" s="640"/>
    </row>
    <row r="69" spans="1:21" ht="15.75">
      <c r="A69" s="633"/>
      <c r="C69" s="667">
        <v>-1</v>
      </c>
      <c r="D69" s="667">
        <v>-2</v>
      </c>
      <c r="E69" s="667">
        <v>-3</v>
      </c>
      <c r="F69" s="667">
        <v>-4</v>
      </c>
      <c r="G69" s="667">
        <v>-5</v>
      </c>
      <c r="H69" s="667">
        <v>-6</v>
      </c>
      <c r="I69" s="667">
        <v>-7</v>
      </c>
      <c r="J69" s="667">
        <v>-8</v>
      </c>
      <c r="K69" s="667">
        <v>-9</v>
      </c>
      <c r="L69" s="667">
        <v>-10</v>
      </c>
      <c r="M69" s="667">
        <v>-11</v>
      </c>
      <c r="N69" s="667">
        <v>-12</v>
      </c>
      <c r="O69" s="631"/>
      <c r="P69" s="629"/>
      <c r="Q69" s="631"/>
      <c r="R69" s="640"/>
    </row>
    <row r="70" spans="1:21" ht="63">
      <c r="A70" s="668" t="s">
        <v>146</v>
      </c>
      <c r="B70" s="669"/>
      <c r="C70" s="669" t="s">
        <v>666</v>
      </c>
      <c r="D70" s="670" t="s">
        <v>667</v>
      </c>
      <c r="E70" s="671" t="s">
        <v>668</v>
      </c>
      <c r="F70" s="671" t="s">
        <v>647</v>
      </c>
      <c r="G70" s="672" t="s">
        <v>669</v>
      </c>
      <c r="H70" s="671" t="s">
        <v>670</v>
      </c>
      <c r="I70" s="671" t="s">
        <v>662</v>
      </c>
      <c r="J70" s="672" t="s">
        <v>671</v>
      </c>
      <c r="K70" s="671" t="s">
        <v>672</v>
      </c>
      <c r="L70" s="673" t="s">
        <v>673</v>
      </c>
      <c r="M70" s="674" t="s">
        <v>674</v>
      </c>
      <c r="N70" s="673" t="s">
        <v>675</v>
      </c>
      <c r="O70" s="653"/>
      <c r="P70" s="629"/>
      <c r="Q70" s="631"/>
      <c r="R70" s="640"/>
    </row>
    <row r="71" spans="1:21" ht="46.5" customHeight="1">
      <c r="A71" s="675"/>
      <c r="B71" s="676"/>
      <c r="C71" s="676"/>
      <c r="D71" s="676"/>
      <c r="E71" s="677" t="s">
        <v>313</v>
      </c>
      <c r="F71" s="677" t="s">
        <v>676</v>
      </c>
      <c r="G71" s="678" t="s">
        <v>677</v>
      </c>
      <c r="H71" s="677" t="s">
        <v>316</v>
      </c>
      <c r="I71" s="677" t="s">
        <v>678</v>
      </c>
      <c r="J71" s="678" t="s">
        <v>679</v>
      </c>
      <c r="K71" s="677" t="s">
        <v>335</v>
      </c>
      <c r="L71" s="678" t="s">
        <v>680</v>
      </c>
      <c r="M71" s="679" t="s">
        <v>681</v>
      </c>
      <c r="N71" s="680" t="s">
        <v>682</v>
      </c>
      <c r="O71" s="631"/>
      <c r="P71" s="629"/>
      <c r="Q71" s="631"/>
      <c r="R71" s="640"/>
    </row>
    <row r="72" spans="1:21">
      <c r="A72" s="681"/>
      <c r="B72" s="629"/>
      <c r="C72" s="629"/>
      <c r="D72" s="629"/>
      <c r="E72" s="629"/>
      <c r="F72" s="629"/>
      <c r="G72" s="682"/>
      <c r="H72" s="629"/>
      <c r="I72" s="629"/>
      <c r="J72" s="682"/>
      <c r="K72" s="629"/>
      <c r="L72" s="682"/>
      <c r="M72" s="631"/>
      <c r="N72" s="683"/>
      <c r="O72" s="631"/>
      <c r="P72" s="629"/>
      <c r="Q72" s="631"/>
      <c r="R72" s="640"/>
    </row>
    <row r="73" spans="1:21">
      <c r="A73" s="684" t="s">
        <v>421</v>
      </c>
      <c r="C73" s="624" t="s">
        <v>179</v>
      </c>
      <c r="D73" s="624" t="s">
        <v>220</v>
      </c>
      <c r="E73" s="1062">
        <f>'Attach GG Support Data '!C23</f>
        <v>7072818.700000002</v>
      </c>
      <c r="F73" s="651">
        <f>$L$33</f>
        <v>3.0304542144899499E-2</v>
      </c>
      <c r="G73" s="686">
        <f>E73*F73</f>
        <v>214338.53237738335</v>
      </c>
      <c r="H73" s="1062">
        <f>'Attach GG Support Data '!C56</f>
        <v>5192065.5200000042</v>
      </c>
      <c r="I73" s="651">
        <f>$L$43</f>
        <v>9.3877244799592599E-2</v>
      </c>
      <c r="J73" s="686">
        <f>H73*I73</f>
        <v>487416.80583656445</v>
      </c>
      <c r="K73" s="1063">
        <f>'Attach GG Support Data '!C59</f>
        <v>185753.40000000002</v>
      </c>
      <c r="L73" s="686">
        <f>G73+J73+K73</f>
        <v>887508.73821394786</v>
      </c>
      <c r="M73" s="1062">
        <v>-39602.660000000003</v>
      </c>
      <c r="N73" s="686">
        <f>L73+M73</f>
        <v>847906.07821394783</v>
      </c>
      <c r="O73" s="688"/>
      <c r="P73" s="688" t="s">
        <v>220</v>
      </c>
      <c r="Q73" s="1067"/>
      <c r="R73" s="688"/>
      <c r="S73" s="688"/>
      <c r="T73" s="688"/>
      <c r="U73" s="688"/>
    </row>
    <row r="74" spans="1:21">
      <c r="A74" s="684" t="s">
        <v>683</v>
      </c>
      <c r="C74" s="624" t="s">
        <v>180</v>
      </c>
      <c r="D74" s="624" t="s">
        <v>221</v>
      </c>
      <c r="E74" s="1062">
        <f>'Attach GG Support Data '!D23</f>
        <v>3487897.5099999984</v>
      </c>
      <c r="F74" s="651">
        <f>$L$33</f>
        <v>3.0304542144899499E-2</v>
      </c>
      <c r="G74" s="686">
        <f>E74*F74</f>
        <v>105699.13708888498</v>
      </c>
      <c r="H74" s="1062">
        <f>'Attach GG Support Data '!D56</f>
        <v>2568054.7299999977</v>
      </c>
      <c r="I74" s="651">
        <f>$L$43</f>
        <v>9.3877244799592599E-2</v>
      </c>
      <c r="J74" s="686">
        <f>H74*I74</f>
        <v>241081.90254696144</v>
      </c>
      <c r="K74" s="1063">
        <f>'Attach GG Support Data '!D59</f>
        <v>91602.60000000002</v>
      </c>
      <c r="L74" s="686">
        <f>G74+J74+K74</f>
        <v>438383.63963584643</v>
      </c>
      <c r="M74" s="1062">
        <v>-19565.810000000001</v>
      </c>
      <c r="N74" s="686">
        <f>L74+M74</f>
        <v>418817.82963584643</v>
      </c>
      <c r="O74" s="688"/>
      <c r="P74" s="688" t="s">
        <v>221</v>
      </c>
      <c r="Q74" s="1067"/>
      <c r="R74" s="688"/>
      <c r="S74" s="688"/>
      <c r="T74" s="688"/>
      <c r="U74" s="688"/>
    </row>
    <row r="75" spans="1:21">
      <c r="A75" s="684" t="s">
        <v>684</v>
      </c>
      <c r="C75" s="624" t="s">
        <v>181</v>
      </c>
      <c r="D75" s="624" t="s">
        <v>222</v>
      </c>
      <c r="E75" s="1062">
        <f>'Attach GG Support Data '!E23</f>
        <v>4462295.25</v>
      </c>
      <c r="F75" s="651">
        <f>$L$33</f>
        <v>3.0304542144899499E-2</v>
      </c>
      <c r="G75" s="686">
        <f>E75*F75</f>
        <v>135227.81446660985</v>
      </c>
      <c r="H75" s="1062">
        <f>'Attach GG Support Data '!E56</f>
        <v>3578462.7450000006</v>
      </c>
      <c r="I75" s="651">
        <f>$L$43</f>
        <v>9.3877244799592599E-2</v>
      </c>
      <c r="J75" s="686">
        <f>H75*I75</f>
        <v>335936.22311858716</v>
      </c>
      <c r="K75" s="1063">
        <f>'Attach GG Support Data '!E59</f>
        <v>117193.25999999997</v>
      </c>
      <c r="L75" s="686">
        <f>G75+J75+K75</f>
        <v>588357.29758519703</v>
      </c>
      <c r="M75" s="1062">
        <v>-26432.869999999901</v>
      </c>
      <c r="N75" s="686">
        <f>L75+M75</f>
        <v>561924.42758519715</v>
      </c>
      <c r="O75" s="688"/>
      <c r="P75" s="688" t="s">
        <v>222</v>
      </c>
      <c r="Q75" s="1067"/>
      <c r="R75" s="688"/>
      <c r="S75" s="688"/>
      <c r="T75" s="688"/>
      <c r="U75" s="688"/>
    </row>
    <row r="76" spans="1:21">
      <c r="A76" s="684" t="s">
        <v>685</v>
      </c>
      <c r="C76" s="624" t="s">
        <v>182</v>
      </c>
      <c r="D76" s="624" t="s">
        <v>223</v>
      </c>
      <c r="E76" s="1062">
        <f>'Attach GG Support Data '!F23</f>
        <v>7706681.2699999968</v>
      </c>
      <c r="F76" s="651">
        <f t="shared" ref="F76:F91" si="0">$L$33</f>
        <v>3.0304542144899499E-2</v>
      </c>
      <c r="G76" s="686">
        <f t="shared" ref="G76:G86" si="1">E76*F76</f>
        <v>233547.44734402248</v>
      </c>
      <c r="H76" s="1062">
        <f>'Attach GG Support Data '!F56</f>
        <v>6180244.0100000016</v>
      </c>
      <c r="I76" s="651">
        <f t="shared" ref="I76:I91" si="2">$L$43</f>
        <v>9.3877244799592599E-2</v>
      </c>
      <c r="J76" s="686">
        <f t="shared" ref="J76:J86" si="3">H76*I76</f>
        <v>580184.27984798595</v>
      </c>
      <c r="K76" s="1063">
        <f>'Attach GG Support Data '!F59</f>
        <v>202400.51999999993</v>
      </c>
      <c r="L76" s="686">
        <f t="shared" ref="L76:L86" si="4">G76+J76+K76</f>
        <v>1016132.2471920083</v>
      </c>
      <c r="M76" s="1062">
        <v>-41964.480000000003</v>
      </c>
      <c r="N76" s="686">
        <f t="shared" ref="N76:N86" si="5">L76+M76</f>
        <v>974167.76719200832</v>
      </c>
      <c r="O76" s="688"/>
      <c r="P76" s="688" t="s">
        <v>223</v>
      </c>
      <c r="Q76" s="1067"/>
      <c r="R76" s="688"/>
      <c r="S76" s="688"/>
      <c r="T76" s="688"/>
      <c r="U76" s="688"/>
    </row>
    <row r="77" spans="1:21">
      <c r="A77" s="684" t="s">
        <v>686</v>
      </c>
      <c r="C77" s="624" t="s">
        <v>687</v>
      </c>
      <c r="D77" s="624" t="s">
        <v>224</v>
      </c>
      <c r="E77" s="1062">
        <f>'Attach GG Support Data '!G23</f>
        <v>30126267.810000006</v>
      </c>
      <c r="F77" s="651">
        <f t="shared" si="0"/>
        <v>3.0304542144899499E-2</v>
      </c>
      <c r="G77" s="686">
        <f t="shared" si="1"/>
        <v>912962.75251667434</v>
      </c>
      <c r="H77" s="1062">
        <f>'Attach GG Support Data '!G56</f>
        <v>26661898.922961928</v>
      </c>
      <c r="I77" s="651">
        <f t="shared" si="2"/>
        <v>9.3877244799592599E-2</v>
      </c>
      <c r="J77" s="686">
        <f t="shared" si="3"/>
        <v>2502945.6120128911</v>
      </c>
      <c r="K77" s="1063">
        <f>'Attach GG Support Data '!G59</f>
        <v>603049.81048023666</v>
      </c>
      <c r="L77" s="686">
        <f t="shared" si="4"/>
        <v>4018958.175009802</v>
      </c>
      <c r="M77" s="1062">
        <v>-172551.64</v>
      </c>
      <c r="N77" s="686">
        <f t="shared" si="5"/>
        <v>3846406.5350098019</v>
      </c>
      <c r="O77" s="688"/>
      <c r="P77" s="688" t="s">
        <v>224</v>
      </c>
      <c r="Q77" s="1067"/>
      <c r="R77" s="688"/>
      <c r="S77" s="688"/>
      <c r="T77" s="688"/>
      <c r="U77" s="688"/>
    </row>
    <row r="78" spans="1:21">
      <c r="A78" s="684" t="s">
        <v>688</v>
      </c>
      <c r="C78" s="624" t="s">
        <v>689</v>
      </c>
      <c r="D78" s="624" t="s">
        <v>690</v>
      </c>
      <c r="E78" s="1062">
        <f>'Attach GG Support Data '!H23</f>
        <v>206670773.8583999</v>
      </c>
      <c r="F78" s="651">
        <f t="shared" si="0"/>
        <v>3.0304542144899499E-2</v>
      </c>
      <c r="G78" s="686">
        <f t="shared" si="1"/>
        <v>6263063.1765108733</v>
      </c>
      <c r="H78" s="1062">
        <f>'Attach GG Support Data '!H56</f>
        <v>190536204.25139543</v>
      </c>
      <c r="I78" s="651">
        <f t="shared" si="2"/>
        <v>9.3877244799592599E-2</v>
      </c>
      <c r="J78" s="686">
        <f t="shared" si="3"/>
        <v>17887013.889693424</v>
      </c>
      <c r="K78" s="1063">
        <f>'Attach GG Support Data '!H59</f>
        <v>3969462.8379331431</v>
      </c>
      <c r="L78" s="686">
        <f t="shared" si="4"/>
        <v>28119539.90413744</v>
      </c>
      <c r="M78" s="1062">
        <v>-1989173.40865486</v>
      </c>
      <c r="N78" s="686">
        <f t="shared" si="5"/>
        <v>26130366.495482579</v>
      </c>
      <c r="O78" s="688"/>
      <c r="P78" s="688" t="s">
        <v>690</v>
      </c>
      <c r="Q78" s="1067"/>
      <c r="R78" s="688"/>
      <c r="S78" s="688"/>
      <c r="T78" s="688"/>
      <c r="U78" s="688"/>
    </row>
    <row r="79" spans="1:21">
      <c r="A79" s="684" t="s">
        <v>691</v>
      </c>
      <c r="C79" s="624" t="s">
        <v>692</v>
      </c>
      <c r="D79" s="624" t="s">
        <v>693</v>
      </c>
      <c r="E79" s="1062">
        <f>'Attach GG Support Data '!I23</f>
        <v>219435710.14915201</v>
      </c>
      <c r="F79" s="651">
        <f t="shared" si="0"/>
        <v>3.0304542144899499E-2</v>
      </c>
      <c r="G79" s="686">
        <f t="shared" si="1"/>
        <v>6649898.7263109274</v>
      </c>
      <c r="H79" s="1062">
        <f>'Attach GG Support Data '!I56</f>
        <v>206836102.57730082</v>
      </c>
      <c r="I79" s="651">
        <f t="shared" si="2"/>
        <v>9.3877244799592599E-2</v>
      </c>
      <c r="J79" s="686">
        <f t="shared" si="3"/>
        <v>19417203.435042914</v>
      </c>
      <c r="K79" s="1063">
        <f>'Attach GG Support Data '!I59</f>
        <v>4270904.0881230468</v>
      </c>
      <c r="L79" s="686">
        <f t="shared" si="4"/>
        <v>30338006.249476887</v>
      </c>
      <c r="M79" s="1062">
        <v>-2548190.41</v>
      </c>
      <c r="N79" s="686">
        <f t="shared" si="5"/>
        <v>27789815.839476887</v>
      </c>
      <c r="O79" s="688"/>
      <c r="P79" s="688" t="s">
        <v>693</v>
      </c>
      <c r="Q79" s="1067"/>
      <c r="R79" s="688"/>
      <c r="S79" s="688"/>
      <c r="T79" s="688"/>
      <c r="U79" s="688"/>
    </row>
    <row r="80" spans="1:21">
      <c r="A80" s="684" t="s">
        <v>694</v>
      </c>
      <c r="C80" s="624" t="s">
        <v>195</v>
      </c>
      <c r="D80" s="624" t="s">
        <v>225</v>
      </c>
      <c r="E80" s="1062">
        <f>'Attach GG Support Data '!J23</f>
        <v>468201.81000000023</v>
      </c>
      <c r="F80" s="651">
        <f t="shared" si="0"/>
        <v>3.0304542144899499E-2</v>
      </c>
      <c r="G80" s="686">
        <f t="shared" si="1"/>
        <v>14188.641483463234</v>
      </c>
      <c r="H80" s="1062">
        <f>'Attach GG Support Data '!J56</f>
        <v>375643.92000000022</v>
      </c>
      <c r="I80" s="651">
        <f t="shared" si="2"/>
        <v>9.3877244799592599E-2</v>
      </c>
      <c r="J80" s="686">
        <f t="shared" si="3"/>
        <v>35264.416235318597</v>
      </c>
      <c r="K80" s="1063">
        <f>'Attach GG Support Data '!J59</f>
        <v>12296.400000000003</v>
      </c>
      <c r="L80" s="686">
        <f t="shared" si="4"/>
        <v>61749.457718781829</v>
      </c>
      <c r="M80" s="1062">
        <v>-2773.1399999999899</v>
      </c>
      <c r="N80" s="686">
        <f t="shared" si="5"/>
        <v>58976.317718781836</v>
      </c>
      <c r="O80" s="688"/>
      <c r="P80" s="688" t="s">
        <v>225</v>
      </c>
      <c r="Q80" s="1067"/>
      <c r="R80" s="688"/>
      <c r="S80" s="688"/>
      <c r="T80" s="688"/>
      <c r="U80" s="688"/>
    </row>
    <row r="81" spans="1:21">
      <c r="A81" s="684" t="s">
        <v>695</v>
      </c>
      <c r="C81" s="624" t="s">
        <v>196</v>
      </c>
      <c r="D81" s="624" t="s">
        <v>226</v>
      </c>
      <c r="E81" s="1062">
        <f>'Attach GG Support Data '!K23</f>
        <v>127736.33000000006</v>
      </c>
      <c r="F81" s="651">
        <f t="shared" si="0"/>
        <v>3.0304542144899499E-2</v>
      </c>
      <c r="G81" s="686">
        <f t="shared" si="1"/>
        <v>3870.9909959197921</v>
      </c>
      <c r="H81" s="1062">
        <f>'Attach GG Support Data '!K56</f>
        <v>98008.849999999962</v>
      </c>
      <c r="I81" s="651">
        <f t="shared" si="2"/>
        <v>9.3877244799592599E-2</v>
      </c>
      <c r="J81" s="686">
        <f t="shared" si="3"/>
        <v>9200.8008039765482</v>
      </c>
      <c r="K81" s="1063">
        <f>'Attach GG Support Data '!K59</f>
        <v>3354.72</v>
      </c>
      <c r="L81" s="686">
        <f t="shared" si="4"/>
        <v>16426.51179989634</v>
      </c>
      <c r="M81" s="1062">
        <v>-736.15</v>
      </c>
      <c r="N81" s="686">
        <f t="shared" si="5"/>
        <v>15690.36179989634</v>
      </c>
      <c r="O81" s="688"/>
      <c r="P81" s="688" t="s">
        <v>226</v>
      </c>
      <c r="Q81" s="1067"/>
      <c r="R81" s="688"/>
      <c r="S81" s="688"/>
      <c r="T81" s="688"/>
      <c r="U81" s="688"/>
    </row>
    <row r="82" spans="1:21">
      <c r="A82" s="684" t="s">
        <v>696</v>
      </c>
      <c r="C82" s="624" t="s">
        <v>206</v>
      </c>
      <c r="D82" s="624" t="s">
        <v>227</v>
      </c>
      <c r="E82" s="1062">
        <f>'Attach GG Support Data '!L23</f>
        <v>47486.62999999999</v>
      </c>
      <c r="F82" s="651">
        <f t="shared" si="0"/>
        <v>3.0304542144899499E-2</v>
      </c>
      <c r="G82" s="686">
        <f t="shared" si="1"/>
        <v>1439.0605801542486</v>
      </c>
      <c r="H82" s="1062">
        <f>'Attach GG Support Data '!L56</f>
        <v>34640.059999999969</v>
      </c>
      <c r="I82" s="651">
        <f t="shared" si="2"/>
        <v>9.3877244799592599E-2</v>
      </c>
      <c r="J82" s="686">
        <f t="shared" si="3"/>
        <v>3251.9133924925727</v>
      </c>
      <c r="K82" s="1063">
        <f>'Attach GG Support Data '!L59</f>
        <v>1118.04</v>
      </c>
      <c r="L82" s="686">
        <f t="shared" si="4"/>
        <v>5809.0139726468215</v>
      </c>
      <c r="M82" s="1062">
        <v>-257.64</v>
      </c>
      <c r="N82" s="686">
        <f t="shared" si="5"/>
        <v>5551.3739726468211</v>
      </c>
      <c r="O82" s="688"/>
      <c r="P82" s="688" t="s">
        <v>227</v>
      </c>
      <c r="Q82" s="1067"/>
      <c r="R82" s="688"/>
      <c r="S82" s="688"/>
      <c r="T82" s="688"/>
      <c r="U82" s="688"/>
    </row>
    <row r="83" spans="1:21">
      <c r="A83" s="684" t="s">
        <v>697</v>
      </c>
      <c r="C83" s="624" t="s">
        <v>207</v>
      </c>
      <c r="D83" s="624" t="s">
        <v>228</v>
      </c>
      <c r="E83" s="1062">
        <f>'Attach GG Support Data '!M23</f>
        <v>230828.43999999997</v>
      </c>
      <c r="F83" s="651">
        <f t="shared" si="0"/>
        <v>3.0304542144899499E-2</v>
      </c>
      <c r="G83" s="686">
        <f t="shared" si="1"/>
        <v>6995.1501882214043</v>
      </c>
      <c r="H83" s="1062">
        <f>'Attach GG Support Data '!M56</f>
        <v>180393.70999999996</v>
      </c>
      <c r="I83" s="651">
        <f t="shared" si="2"/>
        <v>9.3877244799592599E-2</v>
      </c>
      <c r="J83" s="686">
        <f t="shared" si="3"/>
        <v>16934.864473976711</v>
      </c>
      <c r="K83" s="1063">
        <f>'Attach GG Support Data '!M59</f>
        <v>4957.2000000000007</v>
      </c>
      <c r="L83" s="686">
        <f t="shared" si="4"/>
        <v>28887.214662198116</v>
      </c>
      <c r="M83" s="1062">
        <v>-1296.8699999999999</v>
      </c>
      <c r="N83" s="686">
        <f t="shared" si="5"/>
        <v>27590.344662198117</v>
      </c>
      <c r="O83" s="688"/>
      <c r="P83" s="688" t="s">
        <v>228</v>
      </c>
      <c r="Q83" s="1067"/>
      <c r="R83" s="688"/>
      <c r="S83" s="688"/>
      <c r="T83" s="688"/>
      <c r="U83" s="688"/>
    </row>
    <row r="84" spans="1:21">
      <c r="A84" s="684" t="s">
        <v>698</v>
      </c>
      <c r="C84" s="624" t="s">
        <v>699</v>
      </c>
      <c r="D84" s="624" t="s">
        <v>229</v>
      </c>
      <c r="E84" s="1062">
        <f>'Attach GG Support Data '!N23</f>
        <v>4271587.1000000006</v>
      </c>
      <c r="F84" s="651">
        <f t="shared" si="0"/>
        <v>3.0304542144899499E-2</v>
      </c>
      <c r="G84" s="686">
        <f t="shared" si="1"/>
        <v>129448.49129755904</v>
      </c>
      <c r="H84" s="1062">
        <f>'Attach GG Support Data '!N56</f>
        <v>3759904.7217588532</v>
      </c>
      <c r="I84" s="651">
        <f t="shared" si="2"/>
        <v>9.3877244799592599E-2</v>
      </c>
      <c r="J84" s="686">
        <f t="shared" si="3"/>
        <v>352969.49598769995</v>
      </c>
      <c r="K84" s="1063">
        <f>'Attach GG Support Data '!N59</f>
        <v>79739.568751429935</v>
      </c>
      <c r="L84" s="686">
        <f t="shared" si="4"/>
        <v>562157.55603668897</v>
      </c>
      <c r="M84" s="1062">
        <v>-20810.7</v>
      </c>
      <c r="N84" s="686">
        <f t="shared" si="5"/>
        <v>541346.85603668902</v>
      </c>
      <c r="O84" s="688"/>
      <c r="P84" s="688" t="s">
        <v>229</v>
      </c>
      <c r="Q84" s="1067"/>
      <c r="R84" s="688"/>
      <c r="S84" s="688"/>
      <c r="T84" s="688"/>
      <c r="U84" s="688"/>
    </row>
    <row r="85" spans="1:21">
      <c r="A85" s="684" t="s">
        <v>700</v>
      </c>
      <c r="C85" s="624" t="s">
        <v>701</v>
      </c>
      <c r="D85" s="624" t="s">
        <v>230</v>
      </c>
      <c r="E85" s="1062">
        <f>'Attach GG Support Data '!O23</f>
        <v>22200964.091915004</v>
      </c>
      <c r="F85" s="651">
        <f t="shared" si="0"/>
        <v>3.0304542144899499E-2</v>
      </c>
      <c r="G85" s="686">
        <f t="shared" si="1"/>
        <v>672790.05198083865</v>
      </c>
      <c r="H85" s="1062">
        <f>'Attach GG Support Data '!O56</f>
        <v>20015773.139697667</v>
      </c>
      <c r="I85" s="651">
        <f t="shared" si="2"/>
        <v>9.3877244799592599E-2</v>
      </c>
      <c r="J85" s="686">
        <f t="shared" si="3"/>
        <v>1879025.6348885081</v>
      </c>
      <c r="K85" s="1063">
        <f>'Attach GG Support Data '!O59</f>
        <v>448607.95164331066</v>
      </c>
      <c r="L85" s="686">
        <f t="shared" si="4"/>
        <v>3000423.638512657</v>
      </c>
      <c r="M85" s="1062">
        <v>-132699.39000000001</v>
      </c>
      <c r="N85" s="686">
        <f t="shared" si="5"/>
        <v>2867724.2485126569</v>
      </c>
      <c r="O85" s="688"/>
      <c r="P85" s="688" t="s">
        <v>230</v>
      </c>
      <c r="Q85" s="1067"/>
      <c r="R85" s="688"/>
      <c r="S85" s="688"/>
      <c r="T85" s="688"/>
      <c r="U85" s="688"/>
    </row>
    <row r="86" spans="1:21">
      <c r="A86" s="684" t="s">
        <v>702</v>
      </c>
      <c r="C86" s="624" t="s">
        <v>240</v>
      </c>
      <c r="D86" s="624" t="s">
        <v>239</v>
      </c>
      <c r="E86" s="1062">
        <f>'Attach GG Support Data '!P23</f>
        <v>309681</v>
      </c>
      <c r="F86" s="651">
        <f t="shared" si="0"/>
        <v>3.0304542144899499E-2</v>
      </c>
      <c r="G86" s="686">
        <f t="shared" si="1"/>
        <v>9384.7409159746221</v>
      </c>
      <c r="H86" s="1062">
        <f>'Attach GG Support Data '!P56</f>
        <v>246597.83500000008</v>
      </c>
      <c r="I86" s="651">
        <f t="shared" si="2"/>
        <v>9.3877244799592599E-2</v>
      </c>
      <c r="J86" s="686">
        <f t="shared" si="3"/>
        <v>23149.925323344552</v>
      </c>
      <c r="K86" s="1063">
        <f>'Attach GG Support Data '!P59</f>
        <v>8602.2500000000018</v>
      </c>
      <c r="L86" s="686">
        <f t="shared" si="4"/>
        <v>41136.916239319173</v>
      </c>
      <c r="M86" s="1062">
        <v>-595.17999999999904</v>
      </c>
      <c r="N86" s="686">
        <f t="shared" si="5"/>
        <v>40541.736239319172</v>
      </c>
      <c r="O86" s="688"/>
      <c r="P86" s="688" t="s">
        <v>239</v>
      </c>
      <c r="Q86" s="1067"/>
      <c r="R86" s="688"/>
      <c r="S86" s="688"/>
      <c r="T86" s="688"/>
      <c r="U86" s="688"/>
    </row>
    <row r="87" spans="1:21">
      <c r="A87" s="684" t="s">
        <v>703</v>
      </c>
      <c r="C87" s="624" t="s">
        <v>704</v>
      </c>
      <c r="D87" s="689" t="s">
        <v>231</v>
      </c>
      <c r="E87" s="1062">
        <f>'Attach GG Support Data '!Q23</f>
        <v>15310378.909999998</v>
      </c>
      <c r="F87" s="651">
        <f t="shared" si="0"/>
        <v>3.0304542144899499E-2</v>
      </c>
      <c r="G87" s="686">
        <f>E87*F87</f>
        <v>463974.02293247537</v>
      </c>
      <c r="H87" s="1062">
        <f>'Attach GG Support Data '!Q56</f>
        <v>14113484.663003532</v>
      </c>
      <c r="I87" s="651">
        <f t="shared" si="2"/>
        <v>9.3877244799592599E-2</v>
      </c>
      <c r="J87" s="686">
        <f>H87*I87</f>
        <v>1324935.0546840783</v>
      </c>
      <c r="K87" s="1063">
        <f>'Attach GG Support Data '!Q59</f>
        <v>319001.15637300047</v>
      </c>
      <c r="L87" s="686">
        <f>G87+J87+K87</f>
        <v>2107910.2339895545</v>
      </c>
      <c r="M87" s="1062">
        <v>-126207.51</v>
      </c>
      <c r="N87" s="686">
        <f>L87+M87</f>
        <v>1981702.7239895544</v>
      </c>
      <c r="O87" s="688"/>
      <c r="P87" s="688" t="s">
        <v>231</v>
      </c>
      <c r="Q87" s="1067"/>
      <c r="R87" s="688"/>
      <c r="S87" s="688"/>
      <c r="T87" s="688"/>
      <c r="U87" s="688"/>
    </row>
    <row r="88" spans="1:21">
      <c r="A88" s="684" t="s">
        <v>705</v>
      </c>
      <c r="C88" s="624" t="s">
        <v>706</v>
      </c>
      <c r="D88" s="689" t="s">
        <v>232</v>
      </c>
      <c r="E88" s="1062">
        <f>'Attach GG Support Data '!R23</f>
        <v>18711271.990000006</v>
      </c>
      <c r="F88" s="651">
        <f t="shared" si="0"/>
        <v>3.0304542144899499E-2</v>
      </c>
      <c r="G88" s="686">
        <f>E88*F88</f>
        <v>567036.5306056327</v>
      </c>
      <c r="H88" s="1062">
        <f>'Attach GG Support Data '!R56</f>
        <v>17401058.016887352</v>
      </c>
      <c r="I88" s="651">
        <f t="shared" si="2"/>
        <v>9.3877244799592599E-2</v>
      </c>
      <c r="J88" s="686">
        <f>H88*I88</f>
        <v>1633563.3832232472</v>
      </c>
      <c r="K88" s="1063">
        <f>'Attach GG Support Data '!R59</f>
        <v>375109.04953166709</v>
      </c>
      <c r="L88" s="686">
        <f>G88+J88+K88</f>
        <v>2575708.9633605471</v>
      </c>
      <c r="M88" s="1062">
        <v>-351322.99</v>
      </c>
      <c r="N88" s="686">
        <f>L88+M88</f>
        <v>2224385.9733605469</v>
      </c>
      <c r="O88" s="688"/>
      <c r="P88" s="688" t="s">
        <v>232</v>
      </c>
      <c r="Q88" s="1067"/>
      <c r="R88" s="688"/>
      <c r="S88" s="688"/>
      <c r="T88" s="688"/>
      <c r="U88" s="688"/>
    </row>
    <row r="89" spans="1:21">
      <c r="A89" s="684" t="s">
        <v>707</v>
      </c>
      <c r="C89" s="624" t="s">
        <v>257</v>
      </c>
      <c r="D89" s="899" t="s">
        <v>727</v>
      </c>
      <c r="E89" s="1062">
        <f>'Attach GG Support Data '!S23</f>
        <v>37116159.920000009</v>
      </c>
      <c r="F89" s="651">
        <f t="shared" si="0"/>
        <v>3.0304542144899499E-2</v>
      </c>
      <c r="G89" s="686">
        <f>E89*F89</f>
        <v>1124788.2325524699</v>
      </c>
      <c r="H89" s="1062">
        <f>'Attach GG Support Data '!S56</f>
        <v>35122890.630729184</v>
      </c>
      <c r="I89" s="651">
        <f t="shared" si="2"/>
        <v>9.3877244799592599E-2</v>
      </c>
      <c r="J89" s="686">
        <f>H89*I89</f>
        <v>3297240.2018102808</v>
      </c>
      <c r="K89" s="1063">
        <f>'Attach GG Support Data '!S59</f>
        <v>775571.36363223742</v>
      </c>
      <c r="L89" s="686">
        <f>G89+J89+K89</f>
        <v>5197599.797994988</v>
      </c>
      <c r="M89" s="1062">
        <v>-703121.59</v>
      </c>
      <c r="N89" s="686">
        <f>L89+M89</f>
        <v>4494478.2079949882</v>
      </c>
      <c r="O89" s="688"/>
      <c r="P89" s="688" t="s">
        <v>727</v>
      </c>
      <c r="Q89" s="1067"/>
      <c r="R89" s="688"/>
      <c r="S89" s="688"/>
      <c r="T89" s="688"/>
      <c r="U89" s="688"/>
    </row>
    <row r="90" spans="1:21">
      <c r="A90" s="1061" t="s">
        <v>705</v>
      </c>
      <c r="C90" s="624" t="s">
        <v>1095</v>
      </c>
      <c r="D90" s="899" t="s">
        <v>1006</v>
      </c>
      <c r="E90" s="1062">
        <f>'Attach GG Support Data '!T23</f>
        <v>672602.52000000037</v>
      </c>
      <c r="F90" s="651">
        <f t="shared" si="0"/>
        <v>3.0304542144899499E-2</v>
      </c>
      <c r="G90" s="686">
        <f>E90*F90</f>
        <v>20382.91141410562</v>
      </c>
      <c r="H90" s="1062">
        <f>'Attach GG Support Data '!T56</f>
        <v>638929.12130903965</v>
      </c>
      <c r="I90" s="651">
        <f t="shared" si="2"/>
        <v>9.3877244799592599E-2</v>
      </c>
      <c r="J90" s="686">
        <f>H90*I90</f>
        <v>59980.905530717311</v>
      </c>
      <c r="K90" s="1063">
        <f>'Attach GG Support Data '!T61</f>
        <v>14054.558842920285</v>
      </c>
      <c r="L90" s="686">
        <f>G90+J90+K90</f>
        <v>94418.375787743222</v>
      </c>
      <c r="M90" s="1062">
        <v>103351.46</v>
      </c>
      <c r="N90" s="686">
        <f>L90+M90</f>
        <v>197769.83578774321</v>
      </c>
      <c r="O90" s="688"/>
      <c r="P90" s="688" t="s">
        <v>1006</v>
      </c>
      <c r="Q90" s="1067"/>
      <c r="R90" s="688"/>
      <c r="S90" s="688"/>
      <c r="T90" s="688"/>
      <c r="U90" s="688"/>
    </row>
    <row r="91" spans="1:21">
      <c r="A91" s="684" t="s">
        <v>708</v>
      </c>
      <c r="C91" s="624" t="s">
        <v>709</v>
      </c>
      <c r="D91" s="689" t="s">
        <v>710</v>
      </c>
      <c r="E91" s="1062">
        <f>'Attach GG Support Data '!S24</f>
        <v>0</v>
      </c>
      <c r="F91" s="651">
        <f t="shared" si="0"/>
        <v>3.0304542144899499E-2</v>
      </c>
      <c r="G91" s="686">
        <f>E91*F91</f>
        <v>0</v>
      </c>
      <c r="H91" s="1062">
        <f>'Attach GG Support Data '!S57</f>
        <v>0</v>
      </c>
      <c r="I91" s="651">
        <f t="shared" si="2"/>
        <v>9.3877244799592599E-2</v>
      </c>
      <c r="J91" s="686">
        <f>H91*I91</f>
        <v>0</v>
      </c>
      <c r="K91" s="1063">
        <f>'Attach GG Support Data '!S60</f>
        <v>0</v>
      </c>
      <c r="L91" s="686">
        <f>G91+J91+K91</f>
        <v>0</v>
      </c>
      <c r="M91" s="1062">
        <v>0</v>
      </c>
      <c r="N91" s="686">
        <f>L91+M91</f>
        <v>0</v>
      </c>
      <c r="O91" s="688"/>
      <c r="P91" s="688" t="s">
        <v>710</v>
      </c>
      <c r="Q91" s="1067"/>
      <c r="R91" s="688"/>
      <c r="S91" s="688"/>
      <c r="T91" s="688"/>
      <c r="U91" s="688"/>
    </row>
    <row r="92" spans="1:21">
      <c r="A92" s="684"/>
      <c r="C92" s="688"/>
      <c r="D92" s="688"/>
      <c r="E92" s="688"/>
      <c r="F92" s="688"/>
      <c r="G92" s="690"/>
      <c r="H92" s="688"/>
      <c r="I92" s="688"/>
      <c r="J92" s="690"/>
      <c r="K92" s="688"/>
      <c r="L92" s="690"/>
      <c r="M92" s="953"/>
      <c r="N92" s="690"/>
      <c r="O92" s="688"/>
      <c r="P92" s="688"/>
      <c r="Q92" s="688"/>
      <c r="R92" s="688"/>
      <c r="S92" s="688"/>
      <c r="T92" s="688"/>
      <c r="U92" s="688"/>
    </row>
    <row r="93" spans="1:21">
      <c r="A93" s="684"/>
      <c r="C93" s="688"/>
      <c r="D93" s="688"/>
      <c r="E93" s="688"/>
      <c r="F93" s="688"/>
      <c r="G93" s="690"/>
      <c r="H93" s="688"/>
      <c r="I93" s="688"/>
      <c r="J93" s="690"/>
      <c r="K93" s="688"/>
      <c r="L93" s="690"/>
      <c r="M93" s="1159"/>
      <c r="N93" s="690"/>
      <c r="O93" s="688"/>
      <c r="P93" s="688"/>
      <c r="Q93" s="688"/>
      <c r="R93" s="688"/>
      <c r="S93" s="688"/>
      <c r="T93" s="688"/>
      <c r="U93" s="688"/>
    </row>
    <row r="94" spans="1:21">
      <c r="A94" s="691"/>
      <c r="B94" s="692"/>
      <c r="C94" s="693"/>
      <c r="D94" s="693"/>
      <c r="E94" s="693"/>
      <c r="F94" s="693"/>
      <c r="G94" s="694"/>
      <c r="H94" s="693"/>
      <c r="I94" s="693"/>
      <c r="J94" s="694"/>
      <c r="K94" s="693"/>
      <c r="L94" s="694"/>
      <c r="M94" s="1160"/>
      <c r="N94" s="694"/>
      <c r="O94" s="688"/>
      <c r="P94" s="688"/>
      <c r="Q94" s="688"/>
      <c r="R94" s="688"/>
      <c r="S94" s="688"/>
      <c r="T94" s="688"/>
      <c r="U94" s="688"/>
    </row>
    <row r="95" spans="1:21">
      <c r="A95" s="639" t="s">
        <v>711</v>
      </c>
      <c r="B95" s="660"/>
      <c r="C95" s="640" t="s">
        <v>712</v>
      </c>
      <c r="D95" s="640"/>
      <c r="E95" s="663">
        <f>SUM(E73:E94)</f>
        <v>578429343.28946686</v>
      </c>
      <c r="F95" s="655"/>
      <c r="G95" s="663">
        <f>SUM(G73:G94)</f>
        <v>17529036.411562189</v>
      </c>
      <c r="H95" s="663">
        <f>SUM(H73:H94)</f>
        <v>533540357.42504382</v>
      </c>
      <c r="I95" s="631"/>
      <c r="J95" s="663">
        <f>SUM(J73:J94)</f>
        <v>50087298.744452976</v>
      </c>
      <c r="K95" s="663">
        <f>SUM(K73:K94)</f>
        <v>11482778.775310989</v>
      </c>
      <c r="L95" s="663">
        <f>SUM(L73:L94)</f>
        <v>79099113.931326166</v>
      </c>
      <c r="M95" s="1069">
        <f>SUM(M73:M94)</f>
        <v>-6073950.9786548596</v>
      </c>
      <c r="N95" s="663">
        <f>SUM(N73:N94)</f>
        <v>73025162.952671289</v>
      </c>
      <c r="O95" s="688"/>
      <c r="P95" s="688"/>
      <c r="Q95" s="688"/>
      <c r="R95" s="688"/>
      <c r="S95" s="688"/>
      <c r="T95" s="688"/>
      <c r="U95" s="688"/>
    </row>
    <row r="96" spans="1:21">
      <c r="A96" s="688"/>
      <c r="B96" s="688"/>
      <c r="C96" s="688"/>
      <c r="D96" s="688"/>
      <c r="E96" s="688"/>
      <c r="F96" s="688"/>
      <c r="G96" s="688"/>
      <c r="H96" s="688"/>
      <c r="I96" s="688"/>
      <c r="J96" s="688"/>
      <c r="K96" s="688"/>
      <c r="L96" s="688"/>
      <c r="M96" s="1158"/>
      <c r="N96" s="688"/>
      <c r="O96" s="688"/>
      <c r="P96" s="688"/>
      <c r="Q96" s="688"/>
      <c r="R96" s="688"/>
      <c r="S96" s="688"/>
      <c r="T96" s="688"/>
      <c r="U96" s="688"/>
    </row>
    <row r="97" spans="1:21">
      <c r="A97" s="695">
        <v>3</v>
      </c>
      <c r="B97" s="688"/>
      <c r="C97" s="624" t="s">
        <v>713</v>
      </c>
      <c r="D97" s="688"/>
      <c r="E97" s="688"/>
      <c r="F97" s="688"/>
      <c r="G97" s="688"/>
      <c r="H97" s="688"/>
      <c r="I97" s="688"/>
      <c r="J97" s="688"/>
      <c r="K97" s="688"/>
      <c r="L97" s="663">
        <f>L95</f>
        <v>79099113.931326166</v>
      </c>
      <c r="M97" s="1158"/>
      <c r="N97" s="688"/>
      <c r="O97" s="688"/>
      <c r="P97" s="688"/>
      <c r="Q97" s="688"/>
      <c r="R97" s="688"/>
      <c r="S97" s="688"/>
      <c r="T97" s="688"/>
      <c r="U97" s="688"/>
    </row>
    <row r="98" spans="1:21">
      <c r="A98" s="688"/>
      <c r="B98" s="688"/>
      <c r="C98" s="688"/>
      <c r="D98" s="688"/>
      <c r="E98" s="688"/>
      <c r="F98" s="688"/>
      <c r="G98" s="953"/>
      <c r="H98" s="688"/>
      <c r="I98" s="688"/>
      <c r="J98" s="953"/>
      <c r="K98" s="953"/>
      <c r="L98" s="688"/>
      <c r="M98" s="1158"/>
      <c r="N98" s="688"/>
      <c r="O98" s="688"/>
      <c r="P98" s="688"/>
      <c r="Q98" s="688"/>
      <c r="R98" s="688"/>
      <c r="S98" s="688"/>
      <c r="T98" s="688"/>
      <c r="U98" s="688"/>
    </row>
    <row r="99" spans="1:21">
      <c r="A99" s="688"/>
      <c r="B99" s="688"/>
      <c r="C99" s="688"/>
      <c r="D99" s="688"/>
      <c r="E99" s="688"/>
      <c r="F99" s="953"/>
      <c r="G99" s="953"/>
      <c r="H99" s="688"/>
      <c r="I99" s="688"/>
      <c r="J99" s="953"/>
      <c r="K99" s="953"/>
      <c r="L99" s="1155"/>
      <c r="M99" s="1156"/>
      <c r="N99" s="1155"/>
      <c r="O99" s="688"/>
      <c r="P99" s="688"/>
      <c r="Q99" s="688"/>
      <c r="R99" s="688"/>
      <c r="S99" s="688"/>
      <c r="T99" s="688"/>
      <c r="U99" s="688"/>
    </row>
    <row r="100" spans="1:21">
      <c r="A100" s="624" t="s">
        <v>566</v>
      </c>
      <c r="B100" s="688"/>
      <c r="C100" s="688"/>
      <c r="D100" s="688"/>
      <c r="E100" s="688"/>
      <c r="F100" s="688"/>
      <c r="G100" s="688"/>
      <c r="H100" s="688"/>
      <c r="I100" s="688"/>
      <c r="J100" s="688"/>
      <c r="K100" s="688"/>
      <c r="L100" s="949"/>
      <c r="M100" s="949"/>
      <c r="N100" s="949"/>
      <c r="O100" s="688"/>
      <c r="P100" s="688"/>
      <c r="Q100" s="688"/>
      <c r="R100" s="688"/>
      <c r="S100" s="688"/>
      <c r="T100" s="688"/>
      <c r="U100" s="688"/>
    </row>
    <row r="101" spans="1:21" ht="15.75" thickBot="1">
      <c r="A101" s="696" t="s">
        <v>567</v>
      </c>
      <c r="B101" s="688"/>
      <c r="C101" s="688"/>
      <c r="D101" s="688"/>
      <c r="E101" s="688"/>
      <c r="F101" s="688"/>
      <c r="G101" s="688"/>
      <c r="H101" s="688"/>
      <c r="I101" s="688"/>
      <c r="J101" s="688"/>
      <c r="K101" s="688"/>
      <c r="L101" s="688"/>
      <c r="M101" s="688"/>
      <c r="N101" s="688"/>
      <c r="O101" s="688"/>
      <c r="P101" s="688"/>
      <c r="Q101" s="688"/>
      <c r="R101" s="688"/>
      <c r="S101" s="688"/>
      <c r="T101" s="688"/>
      <c r="U101" s="688"/>
    </row>
    <row r="102" spans="1:21" ht="33" customHeight="1">
      <c r="A102" s="697" t="s">
        <v>247</v>
      </c>
      <c r="C102" s="1188" t="s">
        <v>714</v>
      </c>
      <c r="D102" s="1188"/>
      <c r="E102" s="1188"/>
      <c r="F102" s="1188"/>
      <c r="G102" s="1188"/>
      <c r="H102" s="1188"/>
      <c r="I102" s="1188"/>
      <c r="J102" s="1188"/>
      <c r="K102" s="1188"/>
      <c r="L102" s="1188"/>
      <c r="M102" s="1188"/>
      <c r="N102" s="1188"/>
      <c r="O102" s="688"/>
      <c r="P102" s="688"/>
      <c r="Q102" s="688"/>
      <c r="R102" s="688"/>
      <c r="S102" s="688"/>
      <c r="T102" s="688"/>
      <c r="U102" s="688"/>
    </row>
    <row r="103" spans="1:21" ht="34.5" customHeight="1">
      <c r="A103" s="697" t="s">
        <v>248</v>
      </c>
      <c r="C103" s="1188" t="s">
        <v>715</v>
      </c>
      <c r="D103" s="1188"/>
      <c r="E103" s="1188"/>
      <c r="F103" s="1188"/>
      <c r="G103" s="1188"/>
      <c r="H103" s="1188"/>
      <c r="I103" s="1188"/>
      <c r="J103" s="1188"/>
      <c r="K103" s="1188"/>
      <c r="L103" s="1188"/>
      <c r="M103" s="1188"/>
      <c r="N103" s="1188"/>
      <c r="O103" s="688"/>
      <c r="P103" s="688"/>
      <c r="Q103" s="688"/>
      <c r="R103" s="688"/>
      <c r="S103" s="688"/>
      <c r="T103" s="688"/>
      <c r="U103" s="688"/>
    </row>
    <row r="104" spans="1:21" ht="34.5" customHeight="1">
      <c r="A104" s="697" t="s">
        <v>570</v>
      </c>
      <c r="C104" s="1188" t="s">
        <v>716</v>
      </c>
      <c r="D104" s="1188"/>
      <c r="E104" s="1188"/>
      <c r="F104" s="1188"/>
      <c r="G104" s="1188"/>
      <c r="H104" s="1188"/>
      <c r="I104" s="1188"/>
      <c r="J104" s="1188"/>
      <c r="K104" s="1188"/>
      <c r="L104" s="1188"/>
      <c r="M104" s="1188"/>
      <c r="N104" s="1188"/>
      <c r="O104" s="688"/>
      <c r="P104" s="688"/>
      <c r="Q104" s="688"/>
      <c r="R104" s="688"/>
      <c r="S104" s="688"/>
      <c r="T104" s="688"/>
      <c r="U104" s="688"/>
    </row>
    <row r="105" spans="1:21">
      <c r="A105" s="697" t="s">
        <v>572</v>
      </c>
      <c r="C105" s="1189" t="s">
        <v>717</v>
      </c>
      <c r="D105" s="1189"/>
      <c r="E105" s="1189"/>
      <c r="F105" s="1189"/>
      <c r="G105" s="1189"/>
      <c r="H105" s="1189"/>
      <c r="I105" s="1189"/>
      <c r="J105" s="1189"/>
      <c r="K105" s="1189"/>
      <c r="L105" s="1189"/>
      <c r="M105" s="1189"/>
      <c r="N105" s="1189"/>
      <c r="O105" s="688"/>
      <c r="P105" s="688"/>
      <c r="Q105" s="688"/>
      <c r="R105" s="688"/>
      <c r="S105" s="688"/>
      <c r="T105" s="688"/>
      <c r="U105" s="688"/>
    </row>
    <row r="106" spans="1:21">
      <c r="A106" s="655" t="s">
        <v>574</v>
      </c>
      <c r="C106" s="1187" t="s">
        <v>718</v>
      </c>
      <c r="D106" s="1187"/>
      <c r="E106" s="1187"/>
      <c r="F106" s="1187"/>
      <c r="G106" s="1187"/>
      <c r="H106" s="1187"/>
      <c r="I106" s="1187"/>
      <c r="J106" s="1187"/>
      <c r="K106" s="1187"/>
      <c r="L106" s="1187"/>
      <c r="M106" s="1187"/>
      <c r="N106" s="1187"/>
      <c r="O106" s="688"/>
      <c r="P106" s="688"/>
      <c r="Q106" s="688"/>
      <c r="R106" s="688"/>
      <c r="S106" s="688"/>
      <c r="T106" s="688"/>
      <c r="U106" s="688"/>
    </row>
    <row r="107" spans="1:21">
      <c r="A107" s="655" t="s">
        <v>575</v>
      </c>
      <c r="C107" s="1187" t="s">
        <v>719</v>
      </c>
      <c r="D107" s="1187"/>
      <c r="E107" s="1187"/>
      <c r="F107" s="1187"/>
      <c r="G107" s="1187"/>
      <c r="H107" s="1187"/>
      <c r="I107" s="1187"/>
      <c r="J107" s="1187"/>
      <c r="K107" s="1187"/>
      <c r="L107" s="1187"/>
      <c r="M107" s="1187"/>
      <c r="N107" s="1187"/>
      <c r="O107" s="688"/>
      <c r="P107" s="688"/>
      <c r="Q107" s="688"/>
      <c r="R107" s="688"/>
      <c r="S107" s="688"/>
      <c r="T107" s="688"/>
      <c r="U107" s="688"/>
    </row>
    <row r="108" spans="1:21">
      <c r="A108" s="655" t="s">
        <v>576</v>
      </c>
      <c r="C108" s="1187" t="s">
        <v>720</v>
      </c>
      <c r="D108" s="1187"/>
      <c r="E108" s="1187"/>
      <c r="F108" s="1187"/>
      <c r="G108" s="1187"/>
      <c r="H108" s="1187"/>
      <c r="I108" s="1187"/>
      <c r="J108" s="1187"/>
      <c r="K108" s="1187"/>
      <c r="L108" s="1187"/>
      <c r="M108" s="1187"/>
      <c r="N108" s="1187"/>
      <c r="O108" s="688"/>
      <c r="P108" s="688"/>
      <c r="Q108" s="688"/>
      <c r="R108" s="688"/>
      <c r="S108" s="688"/>
      <c r="T108" s="688"/>
      <c r="U108" s="688"/>
    </row>
    <row r="109" spans="1:21">
      <c r="A109" s="655" t="s">
        <v>578</v>
      </c>
      <c r="C109" s="1187" t="s">
        <v>721</v>
      </c>
      <c r="D109" s="1187"/>
      <c r="E109" s="1187"/>
      <c r="F109" s="1187"/>
      <c r="G109" s="1187"/>
      <c r="H109" s="1187"/>
      <c r="I109" s="1187"/>
      <c r="J109" s="1187"/>
      <c r="K109" s="1187"/>
      <c r="L109" s="1187"/>
      <c r="M109" s="1187"/>
      <c r="N109" s="1187"/>
      <c r="O109" s="688"/>
      <c r="P109" s="688"/>
      <c r="Q109" s="688"/>
      <c r="R109" s="688"/>
      <c r="S109" s="688"/>
      <c r="T109" s="688"/>
      <c r="U109" s="688"/>
    </row>
    <row r="110" spans="1:21">
      <c r="A110" s="698"/>
      <c r="B110" s="688"/>
      <c r="C110" s="688"/>
      <c r="D110" s="688"/>
      <c r="E110" s="688"/>
      <c r="F110" s="688"/>
      <c r="G110" s="688"/>
      <c r="H110" s="688"/>
      <c r="I110" s="688"/>
      <c r="J110" s="688"/>
      <c r="K110" s="688"/>
      <c r="L110" s="688"/>
      <c r="M110" s="688"/>
      <c r="N110" s="688"/>
      <c r="O110" s="688"/>
      <c r="P110" s="688"/>
      <c r="Q110" s="688"/>
      <c r="R110" s="688"/>
      <c r="S110" s="688"/>
      <c r="T110" s="688"/>
      <c r="U110" s="688"/>
    </row>
    <row r="111" spans="1:21">
      <c r="A111" s="665"/>
      <c r="C111" s="639"/>
      <c r="D111" s="639"/>
      <c r="E111" s="655"/>
      <c r="F111" s="655"/>
      <c r="G111" s="631"/>
      <c r="J111" s="650"/>
      <c r="M111" s="631"/>
      <c r="N111" s="666"/>
      <c r="O111" s="688"/>
      <c r="P111" s="688"/>
      <c r="Q111" s="688"/>
      <c r="R111" s="688"/>
      <c r="S111" s="688"/>
      <c r="T111" s="688"/>
      <c r="U111" s="688"/>
    </row>
    <row r="112" spans="1:21" ht="15.75">
      <c r="A112" s="665"/>
      <c r="C112" s="639"/>
      <c r="D112" s="639"/>
      <c r="E112" s="655"/>
      <c r="F112" s="655"/>
      <c r="G112" s="631"/>
      <c r="I112" s="1157"/>
      <c r="J112" s="650"/>
      <c r="M112" s="631"/>
      <c r="N112" s="652"/>
      <c r="O112" s="688"/>
      <c r="P112" s="688"/>
      <c r="Q112" s="688"/>
      <c r="R112" s="688"/>
      <c r="S112" s="688"/>
      <c r="T112" s="688"/>
      <c r="U112" s="688"/>
    </row>
    <row r="113" spans="3:21">
      <c r="C113" s="688"/>
      <c r="D113" s="688"/>
      <c r="E113" s="688"/>
      <c r="F113" s="688"/>
      <c r="G113" s="688"/>
      <c r="H113" s="688"/>
      <c r="I113" s="688"/>
      <c r="J113" s="688"/>
      <c r="K113" s="688"/>
      <c r="L113" s="688"/>
      <c r="M113" s="688"/>
      <c r="N113" s="688"/>
      <c r="O113" s="688"/>
      <c r="P113" s="688"/>
      <c r="Q113" s="688"/>
      <c r="R113" s="688"/>
      <c r="S113" s="688"/>
      <c r="T113" s="688"/>
      <c r="U113" s="688"/>
    </row>
    <row r="114" spans="3:21">
      <c r="C114" s="688"/>
      <c r="D114" s="688"/>
      <c r="E114" s="688"/>
      <c r="F114" s="688"/>
      <c r="G114" s="688"/>
      <c r="H114" s="688"/>
      <c r="I114" s="688"/>
      <c r="J114" s="688"/>
      <c r="K114" s="688"/>
      <c r="L114" s="688"/>
      <c r="M114" s="688"/>
      <c r="N114" s="688"/>
      <c r="O114" s="688"/>
      <c r="P114" s="688"/>
      <c r="Q114" s="688"/>
      <c r="R114" s="688"/>
      <c r="S114" s="688"/>
      <c r="T114" s="688"/>
      <c r="U114" s="688"/>
    </row>
    <row r="115" spans="3:21">
      <c r="C115" s="1193"/>
      <c r="D115" s="1193"/>
      <c r="E115" s="1193"/>
      <c r="F115" s="1193"/>
      <c r="G115" s="1193"/>
      <c r="H115" s="1193"/>
      <c r="I115" s="1193"/>
      <c r="J115" s="1193"/>
      <c r="K115" s="1193"/>
      <c r="L115" s="1193"/>
      <c r="M115" s="1193"/>
      <c r="N115" s="1193"/>
      <c r="O115" s="688"/>
      <c r="P115" s="688"/>
      <c r="Q115" s="688"/>
      <c r="R115" s="688"/>
      <c r="S115" s="688"/>
      <c r="T115" s="688"/>
      <c r="U115" s="688"/>
    </row>
    <row r="116" spans="3:21">
      <c r="C116" s="1193"/>
      <c r="D116" s="1193"/>
      <c r="E116" s="1193"/>
      <c r="F116" s="1193"/>
      <c r="G116" s="1193"/>
      <c r="H116" s="1193"/>
      <c r="I116" s="1193"/>
      <c r="J116" s="1193"/>
      <c r="K116" s="1193"/>
      <c r="L116" s="1193"/>
      <c r="M116" s="1193"/>
      <c r="N116" s="1193"/>
      <c r="O116" s="688"/>
      <c r="P116" s="688"/>
      <c r="Q116" s="688"/>
      <c r="R116" s="688"/>
      <c r="S116" s="688"/>
      <c r="T116" s="688"/>
      <c r="U116" s="688"/>
    </row>
    <row r="117" spans="3:21">
      <c r="C117" s="1194"/>
      <c r="D117" s="1195"/>
      <c r="E117" s="1195"/>
      <c r="F117" s="1195"/>
      <c r="G117" s="1195"/>
      <c r="H117" s="1195"/>
      <c r="I117" s="1195"/>
      <c r="J117" s="1195"/>
      <c r="K117" s="1195"/>
      <c r="L117" s="1195"/>
      <c r="M117" s="1195"/>
      <c r="N117" s="1195"/>
      <c r="O117" s="688"/>
      <c r="P117" s="688"/>
      <c r="Q117" s="688"/>
      <c r="R117" s="688"/>
      <c r="S117" s="688"/>
      <c r="T117" s="688"/>
      <c r="U117" s="688"/>
    </row>
    <row r="118" spans="3:21">
      <c r="C118" s="1196"/>
      <c r="D118" s="1196"/>
      <c r="E118" s="1196"/>
      <c r="F118" s="1196"/>
      <c r="G118" s="1196"/>
      <c r="H118" s="1196"/>
      <c r="I118" s="1196"/>
      <c r="J118" s="1196"/>
      <c r="K118" s="1196"/>
      <c r="L118" s="1196"/>
      <c r="M118" s="1196"/>
      <c r="N118" s="1196"/>
      <c r="O118" s="688"/>
      <c r="P118" s="688"/>
      <c r="Q118" s="688"/>
      <c r="R118" s="688"/>
      <c r="S118" s="688"/>
      <c r="T118" s="688"/>
      <c r="U118" s="688"/>
    </row>
    <row r="119" spans="3:21">
      <c r="C119" s="1191"/>
      <c r="D119" s="1191"/>
      <c r="E119" s="1191"/>
      <c r="F119" s="1191"/>
      <c r="G119" s="1191"/>
      <c r="H119" s="1191"/>
      <c r="I119" s="1191"/>
      <c r="J119" s="1191"/>
      <c r="K119" s="1191"/>
      <c r="L119" s="1191"/>
      <c r="M119" s="1191"/>
      <c r="N119" s="1191"/>
      <c r="O119" s="688"/>
      <c r="P119" s="688"/>
      <c r="Q119" s="688"/>
      <c r="R119" s="688"/>
      <c r="S119" s="688"/>
      <c r="T119" s="688"/>
      <c r="U119" s="688"/>
    </row>
    <row r="120" spans="3:21">
      <c r="C120" s="1190"/>
      <c r="D120" s="1191"/>
      <c r="E120" s="1191"/>
      <c r="F120" s="1191"/>
      <c r="G120" s="1191"/>
      <c r="H120" s="1191"/>
      <c r="I120" s="1191"/>
      <c r="J120" s="1191"/>
      <c r="K120" s="1191"/>
      <c r="L120" s="1191"/>
      <c r="M120" s="1191"/>
      <c r="N120" s="1191"/>
      <c r="O120" s="688"/>
      <c r="P120" s="688"/>
      <c r="Q120" s="688"/>
      <c r="R120" s="688"/>
      <c r="S120" s="688"/>
      <c r="T120" s="688"/>
      <c r="U120" s="688"/>
    </row>
    <row r="121" spans="3:21">
      <c r="C121" s="1192"/>
      <c r="D121" s="1192"/>
      <c r="E121" s="1192"/>
      <c r="F121" s="1192"/>
      <c r="G121" s="1192"/>
      <c r="H121" s="1192"/>
      <c r="I121" s="1192"/>
      <c r="J121" s="1192"/>
      <c r="K121" s="1192"/>
      <c r="L121" s="1192"/>
      <c r="M121" s="1192"/>
      <c r="N121" s="1192"/>
      <c r="O121" s="688"/>
      <c r="P121" s="688"/>
      <c r="Q121" s="688"/>
      <c r="R121" s="688"/>
      <c r="S121" s="688"/>
      <c r="T121" s="688"/>
      <c r="U121" s="688"/>
    </row>
    <row r="122" spans="3:21">
      <c r="C122" s="1192"/>
      <c r="D122" s="1192"/>
      <c r="E122" s="1192"/>
      <c r="F122" s="1192"/>
      <c r="G122" s="1192"/>
      <c r="H122" s="1192"/>
      <c r="I122" s="1192"/>
      <c r="J122" s="1192"/>
      <c r="K122" s="1192"/>
      <c r="L122" s="1192"/>
      <c r="M122" s="1192"/>
      <c r="N122" s="1192"/>
      <c r="O122" s="688"/>
      <c r="P122" s="688"/>
      <c r="Q122" s="688"/>
      <c r="R122" s="688"/>
      <c r="S122" s="688"/>
      <c r="T122" s="688"/>
      <c r="U122" s="688"/>
    </row>
    <row r="123" spans="3:21">
      <c r="C123" s="688"/>
      <c r="D123" s="688"/>
      <c r="E123" s="688"/>
      <c r="F123" s="688"/>
      <c r="G123" s="688"/>
      <c r="H123" s="688"/>
      <c r="I123" s="688"/>
      <c r="J123" s="688"/>
      <c r="K123" s="688"/>
      <c r="L123" s="688"/>
      <c r="M123" s="688"/>
      <c r="N123" s="688"/>
      <c r="O123" s="688"/>
      <c r="P123" s="688"/>
      <c r="Q123" s="688"/>
      <c r="R123" s="688"/>
      <c r="S123" s="688"/>
      <c r="T123" s="688"/>
      <c r="U123" s="688"/>
    </row>
    <row r="124" spans="3:21">
      <c r="C124" s="688"/>
      <c r="D124" s="688"/>
      <c r="E124" s="688"/>
      <c r="F124" s="688"/>
      <c r="G124" s="688"/>
      <c r="H124" s="688"/>
      <c r="I124" s="688"/>
      <c r="J124" s="688"/>
      <c r="K124" s="688"/>
      <c r="L124" s="688"/>
      <c r="M124" s="688"/>
      <c r="N124" s="688"/>
      <c r="O124" s="688"/>
      <c r="P124" s="688"/>
      <c r="Q124" s="688"/>
      <c r="R124" s="688"/>
      <c r="S124" s="688"/>
      <c r="T124" s="688"/>
      <c r="U124" s="688"/>
    </row>
    <row r="125" spans="3:21">
      <c r="C125" s="688"/>
      <c r="D125" s="688"/>
      <c r="E125" s="688"/>
      <c r="F125" s="688"/>
      <c r="G125" s="688"/>
      <c r="H125" s="688"/>
      <c r="I125" s="688"/>
      <c r="J125" s="688"/>
      <c r="K125" s="688"/>
      <c r="L125" s="688"/>
      <c r="M125" s="688"/>
      <c r="N125" s="688"/>
      <c r="O125" s="688"/>
      <c r="P125" s="688"/>
      <c r="Q125" s="688"/>
      <c r="R125" s="688"/>
      <c r="S125" s="688"/>
      <c r="T125" s="688"/>
      <c r="U125" s="688"/>
    </row>
    <row r="126" spans="3:21">
      <c r="C126" s="688"/>
      <c r="D126" s="688"/>
      <c r="E126" s="688"/>
      <c r="F126" s="688"/>
      <c r="G126" s="688"/>
      <c r="H126" s="688"/>
      <c r="I126" s="688"/>
      <c r="J126" s="688"/>
      <c r="K126" s="688"/>
      <c r="L126" s="688"/>
      <c r="M126" s="688"/>
      <c r="N126" s="688"/>
      <c r="O126" s="688"/>
      <c r="P126" s="688"/>
      <c r="Q126" s="688"/>
      <c r="R126" s="688"/>
      <c r="S126" s="688"/>
      <c r="T126" s="688"/>
      <c r="U126" s="688"/>
    </row>
    <row r="127" spans="3:21">
      <c r="C127" s="688"/>
      <c r="D127" s="688"/>
      <c r="E127" s="688"/>
      <c r="F127" s="688"/>
      <c r="G127" s="688"/>
      <c r="H127" s="688"/>
      <c r="I127" s="688"/>
      <c r="J127" s="688"/>
      <c r="K127" s="688"/>
      <c r="L127" s="688"/>
      <c r="M127" s="688"/>
      <c r="N127" s="688"/>
      <c r="O127" s="688"/>
      <c r="P127" s="688"/>
      <c r="Q127" s="688"/>
      <c r="R127" s="688"/>
      <c r="S127" s="688"/>
      <c r="T127" s="688"/>
      <c r="U127" s="688"/>
    </row>
    <row r="128" spans="3:21">
      <c r="C128" s="688"/>
      <c r="D128" s="688"/>
      <c r="E128" s="688"/>
      <c r="F128" s="688"/>
      <c r="G128" s="688"/>
      <c r="H128" s="688"/>
      <c r="I128" s="688"/>
      <c r="J128" s="688"/>
      <c r="K128" s="688"/>
      <c r="L128" s="688"/>
      <c r="M128" s="688"/>
      <c r="N128" s="688"/>
      <c r="O128" s="688"/>
      <c r="P128" s="688"/>
      <c r="Q128" s="688"/>
      <c r="R128" s="688"/>
      <c r="S128" s="688"/>
      <c r="T128" s="688"/>
      <c r="U128" s="688"/>
    </row>
    <row r="129" spans="3:21">
      <c r="C129" s="688"/>
      <c r="D129" s="688"/>
      <c r="E129" s="688"/>
      <c r="F129" s="688"/>
      <c r="G129" s="688"/>
      <c r="H129" s="688"/>
      <c r="I129" s="688"/>
      <c r="J129" s="688"/>
      <c r="K129" s="688"/>
      <c r="L129" s="688"/>
      <c r="M129" s="688"/>
      <c r="N129" s="688"/>
      <c r="O129" s="688"/>
      <c r="P129" s="688"/>
      <c r="Q129" s="688"/>
      <c r="R129" s="688"/>
      <c r="S129" s="688"/>
      <c r="T129" s="688"/>
      <c r="U129" s="688"/>
    </row>
    <row r="130" spans="3:21">
      <c r="C130" s="688"/>
      <c r="D130" s="688"/>
      <c r="E130" s="688"/>
      <c r="F130" s="688"/>
      <c r="G130" s="688"/>
      <c r="H130" s="688"/>
      <c r="I130" s="688"/>
      <c r="J130" s="688"/>
      <c r="K130" s="688"/>
      <c r="L130" s="688"/>
      <c r="M130" s="688"/>
      <c r="N130" s="688"/>
      <c r="O130" s="688"/>
      <c r="P130" s="688"/>
      <c r="Q130" s="688"/>
      <c r="R130" s="688"/>
      <c r="S130" s="688"/>
      <c r="T130" s="688"/>
      <c r="U130" s="688"/>
    </row>
    <row r="131" spans="3:21">
      <c r="C131" s="688"/>
      <c r="D131" s="688"/>
      <c r="E131" s="688"/>
      <c r="F131" s="688"/>
      <c r="G131" s="688"/>
      <c r="H131" s="688"/>
      <c r="I131" s="688"/>
      <c r="J131" s="688"/>
      <c r="K131" s="688"/>
      <c r="L131" s="688"/>
      <c r="M131" s="688"/>
      <c r="N131" s="688"/>
      <c r="O131" s="688"/>
      <c r="P131" s="688"/>
      <c r="Q131" s="688"/>
      <c r="R131" s="688"/>
      <c r="S131" s="688"/>
      <c r="T131" s="688"/>
      <c r="U131" s="688"/>
    </row>
    <row r="132" spans="3:21">
      <c r="C132" s="688"/>
      <c r="D132" s="688"/>
      <c r="E132" s="688"/>
      <c r="F132" s="688"/>
      <c r="G132" s="688"/>
      <c r="H132" s="688"/>
      <c r="I132" s="688"/>
      <c r="J132" s="688"/>
      <c r="K132" s="688"/>
      <c r="L132" s="688"/>
      <c r="M132" s="688"/>
      <c r="N132" s="688"/>
      <c r="O132" s="688"/>
      <c r="P132" s="688"/>
      <c r="Q132" s="688"/>
      <c r="R132" s="688"/>
      <c r="S132" s="688"/>
      <c r="T132" s="688"/>
      <c r="U132" s="688"/>
    </row>
    <row r="133" spans="3:21">
      <c r="C133" s="688"/>
      <c r="D133" s="688"/>
      <c r="E133" s="688"/>
      <c r="F133" s="688"/>
      <c r="G133" s="688"/>
      <c r="H133" s="688"/>
      <c r="I133" s="688"/>
      <c r="J133" s="688"/>
      <c r="K133" s="688"/>
      <c r="L133" s="688"/>
      <c r="M133" s="688"/>
      <c r="N133" s="688"/>
      <c r="O133" s="688"/>
      <c r="P133" s="688"/>
      <c r="Q133" s="688"/>
      <c r="R133" s="688"/>
      <c r="S133" s="688"/>
      <c r="T133" s="688"/>
      <c r="U133" s="688"/>
    </row>
    <row r="134" spans="3:21">
      <c r="C134" s="688"/>
      <c r="D134" s="688"/>
      <c r="E134" s="688"/>
      <c r="F134" s="688"/>
      <c r="G134" s="688"/>
      <c r="H134" s="688"/>
      <c r="I134" s="688"/>
      <c r="J134" s="688"/>
      <c r="K134" s="688"/>
      <c r="L134" s="688"/>
      <c r="M134" s="688"/>
      <c r="N134" s="688"/>
      <c r="O134" s="688"/>
      <c r="P134" s="688"/>
      <c r="Q134" s="688"/>
      <c r="R134" s="688"/>
      <c r="S134" s="688"/>
      <c r="T134" s="688"/>
      <c r="U134" s="688"/>
    </row>
    <row r="135" spans="3:21">
      <c r="C135" s="688"/>
      <c r="D135" s="688"/>
      <c r="E135" s="688"/>
      <c r="F135" s="688"/>
      <c r="G135" s="688"/>
      <c r="H135" s="688"/>
      <c r="I135" s="688"/>
      <c r="J135" s="688"/>
      <c r="K135" s="688"/>
      <c r="L135" s="688"/>
      <c r="M135" s="688"/>
      <c r="N135" s="688"/>
      <c r="O135" s="688"/>
      <c r="P135" s="688"/>
      <c r="Q135" s="688"/>
      <c r="R135" s="688"/>
      <c r="S135" s="688"/>
      <c r="T135" s="688"/>
      <c r="U135" s="688"/>
    </row>
    <row r="136" spans="3:21">
      <c r="C136" s="688"/>
      <c r="D136" s="688"/>
      <c r="E136" s="688"/>
      <c r="F136" s="688"/>
      <c r="G136" s="688"/>
      <c r="H136" s="688"/>
      <c r="I136" s="688"/>
      <c r="J136" s="688"/>
      <c r="K136" s="688"/>
      <c r="L136" s="688"/>
      <c r="M136" s="688"/>
      <c r="N136" s="688"/>
      <c r="O136" s="688"/>
      <c r="P136" s="688"/>
      <c r="Q136" s="688"/>
      <c r="R136" s="688"/>
      <c r="S136" s="688"/>
      <c r="T136" s="688"/>
      <c r="U136" s="688"/>
    </row>
    <row r="137" spans="3:21">
      <c r="C137" s="688"/>
      <c r="D137" s="688"/>
      <c r="E137" s="688"/>
      <c r="F137" s="688"/>
      <c r="G137" s="688"/>
      <c r="H137" s="688"/>
      <c r="I137" s="688"/>
      <c r="J137" s="688"/>
      <c r="K137" s="688"/>
      <c r="L137" s="688"/>
      <c r="M137" s="688"/>
      <c r="N137" s="688"/>
      <c r="O137" s="688"/>
      <c r="P137" s="688"/>
      <c r="Q137" s="688"/>
      <c r="R137" s="688"/>
      <c r="S137" s="688"/>
      <c r="T137" s="688"/>
      <c r="U137" s="688"/>
    </row>
    <row r="138" spans="3:21">
      <c r="C138" s="688"/>
      <c r="D138" s="688"/>
      <c r="E138" s="688"/>
      <c r="F138" s="688"/>
      <c r="G138" s="688"/>
      <c r="H138" s="688"/>
      <c r="I138" s="688"/>
      <c r="J138" s="688"/>
      <c r="K138" s="688"/>
      <c r="L138" s="688"/>
      <c r="M138" s="688"/>
      <c r="N138" s="688"/>
      <c r="O138" s="688"/>
      <c r="P138" s="688"/>
      <c r="Q138" s="688"/>
      <c r="R138" s="688"/>
      <c r="S138" s="688"/>
      <c r="T138" s="688"/>
      <c r="U138" s="688"/>
    </row>
    <row r="139" spans="3:21">
      <c r="C139" s="688"/>
      <c r="D139" s="688"/>
      <c r="E139" s="688"/>
      <c r="F139" s="688"/>
      <c r="G139" s="688"/>
      <c r="H139" s="688"/>
      <c r="I139" s="688"/>
      <c r="J139" s="688"/>
      <c r="K139" s="688"/>
      <c r="L139" s="688"/>
      <c r="M139" s="688"/>
      <c r="N139" s="688"/>
      <c r="O139" s="688"/>
      <c r="P139" s="688"/>
      <c r="Q139" s="688"/>
      <c r="R139" s="688"/>
      <c r="S139" s="688"/>
      <c r="T139" s="688"/>
      <c r="U139" s="688"/>
    </row>
    <row r="140" spans="3:21">
      <c r="C140" s="688"/>
      <c r="D140" s="688"/>
      <c r="E140" s="688"/>
      <c r="F140" s="688"/>
      <c r="G140" s="688"/>
      <c r="H140" s="688"/>
      <c r="I140" s="688"/>
      <c r="J140" s="688"/>
      <c r="K140" s="688"/>
      <c r="L140" s="688"/>
      <c r="M140" s="688"/>
      <c r="N140" s="688"/>
      <c r="O140" s="688"/>
      <c r="P140" s="688"/>
      <c r="Q140" s="688"/>
      <c r="R140" s="688"/>
      <c r="S140" s="688"/>
      <c r="T140" s="688"/>
      <c r="U140" s="688"/>
    </row>
    <row r="141" spans="3:21">
      <c r="C141" s="688"/>
      <c r="D141" s="688"/>
      <c r="E141" s="688"/>
      <c r="F141" s="688"/>
      <c r="G141" s="688"/>
      <c r="H141" s="688"/>
      <c r="I141" s="688"/>
      <c r="J141" s="688"/>
      <c r="K141" s="688"/>
      <c r="L141" s="688"/>
      <c r="M141" s="688"/>
      <c r="N141" s="688"/>
      <c r="O141" s="688"/>
      <c r="P141" s="688"/>
      <c r="Q141" s="688"/>
      <c r="R141" s="688"/>
      <c r="S141" s="688"/>
      <c r="T141" s="688"/>
      <c r="U141" s="688"/>
    </row>
    <row r="142" spans="3:21">
      <c r="C142" s="688"/>
      <c r="D142" s="688"/>
      <c r="E142" s="688"/>
      <c r="F142" s="688"/>
      <c r="G142" s="688"/>
      <c r="H142" s="688"/>
      <c r="I142" s="688"/>
      <c r="J142" s="688"/>
      <c r="K142" s="688"/>
      <c r="L142" s="688"/>
      <c r="M142" s="688"/>
      <c r="N142" s="688"/>
      <c r="O142" s="688"/>
      <c r="P142" s="688"/>
      <c r="Q142" s="688"/>
      <c r="R142" s="688"/>
      <c r="S142" s="688"/>
      <c r="T142" s="688"/>
      <c r="U142" s="688"/>
    </row>
    <row r="143" spans="3:21">
      <c r="C143" s="688"/>
      <c r="D143" s="688"/>
      <c r="E143" s="688"/>
      <c r="F143" s="688"/>
      <c r="G143" s="688"/>
      <c r="H143" s="688"/>
      <c r="I143" s="688"/>
      <c r="J143" s="688"/>
      <c r="K143" s="688"/>
      <c r="L143" s="688"/>
      <c r="M143" s="688"/>
      <c r="N143" s="688"/>
      <c r="O143" s="688"/>
      <c r="P143" s="688"/>
      <c r="Q143" s="688"/>
      <c r="R143" s="688"/>
      <c r="S143" s="688"/>
      <c r="T143" s="688"/>
      <c r="U143" s="688"/>
    </row>
    <row r="144" spans="3:21">
      <c r="C144" s="688"/>
      <c r="D144" s="688"/>
      <c r="E144" s="688"/>
      <c r="F144" s="688"/>
      <c r="G144" s="688"/>
      <c r="H144" s="688"/>
      <c r="I144" s="688"/>
      <c r="J144" s="688"/>
      <c r="K144" s="688"/>
      <c r="L144" s="688"/>
      <c r="M144" s="688"/>
      <c r="N144" s="688"/>
      <c r="O144" s="688"/>
      <c r="P144" s="688"/>
      <c r="Q144" s="688"/>
      <c r="R144" s="688"/>
      <c r="S144" s="688"/>
      <c r="T144" s="688"/>
      <c r="U144" s="688"/>
    </row>
    <row r="145" spans="3:21">
      <c r="C145" s="688"/>
      <c r="D145" s="688"/>
      <c r="E145" s="688"/>
      <c r="F145" s="688"/>
      <c r="G145" s="688"/>
      <c r="H145" s="688"/>
      <c r="I145" s="688"/>
      <c r="J145" s="688"/>
      <c r="K145" s="688"/>
      <c r="L145" s="688"/>
      <c r="M145" s="688"/>
      <c r="N145" s="688"/>
      <c r="O145" s="688"/>
      <c r="P145" s="688"/>
      <c r="Q145" s="688"/>
      <c r="R145" s="688"/>
      <c r="S145" s="688"/>
      <c r="T145" s="688"/>
      <c r="U145" s="688"/>
    </row>
    <row r="146" spans="3:21">
      <c r="C146" s="688"/>
      <c r="D146" s="688"/>
      <c r="E146" s="688"/>
      <c r="F146" s="688"/>
      <c r="G146" s="688"/>
      <c r="H146" s="688"/>
      <c r="I146" s="688"/>
      <c r="J146" s="688"/>
      <c r="K146" s="688"/>
      <c r="L146" s="688"/>
      <c r="M146" s="688"/>
      <c r="N146" s="688"/>
      <c r="O146" s="688"/>
      <c r="P146" s="688"/>
      <c r="Q146" s="688"/>
      <c r="R146" s="688"/>
      <c r="S146" s="688"/>
      <c r="T146" s="688"/>
      <c r="U146" s="688"/>
    </row>
    <row r="147" spans="3:21">
      <c r="C147" s="688"/>
      <c r="D147" s="688"/>
      <c r="E147" s="688"/>
      <c r="F147" s="688"/>
      <c r="G147" s="688"/>
      <c r="H147" s="688"/>
      <c r="I147" s="688"/>
      <c r="J147" s="688"/>
      <c r="K147" s="688"/>
      <c r="L147" s="688"/>
      <c r="M147" s="688"/>
      <c r="N147" s="688"/>
      <c r="O147" s="688"/>
      <c r="P147" s="688"/>
      <c r="Q147" s="688"/>
      <c r="R147" s="688"/>
      <c r="S147" s="688"/>
      <c r="T147" s="688"/>
      <c r="U147" s="688"/>
    </row>
    <row r="148" spans="3:21">
      <c r="C148" s="688"/>
      <c r="D148" s="688"/>
      <c r="E148" s="688"/>
      <c r="F148" s="688"/>
      <c r="G148" s="688"/>
      <c r="H148" s="688"/>
      <c r="I148" s="688"/>
      <c r="J148" s="688"/>
      <c r="K148" s="688"/>
      <c r="L148" s="688"/>
      <c r="M148" s="688"/>
      <c r="N148" s="688"/>
      <c r="O148" s="688"/>
      <c r="P148" s="688"/>
      <c r="Q148" s="688"/>
      <c r="R148" s="688"/>
      <c r="S148" s="688"/>
      <c r="T148" s="688"/>
      <c r="U148" s="688"/>
    </row>
    <row r="149" spans="3:21">
      <c r="C149" s="688"/>
      <c r="D149" s="688"/>
      <c r="E149" s="688"/>
      <c r="F149" s="688"/>
      <c r="G149" s="688"/>
      <c r="H149" s="688"/>
      <c r="I149" s="688"/>
      <c r="J149" s="688"/>
      <c r="K149" s="688"/>
      <c r="L149" s="688"/>
      <c r="M149" s="688"/>
      <c r="N149" s="688"/>
      <c r="O149" s="688"/>
      <c r="P149" s="688"/>
      <c r="Q149" s="688"/>
      <c r="R149" s="688"/>
      <c r="S149" s="688"/>
      <c r="T149" s="688"/>
      <c r="U149" s="688"/>
    </row>
    <row r="150" spans="3:21">
      <c r="C150" s="688"/>
      <c r="D150" s="688"/>
      <c r="E150" s="688"/>
      <c r="F150" s="688"/>
      <c r="G150" s="688"/>
      <c r="H150" s="688"/>
      <c r="I150" s="688"/>
      <c r="J150" s="688"/>
      <c r="K150" s="688"/>
      <c r="L150" s="688"/>
      <c r="M150" s="688"/>
      <c r="N150" s="688"/>
      <c r="O150" s="688"/>
      <c r="P150" s="688"/>
      <c r="Q150" s="688"/>
      <c r="R150" s="688"/>
      <c r="S150" s="688"/>
      <c r="T150" s="688"/>
      <c r="U150" s="688"/>
    </row>
    <row r="151" spans="3:21">
      <c r="C151" s="688"/>
      <c r="D151" s="688"/>
      <c r="E151" s="688"/>
      <c r="F151" s="688"/>
      <c r="G151" s="688"/>
      <c r="H151" s="688"/>
      <c r="I151" s="688"/>
      <c r="J151" s="688"/>
      <c r="K151" s="688"/>
      <c r="L151" s="688"/>
      <c r="M151" s="688"/>
      <c r="N151" s="688"/>
      <c r="O151" s="688"/>
      <c r="P151" s="688"/>
      <c r="Q151" s="688"/>
      <c r="R151" s="688"/>
      <c r="S151" s="688"/>
      <c r="T151" s="688"/>
      <c r="U151" s="688"/>
    </row>
    <row r="152" spans="3:21">
      <c r="C152" s="688"/>
      <c r="D152" s="688"/>
      <c r="E152" s="688"/>
      <c r="F152" s="688"/>
      <c r="G152" s="688"/>
      <c r="H152" s="688"/>
      <c r="I152" s="688"/>
      <c r="J152" s="688"/>
      <c r="K152" s="688"/>
      <c r="L152" s="688"/>
      <c r="M152" s="688"/>
      <c r="N152" s="688"/>
      <c r="O152" s="688"/>
      <c r="P152" s="688"/>
      <c r="Q152" s="688"/>
      <c r="R152" s="688"/>
      <c r="S152" s="688"/>
      <c r="T152" s="688"/>
      <c r="U152" s="688"/>
    </row>
    <row r="153" spans="3:21">
      <c r="C153" s="688"/>
      <c r="D153" s="688"/>
      <c r="E153" s="688"/>
      <c r="F153" s="688"/>
      <c r="G153" s="688"/>
      <c r="H153" s="688"/>
      <c r="I153" s="688"/>
      <c r="J153" s="688"/>
      <c r="K153" s="688"/>
      <c r="L153" s="688"/>
      <c r="M153" s="688"/>
      <c r="N153" s="688"/>
      <c r="O153" s="688"/>
      <c r="P153" s="688"/>
      <c r="Q153" s="688"/>
      <c r="R153" s="688"/>
      <c r="S153" s="688"/>
      <c r="T153" s="688"/>
      <c r="U153" s="688"/>
    </row>
    <row r="154" spans="3:21">
      <c r="C154" s="688"/>
      <c r="D154" s="688"/>
      <c r="E154" s="688"/>
      <c r="F154" s="688"/>
      <c r="G154" s="688"/>
      <c r="H154" s="688"/>
      <c r="I154" s="688"/>
      <c r="J154" s="688"/>
      <c r="K154" s="688"/>
      <c r="L154" s="688"/>
      <c r="M154" s="688"/>
      <c r="N154" s="688"/>
      <c r="O154" s="688"/>
      <c r="P154" s="688"/>
      <c r="Q154" s="688"/>
      <c r="R154" s="688"/>
      <c r="S154" s="688"/>
      <c r="T154" s="688"/>
      <c r="U154" s="688"/>
    </row>
    <row r="155" spans="3:21">
      <c r="C155" s="688"/>
      <c r="D155" s="688"/>
      <c r="E155" s="688"/>
      <c r="F155" s="688"/>
      <c r="G155" s="688"/>
      <c r="H155" s="688"/>
      <c r="I155" s="688"/>
      <c r="J155" s="688"/>
      <c r="K155" s="688"/>
      <c r="L155" s="688"/>
      <c r="M155" s="688"/>
      <c r="N155" s="688"/>
      <c r="O155" s="688"/>
      <c r="P155" s="688"/>
      <c r="Q155" s="688"/>
      <c r="R155" s="688"/>
      <c r="S155" s="688"/>
      <c r="T155" s="688"/>
      <c r="U155" s="688"/>
    </row>
    <row r="156" spans="3:21">
      <c r="C156" s="688"/>
      <c r="D156" s="688"/>
      <c r="E156" s="688"/>
      <c r="F156" s="688"/>
      <c r="G156" s="688"/>
      <c r="H156" s="688"/>
      <c r="I156" s="688"/>
      <c r="J156" s="688"/>
      <c r="K156" s="688"/>
      <c r="L156" s="688"/>
      <c r="M156" s="688"/>
      <c r="N156" s="688"/>
      <c r="O156" s="688"/>
      <c r="P156" s="688"/>
      <c r="Q156" s="688"/>
      <c r="R156" s="688"/>
      <c r="S156" s="688"/>
      <c r="T156" s="688"/>
      <c r="U156" s="688"/>
    </row>
    <row r="157" spans="3:21">
      <c r="C157" s="688"/>
      <c r="D157" s="688"/>
      <c r="E157" s="688"/>
      <c r="F157" s="688"/>
      <c r="G157" s="688"/>
      <c r="H157" s="688"/>
      <c r="I157" s="688"/>
      <c r="J157" s="688"/>
      <c r="K157" s="688"/>
      <c r="L157" s="688"/>
      <c r="M157" s="688"/>
      <c r="N157" s="688"/>
      <c r="O157" s="688"/>
      <c r="P157" s="688"/>
      <c r="Q157" s="688"/>
      <c r="R157" s="688"/>
      <c r="S157" s="688"/>
      <c r="T157" s="688"/>
      <c r="U157" s="688"/>
    </row>
    <row r="158" spans="3:21">
      <c r="C158" s="688"/>
      <c r="D158" s="688"/>
      <c r="E158" s="688"/>
      <c r="F158" s="688"/>
      <c r="G158" s="688"/>
      <c r="H158" s="688"/>
      <c r="I158" s="688"/>
      <c r="J158" s="688"/>
      <c r="K158" s="688"/>
      <c r="L158" s="688"/>
      <c r="M158" s="688"/>
      <c r="N158" s="688"/>
      <c r="O158" s="688"/>
      <c r="P158" s="688"/>
      <c r="Q158" s="688"/>
      <c r="R158" s="688"/>
      <c r="S158" s="688"/>
      <c r="T158" s="688"/>
      <c r="U158" s="688"/>
    </row>
    <row r="159" spans="3:21">
      <c r="C159" s="688"/>
      <c r="D159" s="688"/>
      <c r="E159" s="688"/>
      <c r="F159" s="688"/>
      <c r="G159" s="688"/>
      <c r="H159" s="688"/>
      <c r="I159" s="688"/>
      <c r="J159" s="688"/>
      <c r="K159" s="688"/>
      <c r="L159" s="688"/>
      <c r="M159" s="688"/>
      <c r="N159" s="688"/>
      <c r="O159" s="688"/>
      <c r="P159" s="688"/>
      <c r="Q159" s="688"/>
      <c r="R159" s="688"/>
      <c r="S159" s="688"/>
      <c r="T159" s="688"/>
      <c r="U159" s="688"/>
    </row>
    <row r="160" spans="3:21">
      <c r="C160" s="688"/>
      <c r="D160" s="688"/>
      <c r="E160" s="688"/>
      <c r="F160" s="688"/>
      <c r="G160" s="688"/>
      <c r="H160" s="688"/>
      <c r="I160" s="688"/>
      <c r="J160" s="688"/>
      <c r="K160" s="688"/>
      <c r="L160" s="688"/>
      <c r="M160" s="688"/>
      <c r="N160" s="688"/>
      <c r="O160" s="688"/>
      <c r="P160" s="688"/>
      <c r="Q160" s="688"/>
      <c r="R160" s="688"/>
      <c r="S160" s="688"/>
      <c r="T160" s="688"/>
      <c r="U160" s="688"/>
    </row>
    <row r="161" spans="3:21">
      <c r="C161" s="688"/>
      <c r="D161" s="688"/>
      <c r="E161" s="688"/>
      <c r="F161" s="688"/>
      <c r="G161" s="688"/>
      <c r="H161" s="688"/>
      <c r="I161" s="688"/>
      <c r="J161" s="688"/>
      <c r="K161" s="688"/>
      <c r="L161" s="688"/>
      <c r="M161" s="688"/>
      <c r="N161" s="688"/>
      <c r="O161" s="688"/>
      <c r="P161" s="688"/>
      <c r="Q161" s="688"/>
      <c r="R161" s="688"/>
      <c r="S161" s="688"/>
      <c r="T161" s="688"/>
      <c r="U161" s="688"/>
    </row>
    <row r="162" spans="3:21">
      <c r="C162" s="688"/>
      <c r="D162" s="688"/>
      <c r="E162" s="688"/>
      <c r="F162" s="688"/>
      <c r="G162" s="688"/>
      <c r="H162" s="688"/>
      <c r="I162" s="688"/>
      <c r="J162" s="688"/>
      <c r="K162" s="688"/>
      <c r="L162" s="688"/>
      <c r="M162" s="688"/>
      <c r="N162" s="688"/>
      <c r="O162" s="688"/>
      <c r="P162" s="688"/>
      <c r="Q162" s="688"/>
      <c r="R162" s="688"/>
      <c r="S162" s="688"/>
      <c r="T162" s="688"/>
      <c r="U162" s="688"/>
    </row>
    <row r="163" spans="3:21">
      <c r="C163" s="688"/>
      <c r="D163" s="688"/>
      <c r="E163" s="688"/>
      <c r="F163" s="688"/>
      <c r="G163" s="688"/>
      <c r="H163" s="688"/>
      <c r="I163" s="688"/>
      <c r="J163" s="688"/>
      <c r="K163" s="688"/>
      <c r="L163" s="688"/>
      <c r="M163" s="688"/>
      <c r="N163" s="688"/>
      <c r="O163" s="688"/>
      <c r="P163" s="688"/>
      <c r="Q163" s="688"/>
      <c r="R163" s="688"/>
      <c r="S163" s="688"/>
      <c r="T163" s="688"/>
      <c r="U163" s="688"/>
    </row>
    <row r="164" spans="3:21">
      <c r="C164" s="688"/>
      <c r="D164" s="688"/>
      <c r="E164" s="688"/>
      <c r="F164" s="688"/>
      <c r="G164" s="688"/>
      <c r="H164" s="688"/>
      <c r="I164" s="688"/>
      <c r="J164" s="688"/>
      <c r="K164" s="688"/>
      <c r="L164" s="688"/>
      <c r="M164" s="688"/>
      <c r="N164" s="688"/>
      <c r="O164" s="688"/>
      <c r="P164" s="688"/>
      <c r="Q164" s="688"/>
      <c r="R164" s="688"/>
      <c r="S164" s="688"/>
      <c r="T164" s="688"/>
      <c r="U164" s="688"/>
    </row>
    <row r="165" spans="3:21">
      <c r="C165" s="688"/>
      <c r="D165" s="688"/>
      <c r="E165" s="688"/>
      <c r="F165" s="688"/>
      <c r="G165" s="688"/>
      <c r="H165" s="688"/>
      <c r="I165" s="688"/>
      <c r="J165" s="688"/>
      <c r="K165" s="688"/>
      <c r="L165" s="688"/>
      <c r="M165" s="688"/>
      <c r="N165" s="688"/>
      <c r="O165" s="688"/>
      <c r="P165" s="688"/>
      <c r="Q165" s="688"/>
      <c r="R165" s="688"/>
      <c r="S165" s="688"/>
      <c r="T165" s="688"/>
      <c r="U165" s="688"/>
    </row>
    <row r="166" spans="3:21">
      <c r="C166" s="688"/>
      <c r="D166" s="688"/>
      <c r="E166" s="688"/>
      <c r="F166" s="688"/>
      <c r="G166" s="688"/>
      <c r="H166" s="688"/>
      <c r="I166" s="688"/>
      <c r="J166" s="688"/>
      <c r="K166" s="688"/>
      <c r="L166" s="688"/>
      <c r="M166" s="688"/>
      <c r="N166" s="688"/>
      <c r="O166" s="688"/>
      <c r="P166" s="688"/>
      <c r="Q166" s="688"/>
      <c r="R166" s="688"/>
      <c r="S166" s="688"/>
      <c r="T166" s="688"/>
      <c r="U166" s="688"/>
    </row>
    <row r="167" spans="3:21">
      <c r="C167" s="688"/>
      <c r="D167" s="688"/>
      <c r="E167" s="688"/>
      <c r="F167" s="688"/>
      <c r="G167" s="688"/>
      <c r="H167" s="688"/>
      <c r="I167" s="688"/>
      <c r="J167" s="688"/>
      <c r="K167" s="688"/>
      <c r="L167" s="688"/>
      <c r="M167" s="688"/>
      <c r="N167" s="688"/>
      <c r="O167" s="688"/>
      <c r="P167" s="688"/>
      <c r="Q167" s="688"/>
      <c r="R167" s="688"/>
      <c r="S167" s="688"/>
      <c r="T167" s="688"/>
      <c r="U167" s="688"/>
    </row>
    <row r="168" spans="3:21">
      <c r="C168" s="688"/>
      <c r="D168" s="688"/>
      <c r="E168" s="688"/>
      <c r="F168" s="688"/>
      <c r="G168" s="688"/>
      <c r="H168" s="688"/>
      <c r="I168" s="688"/>
      <c r="J168" s="688"/>
      <c r="K168" s="688"/>
      <c r="L168" s="688"/>
      <c r="M168" s="688"/>
      <c r="N168" s="688"/>
      <c r="O168" s="688"/>
      <c r="P168" s="688"/>
      <c r="Q168" s="688"/>
      <c r="R168" s="688"/>
      <c r="S168" s="688"/>
      <c r="T168" s="688"/>
      <c r="U168" s="688"/>
    </row>
    <row r="169" spans="3:21">
      <c r="C169" s="688"/>
      <c r="D169" s="688"/>
      <c r="E169" s="688"/>
      <c r="F169" s="688"/>
      <c r="G169" s="688"/>
      <c r="H169" s="688"/>
      <c r="I169" s="688"/>
      <c r="J169" s="688"/>
      <c r="K169" s="688"/>
      <c r="L169" s="688"/>
      <c r="M169" s="688"/>
      <c r="N169" s="688"/>
      <c r="O169" s="688"/>
      <c r="P169" s="688"/>
      <c r="Q169" s="688"/>
      <c r="R169" s="688"/>
      <c r="S169" s="688"/>
      <c r="T169" s="688"/>
      <c r="U169" s="688"/>
    </row>
    <row r="170" spans="3:21">
      <c r="C170" s="688"/>
      <c r="D170" s="688"/>
      <c r="E170" s="688"/>
      <c r="F170" s="688"/>
      <c r="G170" s="688"/>
      <c r="H170" s="688"/>
      <c r="I170" s="688"/>
      <c r="J170" s="688"/>
      <c r="K170" s="688"/>
      <c r="L170" s="688"/>
      <c r="M170" s="688"/>
      <c r="N170" s="688"/>
      <c r="O170" s="688"/>
      <c r="P170" s="688"/>
      <c r="Q170" s="688"/>
      <c r="R170" s="688"/>
      <c r="S170" s="688"/>
      <c r="T170" s="688"/>
      <c r="U170" s="688"/>
    </row>
    <row r="171" spans="3:21">
      <c r="C171" s="688"/>
      <c r="D171" s="688"/>
      <c r="E171" s="688"/>
      <c r="F171" s="688"/>
      <c r="G171" s="688"/>
      <c r="H171" s="688"/>
      <c r="I171" s="688"/>
      <c r="J171" s="688"/>
      <c r="K171" s="688"/>
      <c r="L171" s="688"/>
      <c r="M171" s="688"/>
      <c r="N171" s="688"/>
      <c r="O171" s="688"/>
      <c r="P171" s="688"/>
      <c r="Q171" s="688"/>
      <c r="R171" s="688"/>
      <c r="S171" s="688"/>
      <c r="T171" s="688"/>
      <c r="U171" s="688"/>
    </row>
    <row r="172" spans="3:21">
      <c r="C172" s="688"/>
      <c r="D172" s="688"/>
      <c r="E172" s="688"/>
      <c r="F172" s="688"/>
      <c r="G172" s="688"/>
      <c r="H172" s="688"/>
      <c r="I172" s="688"/>
      <c r="J172" s="688"/>
      <c r="K172" s="688"/>
      <c r="L172" s="688"/>
      <c r="M172" s="688"/>
      <c r="N172" s="688"/>
      <c r="O172" s="688"/>
      <c r="P172" s="688"/>
      <c r="Q172" s="688"/>
      <c r="R172" s="688"/>
      <c r="S172" s="688"/>
      <c r="T172" s="688"/>
      <c r="U172" s="688"/>
    </row>
    <row r="173" spans="3:21">
      <c r="C173" s="688"/>
      <c r="D173" s="688"/>
      <c r="E173" s="688"/>
      <c r="F173" s="688"/>
      <c r="G173" s="688"/>
      <c r="H173" s="688"/>
      <c r="I173" s="688"/>
      <c r="J173" s="688"/>
      <c r="K173" s="688"/>
      <c r="L173" s="688"/>
      <c r="M173" s="688"/>
      <c r="N173" s="688"/>
      <c r="O173" s="688"/>
      <c r="P173" s="688"/>
      <c r="Q173" s="688"/>
      <c r="R173" s="688"/>
      <c r="S173" s="688"/>
      <c r="T173" s="688"/>
      <c r="U173" s="688"/>
    </row>
    <row r="174" spans="3:21">
      <c r="C174" s="688"/>
      <c r="D174" s="688"/>
      <c r="E174" s="688"/>
      <c r="F174" s="688"/>
      <c r="G174" s="688"/>
      <c r="H174" s="688"/>
      <c r="I174" s="688"/>
      <c r="J174" s="688"/>
      <c r="K174" s="688"/>
      <c r="L174" s="688"/>
      <c r="M174" s="688"/>
      <c r="N174" s="688"/>
      <c r="O174" s="688"/>
      <c r="P174" s="688"/>
      <c r="Q174" s="688"/>
      <c r="R174" s="688"/>
      <c r="S174" s="688"/>
      <c r="T174" s="688"/>
      <c r="U174" s="688"/>
    </row>
    <row r="175" spans="3:21">
      <c r="C175" s="688"/>
      <c r="D175" s="688"/>
      <c r="E175" s="688"/>
      <c r="F175" s="688"/>
      <c r="G175" s="688"/>
      <c r="H175" s="688"/>
      <c r="I175" s="688"/>
      <c r="J175" s="688"/>
      <c r="K175" s="688"/>
      <c r="L175" s="688"/>
      <c r="M175" s="688"/>
      <c r="N175" s="688"/>
      <c r="O175" s="688"/>
      <c r="P175" s="688"/>
      <c r="Q175" s="688"/>
      <c r="R175" s="688"/>
      <c r="S175" s="688"/>
      <c r="T175" s="688"/>
      <c r="U175" s="688"/>
    </row>
    <row r="176" spans="3:21">
      <c r="C176" s="688"/>
      <c r="D176" s="688"/>
      <c r="E176" s="688"/>
      <c r="F176" s="688"/>
      <c r="G176" s="688"/>
      <c r="H176" s="688"/>
      <c r="I176" s="688"/>
      <c r="J176" s="688"/>
      <c r="K176" s="688"/>
      <c r="L176" s="688"/>
      <c r="M176" s="688"/>
      <c r="N176" s="688"/>
      <c r="O176" s="688"/>
      <c r="P176" s="688"/>
      <c r="Q176" s="688"/>
      <c r="R176" s="688"/>
      <c r="S176" s="688"/>
      <c r="T176" s="688"/>
      <c r="U176" s="688"/>
    </row>
    <row r="177" spans="3:21">
      <c r="C177" s="688"/>
      <c r="D177" s="688"/>
      <c r="E177" s="688"/>
      <c r="F177" s="688"/>
      <c r="G177" s="688"/>
      <c r="H177" s="688"/>
      <c r="I177" s="688"/>
      <c r="J177" s="688"/>
      <c r="K177" s="688"/>
      <c r="L177" s="688"/>
      <c r="M177" s="688"/>
      <c r="N177" s="688"/>
      <c r="O177" s="688"/>
      <c r="P177" s="688"/>
      <c r="Q177" s="688"/>
      <c r="R177" s="688"/>
      <c r="S177" s="688"/>
      <c r="T177" s="688"/>
      <c r="U177" s="688"/>
    </row>
    <row r="178" spans="3:21">
      <c r="C178" s="688"/>
      <c r="D178" s="688"/>
      <c r="E178" s="688"/>
      <c r="F178" s="688"/>
      <c r="G178" s="688"/>
      <c r="H178" s="688"/>
      <c r="I178" s="688"/>
      <c r="J178" s="688"/>
      <c r="K178" s="688"/>
      <c r="L178" s="688"/>
      <c r="M178" s="688"/>
      <c r="N178" s="688"/>
      <c r="O178" s="688"/>
      <c r="P178" s="688"/>
      <c r="Q178" s="688"/>
      <c r="R178" s="688"/>
      <c r="S178" s="688"/>
      <c r="T178" s="688"/>
      <c r="U178" s="688"/>
    </row>
    <row r="179" spans="3:21">
      <c r="C179" s="688"/>
      <c r="D179" s="688"/>
      <c r="E179" s="688"/>
      <c r="F179" s="688"/>
      <c r="G179" s="688"/>
      <c r="H179" s="688"/>
      <c r="I179" s="688"/>
      <c r="J179" s="688"/>
      <c r="K179" s="688"/>
      <c r="L179" s="688"/>
      <c r="M179" s="688"/>
      <c r="N179" s="688"/>
      <c r="O179" s="688"/>
      <c r="P179" s="688"/>
      <c r="Q179" s="688"/>
      <c r="R179" s="688"/>
      <c r="S179" s="688"/>
      <c r="T179" s="688"/>
      <c r="U179" s="688"/>
    </row>
    <row r="180" spans="3:21">
      <c r="C180" s="688"/>
      <c r="D180" s="688"/>
      <c r="E180" s="688"/>
      <c r="F180" s="688"/>
      <c r="G180" s="688"/>
      <c r="H180" s="688"/>
      <c r="I180" s="688"/>
      <c r="J180" s="688"/>
      <c r="K180" s="688"/>
      <c r="L180" s="688"/>
      <c r="M180" s="688"/>
      <c r="N180" s="688"/>
      <c r="O180" s="688"/>
      <c r="P180" s="688"/>
      <c r="Q180" s="688"/>
      <c r="R180" s="688"/>
      <c r="S180" s="688"/>
      <c r="T180" s="688"/>
      <c r="U180" s="688"/>
    </row>
    <row r="181" spans="3:21">
      <c r="C181" s="688"/>
      <c r="D181" s="688"/>
      <c r="E181" s="688"/>
      <c r="F181" s="688"/>
      <c r="G181" s="688"/>
      <c r="H181" s="688"/>
      <c r="I181" s="688"/>
      <c r="J181" s="688"/>
      <c r="K181" s="688"/>
      <c r="L181" s="688"/>
      <c r="M181" s="688"/>
      <c r="N181" s="688"/>
      <c r="O181" s="688"/>
      <c r="P181" s="688"/>
      <c r="Q181" s="688"/>
      <c r="R181" s="688"/>
      <c r="S181" s="688"/>
      <c r="T181" s="688"/>
      <c r="U181" s="688"/>
    </row>
    <row r="182" spans="3:21">
      <c r="C182" s="688"/>
      <c r="D182" s="688"/>
      <c r="E182" s="688"/>
      <c r="F182" s="688"/>
      <c r="G182" s="688"/>
      <c r="H182" s="688"/>
      <c r="I182" s="688"/>
      <c r="J182" s="688"/>
      <c r="K182" s="688"/>
      <c r="L182" s="688"/>
      <c r="M182" s="688"/>
      <c r="N182" s="688"/>
      <c r="O182" s="688"/>
      <c r="P182" s="688"/>
      <c r="Q182" s="688"/>
      <c r="R182" s="688"/>
      <c r="S182" s="688"/>
      <c r="T182" s="688"/>
      <c r="U182" s="688"/>
    </row>
    <row r="183" spans="3:21">
      <c r="C183" s="688"/>
      <c r="D183" s="688"/>
      <c r="E183" s="688"/>
      <c r="F183" s="688"/>
      <c r="G183" s="688"/>
      <c r="H183" s="688"/>
      <c r="I183" s="688"/>
      <c r="J183" s="688"/>
      <c r="K183" s="688"/>
      <c r="L183" s="688"/>
      <c r="M183" s="688"/>
      <c r="N183" s="688"/>
      <c r="O183" s="688"/>
      <c r="P183" s="688"/>
      <c r="Q183" s="688"/>
      <c r="R183" s="688"/>
      <c r="S183" s="688"/>
      <c r="T183" s="688"/>
      <c r="U183" s="688"/>
    </row>
    <row r="184" spans="3:21">
      <c r="C184" s="688"/>
      <c r="D184" s="688"/>
      <c r="E184" s="688"/>
      <c r="F184" s="688"/>
      <c r="G184" s="688"/>
      <c r="H184" s="688"/>
      <c r="I184" s="688"/>
      <c r="J184" s="688"/>
      <c r="K184" s="688"/>
      <c r="L184" s="688"/>
      <c r="M184" s="688"/>
      <c r="N184" s="688"/>
      <c r="O184" s="688"/>
      <c r="P184" s="688"/>
      <c r="Q184" s="688"/>
      <c r="R184" s="688"/>
      <c r="S184" s="688"/>
      <c r="T184" s="688"/>
      <c r="U184" s="688"/>
    </row>
    <row r="185" spans="3:21">
      <c r="C185" s="688"/>
      <c r="D185" s="688"/>
      <c r="E185" s="688"/>
      <c r="F185" s="688"/>
      <c r="G185" s="688"/>
      <c r="H185" s="688"/>
      <c r="I185" s="688"/>
      <c r="J185" s="688"/>
      <c r="K185" s="688"/>
      <c r="L185" s="688"/>
      <c r="M185" s="688"/>
      <c r="N185" s="688"/>
      <c r="O185" s="688"/>
      <c r="P185" s="688"/>
      <c r="Q185" s="688"/>
      <c r="R185" s="688"/>
      <c r="S185" s="688"/>
      <c r="T185" s="688"/>
      <c r="U185" s="688"/>
    </row>
    <row r="186" spans="3:21">
      <c r="C186" s="688"/>
      <c r="D186" s="688"/>
      <c r="E186" s="688"/>
      <c r="F186" s="688"/>
      <c r="G186" s="688"/>
      <c r="H186" s="688"/>
      <c r="I186" s="688"/>
      <c r="J186" s="688"/>
      <c r="K186" s="688"/>
      <c r="L186" s="688"/>
      <c r="M186" s="688"/>
      <c r="N186" s="688"/>
      <c r="O186" s="688"/>
      <c r="P186" s="688"/>
      <c r="Q186" s="688"/>
      <c r="R186" s="688"/>
      <c r="S186" s="688"/>
      <c r="T186" s="688"/>
      <c r="U186" s="688"/>
    </row>
    <row r="187" spans="3:21">
      <c r="C187" s="688"/>
      <c r="D187" s="688"/>
      <c r="E187" s="688"/>
      <c r="F187" s="688"/>
      <c r="G187" s="688"/>
      <c r="H187" s="688"/>
      <c r="I187" s="688"/>
      <c r="J187" s="688"/>
      <c r="K187" s="688"/>
      <c r="L187" s="688"/>
      <c r="M187" s="688"/>
      <c r="N187" s="688"/>
      <c r="O187" s="688"/>
      <c r="P187" s="688"/>
      <c r="Q187" s="688"/>
      <c r="R187" s="688"/>
      <c r="S187" s="688"/>
      <c r="T187" s="688"/>
      <c r="U187" s="688"/>
    </row>
    <row r="188" spans="3:21">
      <c r="C188" s="688"/>
      <c r="D188" s="688"/>
      <c r="E188" s="688"/>
      <c r="F188" s="688"/>
      <c r="G188" s="688"/>
      <c r="H188" s="688"/>
      <c r="I188" s="688"/>
      <c r="J188" s="688"/>
      <c r="K188" s="688"/>
      <c r="L188" s="688"/>
      <c r="M188" s="688"/>
      <c r="N188" s="688"/>
      <c r="O188" s="688"/>
      <c r="P188" s="688"/>
      <c r="Q188" s="688"/>
      <c r="R188" s="688"/>
      <c r="S188" s="688"/>
      <c r="T188" s="688"/>
      <c r="U188" s="688"/>
    </row>
    <row r="189" spans="3:21">
      <c r="C189" s="688"/>
      <c r="D189" s="688"/>
      <c r="E189" s="688"/>
      <c r="F189" s="688"/>
      <c r="G189" s="688"/>
      <c r="H189" s="688"/>
      <c r="I189" s="688"/>
      <c r="J189" s="688"/>
      <c r="K189" s="688"/>
      <c r="L189" s="688"/>
      <c r="M189" s="688"/>
      <c r="N189" s="688"/>
      <c r="O189" s="688"/>
      <c r="P189" s="688"/>
      <c r="Q189" s="688"/>
      <c r="R189" s="688"/>
      <c r="S189" s="688"/>
      <c r="T189" s="688"/>
      <c r="U189" s="688"/>
    </row>
    <row r="190" spans="3:21">
      <c r="C190" s="688"/>
      <c r="D190" s="688"/>
      <c r="E190" s="688"/>
      <c r="F190" s="688"/>
      <c r="G190" s="688"/>
      <c r="H190" s="688"/>
      <c r="I190" s="688"/>
      <c r="J190" s="688"/>
      <c r="K190" s="688"/>
      <c r="L190" s="688"/>
      <c r="M190" s="688"/>
      <c r="N190" s="688"/>
      <c r="O190" s="688"/>
      <c r="P190" s="688"/>
      <c r="Q190" s="688"/>
      <c r="R190" s="688"/>
      <c r="S190" s="688"/>
      <c r="T190" s="688"/>
      <c r="U190" s="688"/>
    </row>
    <row r="191" spans="3:21">
      <c r="C191" s="688"/>
      <c r="D191" s="688"/>
      <c r="E191" s="688"/>
      <c r="F191" s="688"/>
      <c r="G191" s="688"/>
      <c r="H191" s="688"/>
      <c r="I191" s="688"/>
      <c r="J191" s="688"/>
      <c r="K191" s="688"/>
      <c r="L191" s="688"/>
      <c r="M191" s="688"/>
      <c r="N191" s="688"/>
      <c r="O191" s="688"/>
      <c r="P191" s="688"/>
      <c r="Q191" s="688"/>
      <c r="R191" s="688"/>
      <c r="S191" s="688"/>
      <c r="T191" s="688"/>
      <c r="U191" s="688"/>
    </row>
    <row r="192" spans="3:21">
      <c r="C192" s="688"/>
      <c r="D192" s="688"/>
      <c r="E192" s="688"/>
      <c r="F192" s="688"/>
      <c r="G192" s="688"/>
      <c r="H192" s="688"/>
      <c r="I192" s="688"/>
      <c r="J192" s="688"/>
      <c r="K192" s="688"/>
      <c r="L192" s="688"/>
      <c r="M192" s="688"/>
      <c r="N192" s="688"/>
      <c r="O192" s="688"/>
      <c r="P192" s="688"/>
      <c r="Q192" s="688"/>
      <c r="R192" s="688"/>
      <c r="S192" s="688"/>
      <c r="T192" s="688"/>
      <c r="U192" s="688"/>
    </row>
    <row r="193" spans="3:21">
      <c r="C193" s="688"/>
      <c r="D193" s="688"/>
      <c r="E193" s="688"/>
      <c r="F193" s="688"/>
      <c r="G193" s="688"/>
      <c r="H193" s="688"/>
      <c r="I193" s="688"/>
      <c r="J193" s="688"/>
      <c r="K193" s="688"/>
      <c r="L193" s="688"/>
      <c r="M193" s="688"/>
      <c r="N193" s="688"/>
      <c r="O193" s="688"/>
      <c r="P193" s="688"/>
      <c r="Q193" s="688"/>
      <c r="R193" s="688"/>
      <c r="S193" s="688"/>
      <c r="T193" s="688"/>
      <c r="U193" s="688"/>
    </row>
    <row r="194" spans="3:21">
      <c r="C194" s="688"/>
      <c r="D194" s="688"/>
      <c r="E194" s="688"/>
      <c r="F194" s="688"/>
      <c r="G194" s="688"/>
      <c r="H194" s="688"/>
      <c r="I194" s="688"/>
      <c r="J194" s="688"/>
      <c r="K194" s="688"/>
      <c r="L194" s="688"/>
      <c r="M194" s="688"/>
      <c r="N194" s="688"/>
      <c r="O194" s="688"/>
      <c r="P194" s="688"/>
      <c r="Q194" s="688"/>
      <c r="R194" s="688"/>
      <c r="S194" s="688"/>
      <c r="T194" s="688"/>
      <c r="U194" s="688"/>
    </row>
    <row r="195" spans="3:21">
      <c r="C195" s="688"/>
      <c r="D195" s="688"/>
      <c r="E195" s="688"/>
      <c r="F195" s="688"/>
      <c r="G195" s="688"/>
      <c r="H195" s="688"/>
      <c r="I195" s="688"/>
      <c r="J195" s="688"/>
      <c r="K195" s="688"/>
      <c r="L195" s="688"/>
      <c r="M195" s="688"/>
      <c r="N195" s="688"/>
      <c r="O195" s="688"/>
      <c r="P195" s="688"/>
      <c r="Q195" s="688"/>
      <c r="R195" s="688"/>
      <c r="S195" s="688"/>
      <c r="T195" s="688"/>
      <c r="U195" s="688"/>
    </row>
    <row r="196" spans="3:21">
      <c r="C196" s="688"/>
      <c r="D196" s="688"/>
      <c r="E196" s="688"/>
      <c r="F196" s="688"/>
      <c r="G196" s="688"/>
      <c r="H196" s="688"/>
      <c r="I196" s="688"/>
      <c r="J196" s="688"/>
      <c r="K196" s="688"/>
      <c r="L196" s="688"/>
      <c r="M196" s="688"/>
      <c r="N196" s="688"/>
      <c r="O196" s="688"/>
      <c r="P196" s="688"/>
      <c r="Q196" s="688"/>
      <c r="R196" s="688"/>
      <c r="S196" s="688"/>
      <c r="T196" s="688"/>
      <c r="U196" s="688"/>
    </row>
    <row r="197" spans="3:21">
      <c r="C197" s="688"/>
      <c r="D197" s="688"/>
      <c r="E197" s="688"/>
      <c r="F197" s="688"/>
      <c r="G197" s="688"/>
      <c r="H197" s="688"/>
      <c r="I197" s="688"/>
      <c r="J197" s="688"/>
      <c r="K197" s="688"/>
      <c r="L197" s="688"/>
      <c r="M197" s="688"/>
      <c r="N197" s="688"/>
      <c r="O197" s="688"/>
      <c r="P197" s="688"/>
      <c r="Q197" s="688"/>
      <c r="R197" s="688"/>
      <c r="S197" s="688"/>
      <c r="T197" s="688"/>
      <c r="U197" s="688"/>
    </row>
    <row r="198" spans="3:21">
      <c r="C198" s="688"/>
      <c r="D198" s="688"/>
      <c r="E198" s="688"/>
      <c r="F198" s="688"/>
      <c r="G198" s="688"/>
      <c r="H198" s="688"/>
      <c r="I198" s="688"/>
      <c r="J198" s="688"/>
      <c r="K198" s="688"/>
      <c r="L198" s="688"/>
      <c r="M198" s="688"/>
      <c r="N198" s="688"/>
      <c r="O198" s="688"/>
      <c r="P198" s="688"/>
      <c r="Q198" s="688"/>
      <c r="R198" s="688"/>
      <c r="S198" s="688"/>
      <c r="T198" s="688"/>
      <c r="U198" s="688"/>
    </row>
    <row r="199" spans="3:21">
      <c r="C199" s="688"/>
      <c r="D199" s="688"/>
      <c r="E199" s="688"/>
      <c r="F199" s="688"/>
      <c r="G199" s="688"/>
      <c r="H199" s="688"/>
      <c r="I199" s="688"/>
      <c r="J199" s="688"/>
      <c r="K199" s="688"/>
      <c r="L199" s="688"/>
      <c r="M199" s="688"/>
      <c r="N199" s="688"/>
      <c r="O199" s="688"/>
      <c r="P199" s="688"/>
      <c r="Q199" s="688"/>
      <c r="R199" s="688"/>
      <c r="S199" s="688"/>
      <c r="T199" s="688"/>
      <c r="U199" s="688"/>
    </row>
    <row r="200" spans="3:21">
      <c r="C200" s="688"/>
      <c r="D200" s="688"/>
      <c r="E200" s="688"/>
      <c r="F200" s="688"/>
      <c r="G200" s="688"/>
      <c r="H200" s="688"/>
      <c r="I200" s="688"/>
      <c r="J200" s="688"/>
      <c r="K200" s="688"/>
      <c r="L200" s="688"/>
      <c r="M200" s="688"/>
      <c r="N200" s="688"/>
      <c r="O200" s="688"/>
      <c r="P200" s="688"/>
      <c r="Q200" s="688"/>
      <c r="R200" s="688"/>
      <c r="S200" s="688"/>
      <c r="T200" s="688"/>
      <c r="U200" s="688"/>
    </row>
    <row r="201" spans="3:21">
      <c r="C201" s="688"/>
      <c r="D201" s="688"/>
      <c r="E201" s="688"/>
      <c r="F201" s="688"/>
      <c r="G201" s="688"/>
      <c r="H201" s="688"/>
      <c r="I201" s="688"/>
      <c r="J201" s="688"/>
      <c r="K201" s="688"/>
      <c r="L201" s="688"/>
      <c r="M201" s="688"/>
      <c r="N201" s="688"/>
      <c r="O201" s="688"/>
      <c r="P201" s="688"/>
      <c r="Q201" s="688"/>
      <c r="R201" s="688"/>
      <c r="S201" s="688"/>
      <c r="T201" s="688"/>
      <c r="U201" s="688"/>
    </row>
    <row r="202" spans="3:21">
      <c r="C202" s="688"/>
      <c r="D202" s="688"/>
      <c r="E202" s="688"/>
      <c r="F202" s="688"/>
      <c r="G202" s="688"/>
      <c r="H202" s="688"/>
      <c r="I202" s="688"/>
      <c r="J202" s="688"/>
      <c r="K202" s="688"/>
      <c r="L202" s="688"/>
      <c r="M202" s="688"/>
      <c r="N202" s="688"/>
      <c r="O202" s="688"/>
      <c r="P202" s="688"/>
      <c r="Q202" s="688"/>
      <c r="R202" s="688"/>
      <c r="S202" s="688"/>
      <c r="T202" s="688"/>
      <c r="U202" s="688"/>
    </row>
    <row r="203" spans="3:21">
      <c r="C203" s="688"/>
      <c r="D203" s="688"/>
      <c r="E203" s="688"/>
      <c r="F203" s="688"/>
      <c r="G203" s="688"/>
      <c r="H203" s="688"/>
      <c r="I203" s="688"/>
      <c r="J203" s="688"/>
      <c r="K203" s="688"/>
      <c r="L203" s="688"/>
      <c r="M203" s="688"/>
      <c r="N203" s="688"/>
      <c r="O203" s="688"/>
      <c r="P203" s="688"/>
      <c r="Q203" s="688"/>
      <c r="R203" s="688"/>
      <c r="S203" s="688"/>
      <c r="T203" s="688"/>
      <c r="U203" s="688"/>
    </row>
    <row r="204" spans="3:21">
      <c r="C204" s="688"/>
      <c r="D204" s="688"/>
      <c r="E204" s="688"/>
      <c r="F204" s="688"/>
      <c r="G204" s="688"/>
      <c r="H204" s="688"/>
      <c r="I204" s="688"/>
      <c r="J204" s="688"/>
      <c r="K204" s="688"/>
      <c r="L204" s="688"/>
      <c r="M204" s="688"/>
      <c r="N204" s="688"/>
      <c r="O204" s="688"/>
      <c r="P204" s="688"/>
      <c r="Q204" s="688"/>
      <c r="R204" s="688"/>
      <c r="S204" s="688"/>
      <c r="T204" s="688"/>
      <c r="U204" s="688"/>
    </row>
    <row r="205" spans="3:21">
      <c r="C205" s="688"/>
      <c r="D205" s="688"/>
      <c r="E205" s="688"/>
      <c r="F205" s="688"/>
      <c r="G205" s="688"/>
      <c r="H205" s="688"/>
      <c r="I205" s="688"/>
      <c r="J205" s="688"/>
      <c r="K205" s="688"/>
      <c r="L205" s="688"/>
      <c r="M205" s="688"/>
      <c r="N205" s="688"/>
      <c r="O205" s="688"/>
      <c r="P205" s="688"/>
      <c r="Q205" s="688"/>
      <c r="R205" s="688"/>
      <c r="S205" s="688"/>
      <c r="T205" s="688"/>
      <c r="U205" s="688"/>
    </row>
    <row r="206" spans="3:21">
      <c r="C206" s="688"/>
      <c r="D206" s="688"/>
      <c r="E206" s="688"/>
      <c r="F206" s="688"/>
      <c r="G206" s="688"/>
      <c r="H206" s="688"/>
      <c r="I206" s="688"/>
      <c r="J206" s="688"/>
      <c r="K206" s="688"/>
      <c r="L206" s="688"/>
      <c r="M206" s="688"/>
      <c r="N206" s="688"/>
      <c r="O206" s="688"/>
      <c r="P206" s="688"/>
      <c r="Q206" s="688"/>
      <c r="R206" s="688"/>
      <c r="S206" s="688"/>
      <c r="T206" s="688"/>
      <c r="U206" s="688"/>
    </row>
    <row r="207" spans="3:21">
      <c r="C207" s="688"/>
      <c r="D207" s="688"/>
      <c r="E207" s="688"/>
      <c r="F207" s="688"/>
      <c r="G207" s="688"/>
      <c r="H207" s="688"/>
      <c r="I207" s="688"/>
      <c r="J207" s="688"/>
      <c r="K207" s="688"/>
      <c r="L207" s="688"/>
      <c r="M207" s="688"/>
      <c r="N207" s="688"/>
      <c r="O207" s="688"/>
      <c r="P207" s="688"/>
      <c r="Q207" s="688"/>
      <c r="R207" s="688"/>
      <c r="S207" s="688"/>
      <c r="T207" s="688"/>
      <c r="U207" s="688"/>
    </row>
    <row r="208" spans="3:21">
      <c r="C208" s="688"/>
      <c r="D208" s="688"/>
      <c r="E208" s="688"/>
      <c r="F208" s="688"/>
      <c r="G208" s="688"/>
      <c r="H208" s="688"/>
      <c r="I208" s="688"/>
      <c r="J208" s="688"/>
      <c r="K208" s="688"/>
      <c r="L208" s="688"/>
      <c r="M208" s="688"/>
      <c r="N208" s="688"/>
      <c r="O208" s="688"/>
      <c r="P208" s="688"/>
      <c r="Q208" s="688"/>
      <c r="R208" s="688"/>
      <c r="S208" s="688"/>
      <c r="T208" s="688"/>
      <c r="U208" s="688"/>
    </row>
    <row r="209" spans="3:21">
      <c r="C209" s="688"/>
      <c r="D209" s="688"/>
      <c r="E209" s="688"/>
      <c r="F209" s="688"/>
      <c r="G209" s="688"/>
      <c r="H209" s="688"/>
      <c r="I209" s="688"/>
      <c r="J209" s="688"/>
      <c r="K209" s="688"/>
      <c r="L209" s="688"/>
      <c r="M209" s="688"/>
      <c r="N209" s="688"/>
      <c r="O209" s="688"/>
      <c r="P209" s="688"/>
      <c r="Q209" s="688"/>
      <c r="R209" s="688"/>
      <c r="S209" s="688"/>
      <c r="T209" s="688"/>
      <c r="U209" s="688"/>
    </row>
    <row r="210" spans="3:21">
      <c r="C210" s="688"/>
      <c r="D210" s="688"/>
      <c r="E210" s="688"/>
      <c r="F210" s="688"/>
      <c r="G210" s="688"/>
      <c r="H210" s="688"/>
      <c r="I210" s="688"/>
      <c r="J210" s="688"/>
      <c r="K210" s="688"/>
      <c r="L210" s="688"/>
      <c r="M210" s="688"/>
      <c r="N210" s="688"/>
      <c r="O210" s="688"/>
      <c r="P210" s="688"/>
      <c r="Q210" s="688"/>
      <c r="R210" s="688"/>
      <c r="S210" s="688"/>
      <c r="T210" s="688"/>
      <c r="U210" s="688"/>
    </row>
    <row r="211" spans="3:21">
      <c r="C211" s="688"/>
      <c r="D211" s="688"/>
      <c r="E211" s="688"/>
      <c r="F211" s="688"/>
      <c r="G211" s="688"/>
      <c r="H211" s="688"/>
      <c r="I211" s="688"/>
      <c r="J211" s="688"/>
      <c r="K211" s="688"/>
      <c r="L211" s="688"/>
      <c r="M211" s="688"/>
      <c r="N211" s="688"/>
      <c r="O211" s="688"/>
      <c r="P211" s="688"/>
      <c r="Q211" s="688"/>
      <c r="R211" s="688"/>
      <c r="S211" s="688"/>
      <c r="T211" s="688"/>
      <c r="U211" s="688"/>
    </row>
    <row r="212" spans="3:21">
      <c r="C212" s="688"/>
      <c r="D212" s="688"/>
      <c r="E212" s="688"/>
      <c r="F212" s="688"/>
      <c r="G212" s="688"/>
      <c r="H212" s="688"/>
      <c r="I212" s="688"/>
      <c r="J212" s="688"/>
      <c r="K212" s="688"/>
      <c r="L212" s="688"/>
      <c r="M212" s="688"/>
      <c r="N212" s="688"/>
      <c r="O212" s="688"/>
      <c r="P212" s="688"/>
      <c r="Q212" s="688"/>
      <c r="R212" s="688"/>
      <c r="S212" s="688"/>
      <c r="T212" s="688"/>
      <c r="U212" s="688"/>
    </row>
    <row r="213" spans="3:21">
      <c r="C213" s="688"/>
      <c r="D213" s="688"/>
      <c r="E213" s="688"/>
      <c r="F213" s="688"/>
      <c r="G213" s="688"/>
      <c r="H213" s="688"/>
      <c r="I213" s="688"/>
      <c r="J213" s="688"/>
      <c r="K213" s="688"/>
      <c r="L213" s="688"/>
      <c r="M213" s="688"/>
      <c r="N213" s="688"/>
      <c r="O213" s="688"/>
      <c r="P213" s="688"/>
      <c r="Q213" s="688"/>
      <c r="R213" s="688"/>
      <c r="S213" s="688"/>
      <c r="T213" s="688"/>
      <c r="U213" s="688"/>
    </row>
    <row r="214" spans="3:21">
      <c r="C214" s="688"/>
      <c r="D214" s="688"/>
      <c r="E214" s="688"/>
      <c r="F214" s="688"/>
      <c r="G214" s="688"/>
      <c r="H214" s="688"/>
      <c r="I214" s="688"/>
      <c r="J214" s="688"/>
      <c r="K214" s="688"/>
      <c r="L214" s="688"/>
      <c r="M214" s="688"/>
      <c r="N214" s="688"/>
      <c r="O214" s="688"/>
      <c r="P214" s="688"/>
      <c r="Q214" s="688"/>
      <c r="R214" s="688"/>
      <c r="S214" s="688"/>
      <c r="T214" s="688"/>
      <c r="U214" s="688"/>
    </row>
    <row r="215" spans="3:21">
      <c r="C215" s="688"/>
      <c r="D215" s="688"/>
      <c r="E215" s="688"/>
      <c r="F215" s="688"/>
      <c r="G215" s="688"/>
      <c r="H215" s="688"/>
      <c r="I215" s="688"/>
      <c r="J215" s="688"/>
      <c r="K215" s="688"/>
      <c r="L215" s="688"/>
      <c r="M215" s="688"/>
      <c r="N215" s="688"/>
      <c r="O215" s="688"/>
      <c r="P215" s="688"/>
      <c r="Q215" s="688"/>
      <c r="R215" s="688"/>
      <c r="S215" s="688"/>
      <c r="T215" s="688"/>
      <c r="U215" s="688"/>
    </row>
    <row r="216" spans="3:21">
      <c r="C216" s="688"/>
      <c r="D216" s="688"/>
      <c r="E216" s="688"/>
      <c r="F216" s="688"/>
      <c r="G216" s="688"/>
      <c r="H216" s="688"/>
      <c r="I216" s="688"/>
      <c r="J216" s="688"/>
      <c r="K216" s="688"/>
      <c r="L216" s="688"/>
      <c r="M216" s="688"/>
      <c r="N216" s="688"/>
      <c r="O216" s="688"/>
      <c r="P216" s="688"/>
      <c r="Q216" s="688"/>
      <c r="R216" s="688"/>
      <c r="S216" s="688"/>
      <c r="T216" s="688"/>
      <c r="U216" s="688"/>
    </row>
    <row r="217" spans="3:21">
      <c r="C217" s="688"/>
      <c r="D217" s="688"/>
      <c r="E217" s="688"/>
      <c r="F217" s="688"/>
      <c r="G217" s="688"/>
      <c r="H217" s="688"/>
      <c r="I217" s="688"/>
      <c r="J217" s="688"/>
      <c r="K217" s="688"/>
      <c r="L217" s="688"/>
      <c r="M217" s="688"/>
      <c r="N217" s="688"/>
      <c r="O217" s="688"/>
      <c r="P217" s="688"/>
      <c r="Q217" s="688"/>
      <c r="R217" s="688"/>
      <c r="S217" s="688"/>
      <c r="T217" s="688"/>
      <c r="U217" s="688"/>
    </row>
    <row r="218" spans="3:21">
      <c r="C218" s="688"/>
      <c r="D218" s="688"/>
      <c r="E218" s="688"/>
      <c r="F218" s="688"/>
      <c r="G218" s="688"/>
      <c r="H218" s="688"/>
      <c r="I218" s="688"/>
      <c r="J218" s="688"/>
      <c r="K218" s="688"/>
      <c r="L218" s="688"/>
      <c r="M218" s="688"/>
      <c r="N218" s="688"/>
      <c r="O218" s="688"/>
      <c r="P218" s="688"/>
      <c r="Q218" s="688"/>
      <c r="R218" s="688"/>
      <c r="S218" s="688"/>
      <c r="T218" s="688"/>
      <c r="U218" s="688"/>
    </row>
    <row r="219" spans="3:21">
      <c r="C219" s="688"/>
      <c r="D219" s="688"/>
      <c r="E219" s="688"/>
      <c r="F219" s="688"/>
      <c r="G219" s="688"/>
      <c r="H219" s="688"/>
      <c r="I219" s="688"/>
      <c r="J219" s="688"/>
      <c r="K219" s="688"/>
      <c r="L219" s="688"/>
      <c r="M219" s="688"/>
      <c r="N219" s="688"/>
      <c r="O219" s="688"/>
      <c r="P219" s="688"/>
      <c r="Q219" s="688"/>
      <c r="R219" s="688"/>
      <c r="S219" s="688"/>
      <c r="T219" s="688"/>
      <c r="U219" s="688"/>
    </row>
    <row r="220" spans="3:21">
      <c r="C220" s="688"/>
      <c r="D220" s="688"/>
      <c r="E220" s="688"/>
      <c r="F220" s="688"/>
      <c r="G220" s="688"/>
      <c r="H220" s="688"/>
      <c r="I220" s="688"/>
      <c r="J220" s="688"/>
      <c r="K220" s="688"/>
      <c r="L220" s="688"/>
      <c r="M220" s="688"/>
      <c r="N220" s="688"/>
      <c r="O220" s="688"/>
      <c r="P220" s="688"/>
      <c r="Q220" s="688"/>
      <c r="R220" s="688"/>
      <c r="S220" s="688"/>
      <c r="T220" s="688"/>
      <c r="U220" s="688"/>
    </row>
    <row r="221" spans="3:21">
      <c r="C221" s="688"/>
      <c r="D221" s="688"/>
      <c r="E221" s="688"/>
      <c r="F221" s="688"/>
      <c r="G221" s="688"/>
      <c r="H221" s="688"/>
      <c r="I221" s="688"/>
      <c r="J221" s="688"/>
      <c r="K221" s="688"/>
      <c r="L221" s="688"/>
      <c r="M221" s="688"/>
      <c r="N221" s="688"/>
      <c r="O221" s="688"/>
      <c r="P221" s="688"/>
      <c r="Q221" s="688"/>
      <c r="R221" s="688"/>
      <c r="S221" s="688"/>
      <c r="T221" s="688"/>
      <c r="U221" s="688"/>
    </row>
    <row r="222" spans="3:21">
      <c r="C222" s="688"/>
      <c r="D222" s="688"/>
      <c r="E222" s="688"/>
      <c r="F222" s="688"/>
      <c r="G222" s="688"/>
      <c r="H222" s="688"/>
      <c r="I222" s="688"/>
      <c r="J222" s="688"/>
      <c r="K222" s="688"/>
      <c r="L222" s="688"/>
      <c r="M222" s="688"/>
      <c r="N222" s="688"/>
      <c r="O222" s="688"/>
      <c r="P222" s="688"/>
      <c r="Q222" s="688"/>
      <c r="R222" s="688"/>
      <c r="S222" s="688"/>
      <c r="T222" s="688"/>
      <c r="U222" s="688"/>
    </row>
    <row r="223" spans="3:21">
      <c r="C223" s="688"/>
      <c r="D223" s="688"/>
      <c r="E223" s="688"/>
      <c r="F223" s="688"/>
      <c r="G223" s="688"/>
      <c r="H223" s="688"/>
      <c r="I223" s="688"/>
      <c r="J223" s="688"/>
      <c r="K223" s="688"/>
      <c r="L223" s="688"/>
      <c r="M223" s="688"/>
      <c r="N223" s="688"/>
      <c r="O223" s="688"/>
      <c r="P223" s="688"/>
      <c r="Q223" s="688"/>
      <c r="R223" s="688"/>
      <c r="S223" s="688"/>
      <c r="T223" s="688"/>
      <c r="U223" s="688"/>
    </row>
    <row r="224" spans="3:21">
      <c r="C224" s="688"/>
      <c r="D224" s="688"/>
      <c r="E224" s="688"/>
      <c r="F224" s="688"/>
      <c r="G224" s="688"/>
      <c r="H224" s="688"/>
      <c r="I224" s="688"/>
      <c r="J224" s="688"/>
      <c r="K224" s="688"/>
      <c r="L224" s="688"/>
      <c r="M224" s="688"/>
      <c r="N224" s="688"/>
      <c r="O224" s="688"/>
      <c r="P224" s="688"/>
      <c r="Q224" s="688"/>
      <c r="R224" s="688"/>
      <c r="S224" s="688"/>
      <c r="T224" s="688"/>
      <c r="U224" s="688"/>
    </row>
    <row r="225" spans="3:21">
      <c r="C225" s="688"/>
      <c r="D225" s="688"/>
      <c r="E225" s="688"/>
      <c r="F225" s="688"/>
      <c r="G225" s="688"/>
      <c r="H225" s="688"/>
      <c r="I225" s="688"/>
      <c r="J225" s="688"/>
      <c r="K225" s="688"/>
      <c r="L225" s="688"/>
      <c r="M225" s="688"/>
      <c r="N225" s="688"/>
      <c r="O225" s="688"/>
      <c r="P225" s="688"/>
      <c r="Q225" s="688"/>
      <c r="R225" s="688"/>
      <c r="S225" s="688"/>
      <c r="T225" s="688"/>
      <c r="U225" s="688"/>
    </row>
    <row r="226" spans="3:21">
      <c r="C226" s="688"/>
      <c r="D226" s="688"/>
      <c r="E226" s="688"/>
      <c r="F226" s="688"/>
      <c r="G226" s="688"/>
      <c r="H226" s="688"/>
      <c r="I226" s="688"/>
      <c r="J226" s="688"/>
      <c r="K226" s="688"/>
      <c r="L226" s="688"/>
      <c r="M226" s="688"/>
      <c r="N226" s="688"/>
      <c r="O226" s="688"/>
      <c r="P226" s="688"/>
      <c r="Q226" s="688"/>
      <c r="R226" s="688"/>
      <c r="S226" s="688"/>
      <c r="T226" s="688"/>
      <c r="U226" s="688"/>
    </row>
    <row r="227" spans="3:21">
      <c r="C227" s="688"/>
      <c r="D227" s="688"/>
      <c r="E227" s="688"/>
      <c r="F227" s="688"/>
      <c r="G227" s="688"/>
      <c r="H227" s="688"/>
      <c r="I227" s="688"/>
      <c r="J227" s="688"/>
      <c r="K227" s="688"/>
      <c r="L227" s="688"/>
      <c r="M227" s="688"/>
      <c r="N227" s="688"/>
      <c r="O227" s="688"/>
      <c r="P227" s="688"/>
      <c r="Q227" s="688"/>
      <c r="R227" s="688"/>
      <c r="S227" s="688"/>
      <c r="T227" s="688"/>
      <c r="U227" s="688"/>
    </row>
    <row r="228" spans="3:21">
      <c r="C228" s="688"/>
      <c r="D228" s="688"/>
      <c r="E228" s="688"/>
      <c r="F228" s="688"/>
      <c r="G228" s="688"/>
      <c r="H228" s="688"/>
      <c r="I228" s="688"/>
      <c r="J228" s="688"/>
      <c r="K228" s="688"/>
      <c r="L228" s="688"/>
      <c r="M228" s="688"/>
      <c r="N228" s="688"/>
      <c r="O228" s="688"/>
      <c r="P228" s="688"/>
      <c r="Q228" s="688"/>
      <c r="R228" s="688"/>
      <c r="S228" s="688"/>
      <c r="T228" s="688"/>
      <c r="U228" s="688"/>
    </row>
    <row r="229" spans="3:21">
      <c r="C229" s="688"/>
      <c r="D229" s="688"/>
      <c r="E229" s="688"/>
      <c r="F229" s="688"/>
      <c r="G229" s="688"/>
      <c r="H229" s="688"/>
      <c r="I229" s="688"/>
      <c r="J229" s="688"/>
      <c r="K229" s="688"/>
      <c r="L229" s="688"/>
      <c r="M229" s="688"/>
      <c r="N229" s="688"/>
      <c r="O229" s="688"/>
      <c r="P229" s="688"/>
      <c r="Q229" s="688"/>
      <c r="R229" s="688"/>
      <c r="S229" s="688"/>
      <c r="T229" s="688"/>
      <c r="U229" s="688"/>
    </row>
    <row r="230" spans="3:21">
      <c r="C230" s="688"/>
      <c r="D230" s="688"/>
      <c r="E230" s="688"/>
      <c r="F230" s="688"/>
      <c r="G230" s="688"/>
      <c r="H230" s="688"/>
      <c r="I230" s="688"/>
      <c r="J230" s="688"/>
      <c r="K230" s="688"/>
      <c r="L230" s="688"/>
      <c r="M230" s="688"/>
      <c r="N230" s="688"/>
      <c r="O230" s="688"/>
      <c r="P230" s="688"/>
      <c r="Q230" s="688"/>
      <c r="R230" s="688"/>
      <c r="S230" s="688"/>
      <c r="T230" s="688"/>
      <c r="U230" s="688"/>
    </row>
    <row r="231" spans="3:21">
      <c r="C231" s="688"/>
      <c r="D231" s="688"/>
      <c r="E231" s="688"/>
      <c r="F231" s="688"/>
      <c r="G231" s="688"/>
      <c r="H231" s="688"/>
      <c r="I231" s="688"/>
      <c r="J231" s="688"/>
      <c r="K231" s="688"/>
      <c r="L231" s="688"/>
      <c r="M231" s="688"/>
      <c r="N231" s="688"/>
      <c r="O231" s="688"/>
      <c r="P231" s="688"/>
      <c r="Q231" s="688"/>
      <c r="R231" s="688"/>
      <c r="S231" s="688"/>
      <c r="T231" s="688"/>
      <c r="U231" s="688"/>
    </row>
    <row r="232" spans="3:21">
      <c r="C232" s="688"/>
      <c r="D232" s="688"/>
      <c r="E232" s="688"/>
      <c r="F232" s="688"/>
      <c r="G232" s="688"/>
      <c r="H232" s="688"/>
      <c r="I232" s="688"/>
      <c r="J232" s="688"/>
      <c r="K232" s="688"/>
      <c r="L232" s="688"/>
      <c r="M232" s="688"/>
      <c r="N232" s="688"/>
      <c r="O232" s="688"/>
      <c r="P232" s="688"/>
      <c r="Q232" s="688"/>
      <c r="R232" s="688"/>
      <c r="S232" s="688"/>
      <c r="T232" s="688"/>
      <c r="U232" s="688"/>
    </row>
    <row r="233" spans="3:21">
      <c r="C233" s="688"/>
      <c r="D233" s="688"/>
      <c r="E233" s="688"/>
      <c r="F233" s="688"/>
      <c r="G233" s="688"/>
      <c r="H233" s="688"/>
      <c r="I233" s="688"/>
      <c r="J233" s="688"/>
      <c r="K233" s="688"/>
      <c r="L233" s="688"/>
      <c r="M233" s="688"/>
      <c r="N233" s="688"/>
      <c r="O233" s="688"/>
      <c r="P233" s="688"/>
      <c r="Q233" s="688"/>
      <c r="R233" s="688"/>
      <c r="S233" s="688"/>
      <c r="T233" s="688"/>
      <c r="U233" s="688"/>
    </row>
    <row r="234" spans="3:21">
      <c r="C234" s="688"/>
      <c r="D234" s="688"/>
      <c r="E234" s="688"/>
      <c r="F234" s="688"/>
      <c r="G234" s="688"/>
      <c r="H234" s="688"/>
      <c r="I234" s="688"/>
      <c r="J234" s="688"/>
      <c r="K234" s="688"/>
      <c r="L234" s="688"/>
      <c r="M234" s="688"/>
      <c r="N234" s="688"/>
      <c r="O234" s="688"/>
      <c r="P234" s="688"/>
      <c r="Q234" s="688"/>
      <c r="R234" s="688"/>
      <c r="S234" s="688"/>
      <c r="T234" s="688"/>
      <c r="U234" s="688"/>
    </row>
    <row r="235" spans="3:21">
      <c r="C235" s="688"/>
      <c r="D235" s="688"/>
      <c r="E235" s="688"/>
      <c r="F235" s="688"/>
      <c r="G235" s="688"/>
      <c r="H235" s="688"/>
      <c r="I235" s="688"/>
      <c r="J235" s="688"/>
      <c r="K235" s="688"/>
      <c r="L235" s="688"/>
      <c r="M235" s="688"/>
      <c r="N235" s="688"/>
      <c r="O235" s="688"/>
      <c r="P235" s="688"/>
      <c r="Q235" s="688"/>
      <c r="R235" s="688"/>
      <c r="S235" s="688"/>
      <c r="T235" s="688"/>
      <c r="U235" s="688"/>
    </row>
    <row r="236" spans="3:21">
      <c r="C236" s="688"/>
      <c r="D236" s="688"/>
      <c r="E236" s="688"/>
      <c r="F236" s="688"/>
      <c r="G236" s="688"/>
      <c r="H236" s="688"/>
      <c r="I236" s="688"/>
      <c r="J236" s="688"/>
      <c r="K236" s="688"/>
      <c r="L236" s="688"/>
      <c r="M236" s="688"/>
      <c r="N236" s="688"/>
      <c r="O236" s="688"/>
      <c r="P236" s="688"/>
      <c r="Q236" s="688"/>
      <c r="R236" s="688"/>
      <c r="S236" s="688"/>
      <c r="T236" s="688"/>
      <c r="U236" s="688"/>
    </row>
    <row r="237" spans="3:21">
      <c r="C237" s="688"/>
      <c r="D237" s="688"/>
      <c r="E237" s="688"/>
      <c r="F237" s="688"/>
      <c r="G237" s="688"/>
      <c r="H237" s="688"/>
      <c r="I237" s="688"/>
      <c r="J237" s="688"/>
      <c r="K237" s="688"/>
      <c r="L237" s="688"/>
      <c r="M237" s="688"/>
      <c r="N237" s="688"/>
      <c r="O237" s="688"/>
      <c r="P237" s="688"/>
      <c r="Q237" s="688"/>
      <c r="R237" s="688"/>
      <c r="S237" s="688"/>
      <c r="T237" s="688"/>
      <c r="U237" s="688"/>
    </row>
    <row r="238" spans="3:21">
      <c r="C238" s="688"/>
      <c r="D238" s="688"/>
      <c r="E238" s="688"/>
      <c r="F238" s="688"/>
      <c r="G238" s="688"/>
      <c r="H238" s="688"/>
      <c r="I238" s="688"/>
      <c r="J238" s="688"/>
      <c r="K238" s="688"/>
      <c r="L238" s="688"/>
      <c r="M238" s="688"/>
      <c r="N238" s="688"/>
      <c r="O238" s="688"/>
      <c r="P238" s="688"/>
      <c r="Q238" s="688"/>
      <c r="R238" s="688"/>
      <c r="S238" s="688"/>
      <c r="T238" s="688"/>
      <c r="U238" s="688"/>
    </row>
    <row r="239" spans="3:21">
      <c r="C239" s="688"/>
      <c r="D239" s="688"/>
      <c r="E239" s="688"/>
      <c r="F239" s="688"/>
      <c r="G239" s="688"/>
      <c r="H239" s="688"/>
      <c r="I239" s="688"/>
      <c r="J239" s="688"/>
      <c r="K239" s="688"/>
      <c r="L239" s="688"/>
      <c r="M239" s="688"/>
      <c r="N239" s="688"/>
      <c r="O239" s="688"/>
      <c r="P239" s="688"/>
      <c r="Q239" s="688"/>
      <c r="R239" s="688"/>
      <c r="S239" s="688"/>
      <c r="T239" s="688"/>
      <c r="U239" s="688"/>
    </row>
    <row r="240" spans="3:21">
      <c r="C240" s="688"/>
      <c r="D240" s="688"/>
      <c r="E240" s="688"/>
      <c r="F240" s="688"/>
      <c r="G240" s="688"/>
      <c r="H240" s="688"/>
      <c r="I240" s="688"/>
      <c r="J240" s="688"/>
      <c r="K240" s="688"/>
      <c r="L240" s="688"/>
      <c r="M240" s="688"/>
      <c r="N240" s="688"/>
      <c r="O240" s="688"/>
      <c r="P240" s="688"/>
      <c r="Q240" s="688"/>
      <c r="R240" s="688"/>
      <c r="S240" s="688"/>
      <c r="T240" s="688"/>
      <c r="U240" s="688"/>
    </row>
    <row r="241" spans="3:21">
      <c r="C241" s="688"/>
      <c r="D241" s="688"/>
      <c r="E241" s="688"/>
      <c r="F241" s="688"/>
      <c r="G241" s="688"/>
      <c r="H241" s="688"/>
      <c r="I241" s="688"/>
      <c r="J241" s="688"/>
      <c r="K241" s="688"/>
      <c r="L241" s="688"/>
      <c r="M241" s="688"/>
      <c r="N241" s="688"/>
      <c r="O241" s="688"/>
      <c r="P241" s="688"/>
      <c r="Q241" s="688"/>
      <c r="R241" s="688"/>
      <c r="S241" s="688"/>
      <c r="T241" s="688"/>
      <c r="U241" s="688"/>
    </row>
    <row r="242" spans="3:21">
      <c r="C242" s="688"/>
      <c r="D242" s="688"/>
      <c r="E242" s="688"/>
      <c r="F242" s="688"/>
      <c r="G242" s="688"/>
      <c r="H242" s="688"/>
      <c r="I242" s="688"/>
      <c r="J242" s="688"/>
      <c r="K242" s="688"/>
      <c r="L242" s="688"/>
      <c r="M242" s="688"/>
      <c r="N242" s="688"/>
      <c r="O242" s="688"/>
      <c r="P242" s="688"/>
      <c r="Q242" s="688"/>
      <c r="R242" s="688"/>
      <c r="S242" s="688"/>
      <c r="T242" s="688"/>
      <c r="U242" s="688"/>
    </row>
    <row r="243" spans="3:21">
      <c r="C243" s="688"/>
      <c r="D243" s="688"/>
      <c r="E243" s="688"/>
      <c r="F243" s="688"/>
      <c r="G243" s="688"/>
      <c r="H243" s="688"/>
      <c r="I243" s="688"/>
      <c r="J243" s="688"/>
      <c r="K243" s="688"/>
      <c r="L243" s="688"/>
      <c r="M243" s="688"/>
      <c r="N243" s="688"/>
      <c r="O243" s="688"/>
      <c r="P243" s="688"/>
      <c r="Q243" s="688"/>
      <c r="R243" s="688"/>
      <c r="S243" s="688"/>
      <c r="T243" s="688"/>
      <c r="U243" s="688"/>
    </row>
    <row r="244" spans="3:21">
      <c r="C244" s="688"/>
      <c r="D244" s="688"/>
      <c r="E244" s="688"/>
      <c r="F244" s="688"/>
      <c r="G244" s="688"/>
      <c r="H244" s="688"/>
      <c r="I244" s="688"/>
      <c r="J244" s="688"/>
      <c r="K244" s="688"/>
      <c r="L244" s="688"/>
      <c r="M244" s="688"/>
      <c r="N244" s="688"/>
      <c r="O244" s="688"/>
      <c r="P244" s="688"/>
      <c r="Q244" s="688"/>
      <c r="R244" s="688"/>
      <c r="S244" s="688"/>
      <c r="T244" s="688"/>
      <c r="U244" s="688"/>
    </row>
    <row r="245" spans="3:21">
      <c r="C245" s="688"/>
      <c r="D245" s="688"/>
      <c r="E245" s="688"/>
      <c r="F245" s="688"/>
      <c r="G245" s="688"/>
      <c r="H245" s="688"/>
      <c r="I245" s="688"/>
      <c r="J245" s="688"/>
      <c r="K245" s="688"/>
      <c r="L245" s="688"/>
      <c r="M245" s="688"/>
      <c r="N245" s="688"/>
      <c r="O245" s="688"/>
      <c r="P245" s="688"/>
      <c r="Q245" s="688"/>
      <c r="R245" s="688"/>
      <c r="S245" s="688"/>
      <c r="T245" s="688"/>
      <c r="U245" s="688"/>
    </row>
    <row r="246" spans="3:21">
      <c r="C246" s="688"/>
      <c r="D246" s="688"/>
      <c r="E246" s="688"/>
      <c r="F246" s="688"/>
      <c r="G246" s="688"/>
      <c r="H246" s="688"/>
      <c r="I246" s="688"/>
      <c r="J246" s="688"/>
      <c r="K246" s="688"/>
      <c r="L246" s="688"/>
      <c r="M246" s="688"/>
      <c r="N246" s="688"/>
      <c r="O246" s="688"/>
      <c r="P246" s="688"/>
      <c r="Q246" s="688"/>
      <c r="R246" s="688"/>
      <c r="S246" s="688"/>
      <c r="T246" s="688"/>
      <c r="U246" s="688"/>
    </row>
    <row r="247" spans="3:21">
      <c r="C247" s="688"/>
      <c r="D247" s="688"/>
      <c r="E247" s="688"/>
      <c r="F247" s="688"/>
      <c r="G247" s="688"/>
      <c r="H247" s="688"/>
      <c r="I247" s="688"/>
      <c r="J247" s="688"/>
      <c r="K247" s="688"/>
      <c r="L247" s="688"/>
      <c r="M247" s="688"/>
      <c r="N247" s="688"/>
      <c r="O247" s="688"/>
      <c r="P247" s="688"/>
      <c r="Q247" s="688"/>
      <c r="R247" s="688"/>
      <c r="S247" s="688"/>
      <c r="T247" s="688"/>
      <c r="U247" s="688"/>
    </row>
    <row r="248" spans="3:21">
      <c r="C248" s="688"/>
      <c r="D248" s="688"/>
      <c r="E248" s="688"/>
      <c r="F248" s="688"/>
      <c r="G248" s="688"/>
      <c r="H248" s="688"/>
      <c r="I248" s="688"/>
      <c r="J248" s="688"/>
      <c r="K248" s="688"/>
      <c r="L248" s="688"/>
      <c r="M248" s="688"/>
      <c r="N248" s="688"/>
      <c r="O248" s="688"/>
      <c r="P248" s="688"/>
      <c r="Q248" s="688"/>
      <c r="R248" s="688"/>
      <c r="S248" s="688"/>
      <c r="T248" s="688"/>
      <c r="U248" s="688"/>
    </row>
    <row r="249" spans="3:21">
      <c r="C249" s="688"/>
      <c r="D249" s="688"/>
      <c r="E249" s="688"/>
      <c r="F249" s="688"/>
      <c r="G249" s="688"/>
      <c r="H249" s="688"/>
      <c r="I249" s="688"/>
      <c r="J249" s="688"/>
      <c r="K249" s="688"/>
      <c r="L249" s="688"/>
      <c r="M249" s="688"/>
      <c r="N249" s="688"/>
      <c r="O249" s="688"/>
      <c r="P249" s="688"/>
      <c r="Q249" s="688"/>
      <c r="R249" s="688"/>
      <c r="S249" s="688"/>
      <c r="T249" s="688"/>
      <c r="U249" s="688"/>
    </row>
    <row r="250" spans="3:21">
      <c r="C250" s="688"/>
      <c r="D250" s="688"/>
      <c r="E250" s="688"/>
      <c r="F250" s="688"/>
      <c r="G250" s="688"/>
      <c r="H250" s="688"/>
      <c r="I250" s="688"/>
      <c r="J250" s="688"/>
      <c r="K250" s="688"/>
      <c r="L250" s="688"/>
      <c r="M250" s="688"/>
      <c r="N250" s="688"/>
      <c r="O250" s="688"/>
      <c r="P250" s="688"/>
      <c r="Q250" s="688"/>
      <c r="R250" s="688"/>
      <c r="S250" s="688"/>
      <c r="T250" s="688"/>
      <c r="U250" s="688"/>
    </row>
    <row r="251" spans="3:21">
      <c r="C251" s="688"/>
      <c r="D251" s="688"/>
      <c r="E251" s="688"/>
      <c r="F251" s="688"/>
      <c r="G251" s="688"/>
      <c r="H251" s="688"/>
      <c r="I251" s="688"/>
      <c r="J251" s="688"/>
      <c r="K251" s="688"/>
      <c r="L251" s="688"/>
      <c r="M251" s="688"/>
      <c r="N251" s="688"/>
      <c r="O251" s="688"/>
      <c r="P251" s="688"/>
      <c r="Q251" s="688"/>
      <c r="R251" s="688"/>
      <c r="S251" s="688"/>
      <c r="T251" s="688"/>
      <c r="U251" s="688"/>
    </row>
    <row r="252" spans="3:21">
      <c r="C252" s="688"/>
      <c r="D252" s="688"/>
      <c r="E252" s="688"/>
      <c r="F252" s="688"/>
      <c r="G252" s="688"/>
      <c r="H252" s="688"/>
      <c r="I252" s="688"/>
      <c r="J252" s="688"/>
      <c r="K252" s="688"/>
      <c r="L252" s="688"/>
      <c r="M252" s="688"/>
      <c r="N252" s="688"/>
      <c r="O252" s="688"/>
      <c r="P252" s="688"/>
      <c r="Q252" s="688"/>
      <c r="R252" s="688"/>
      <c r="S252" s="688"/>
      <c r="T252" s="688"/>
      <c r="U252" s="688"/>
    </row>
    <row r="253" spans="3:21">
      <c r="C253" s="688"/>
      <c r="D253" s="688"/>
      <c r="E253" s="688"/>
      <c r="F253" s="688"/>
      <c r="G253" s="688"/>
      <c r="H253" s="688"/>
      <c r="I253" s="688"/>
      <c r="J253" s="688"/>
      <c r="K253" s="688"/>
      <c r="L253" s="688"/>
      <c r="M253" s="688"/>
      <c r="N253" s="688"/>
      <c r="O253" s="688"/>
      <c r="P253" s="688"/>
      <c r="Q253" s="688"/>
      <c r="R253" s="688"/>
      <c r="S253" s="688"/>
      <c r="T253" s="688"/>
      <c r="U253" s="688"/>
    </row>
    <row r="254" spans="3:21">
      <c r="C254" s="688"/>
      <c r="D254" s="688"/>
      <c r="E254" s="688"/>
      <c r="F254" s="688"/>
      <c r="G254" s="688"/>
      <c r="H254" s="688"/>
      <c r="I254" s="688"/>
      <c r="J254" s="688"/>
      <c r="K254" s="688"/>
      <c r="L254" s="688"/>
      <c r="M254" s="688"/>
      <c r="N254" s="688"/>
      <c r="O254" s="688"/>
      <c r="P254" s="688"/>
      <c r="Q254" s="688"/>
      <c r="R254" s="688"/>
      <c r="S254" s="688"/>
      <c r="T254" s="688"/>
      <c r="U254" s="688"/>
    </row>
    <row r="255" spans="3:21">
      <c r="C255" s="688"/>
      <c r="D255" s="688"/>
      <c r="E255" s="688"/>
      <c r="F255" s="688"/>
      <c r="G255" s="688"/>
      <c r="H255" s="688"/>
      <c r="I255" s="688"/>
      <c r="J255" s="688"/>
      <c r="K255" s="688"/>
      <c r="L255" s="688"/>
      <c r="M255" s="688"/>
      <c r="N255" s="688"/>
      <c r="O255" s="688"/>
      <c r="P255" s="688"/>
      <c r="Q255" s="688"/>
      <c r="R255" s="688"/>
      <c r="S255" s="688"/>
      <c r="T255" s="688"/>
      <c r="U255" s="688"/>
    </row>
    <row r="256" spans="3:21">
      <c r="C256" s="688"/>
      <c r="D256" s="688"/>
      <c r="E256" s="688"/>
      <c r="F256" s="688"/>
      <c r="G256" s="688"/>
      <c r="H256" s="688"/>
      <c r="I256" s="688"/>
      <c r="J256" s="688"/>
      <c r="K256" s="688"/>
      <c r="L256" s="688"/>
      <c r="M256" s="688"/>
      <c r="N256" s="688"/>
      <c r="O256" s="688"/>
      <c r="P256" s="688"/>
      <c r="Q256" s="688"/>
      <c r="R256" s="688"/>
      <c r="S256" s="688"/>
      <c r="T256" s="688"/>
      <c r="U256" s="688"/>
    </row>
    <row r="257" spans="3:21">
      <c r="C257" s="688"/>
      <c r="D257" s="688"/>
      <c r="E257" s="688"/>
      <c r="F257" s="688"/>
      <c r="G257" s="688"/>
      <c r="H257" s="688"/>
      <c r="I257" s="688"/>
      <c r="J257" s="688"/>
      <c r="K257" s="688"/>
      <c r="L257" s="688"/>
      <c r="M257" s="688"/>
      <c r="N257" s="688"/>
      <c r="O257" s="688"/>
      <c r="P257" s="688"/>
      <c r="Q257" s="688"/>
      <c r="R257" s="688"/>
      <c r="S257" s="688"/>
      <c r="T257" s="688"/>
      <c r="U257" s="688"/>
    </row>
    <row r="258" spans="3:21">
      <c r="C258" s="688"/>
      <c r="D258" s="688"/>
      <c r="E258" s="688"/>
      <c r="F258" s="688"/>
      <c r="G258" s="688"/>
      <c r="H258" s="688"/>
      <c r="I258" s="688"/>
      <c r="J258" s="688"/>
      <c r="K258" s="688"/>
      <c r="L258" s="688"/>
      <c r="M258" s="688"/>
      <c r="N258" s="688"/>
      <c r="O258" s="688"/>
      <c r="P258" s="688"/>
      <c r="Q258" s="688"/>
      <c r="R258" s="688"/>
      <c r="S258" s="688"/>
      <c r="T258" s="688"/>
      <c r="U258" s="688"/>
    </row>
    <row r="259" spans="3:21">
      <c r="C259" s="688"/>
      <c r="D259" s="688"/>
      <c r="E259" s="688"/>
      <c r="F259" s="688"/>
      <c r="G259" s="688"/>
      <c r="H259" s="688"/>
      <c r="I259" s="688"/>
      <c r="J259" s="688"/>
      <c r="K259" s="688"/>
      <c r="L259" s="688"/>
      <c r="M259" s="688"/>
      <c r="N259" s="688"/>
      <c r="O259" s="688"/>
      <c r="P259" s="688"/>
      <c r="Q259" s="688"/>
      <c r="R259" s="688"/>
      <c r="S259" s="688"/>
      <c r="T259" s="688"/>
      <c r="U259" s="688"/>
    </row>
    <row r="260" spans="3:21">
      <c r="C260" s="688"/>
      <c r="D260" s="688"/>
      <c r="E260" s="688"/>
      <c r="F260" s="688"/>
      <c r="G260" s="688"/>
      <c r="H260" s="688"/>
      <c r="I260" s="688"/>
      <c r="J260" s="688"/>
      <c r="K260" s="688"/>
      <c r="L260" s="688"/>
      <c r="M260" s="688"/>
      <c r="N260" s="688"/>
      <c r="O260" s="688"/>
      <c r="P260" s="688"/>
      <c r="Q260" s="688"/>
      <c r="R260" s="688"/>
      <c r="S260" s="688"/>
      <c r="T260" s="688"/>
      <c r="U260" s="688"/>
    </row>
    <row r="261" spans="3:21">
      <c r="C261" s="688"/>
      <c r="D261" s="688"/>
      <c r="E261" s="688"/>
      <c r="F261" s="688"/>
      <c r="G261" s="688"/>
      <c r="H261" s="688"/>
      <c r="I261" s="688"/>
      <c r="J261" s="688"/>
      <c r="K261" s="688"/>
      <c r="L261" s="688"/>
      <c r="M261" s="688"/>
      <c r="N261" s="688"/>
      <c r="O261" s="688"/>
      <c r="P261" s="688"/>
      <c r="Q261" s="688"/>
      <c r="R261" s="688"/>
      <c r="S261" s="688"/>
      <c r="T261" s="688"/>
      <c r="U261" s="688"/>
    </row>
    <row r="262" spans="3:21">
      <c r="C262" s="688"/>
      <c r="D262" s="688"/>
      <c r="E262" s="688"/>
      <c r="F262" s="688"/>
      <c r="G262" s="688"/>
      <c r="H262" s="688"/>
      <c r="I262" s="688"/>
      <c r="J262" s="688"/>
      <c r="K262" s="688"/>
      <c r="L262" s="688"/>
      <c r="M262" s="688"/>
      <c r="N262" s="688"/>
      <c r="O262" s="688"/>
      <c r="P262" s="688"/>
      <c r="Q262" s="688"/>
      <c r="R262" s="688"/>
      <c r="S262" s="688"/>
      <c r="T262" s="688"/>
      <c r="U262" s="688"/>
    </row>
    <row r="263" spans="3:21">
      <c r="C263" s="688"/>
      <c r="D263" s="688"/>
      <c r="E263" s="688"/>
      <c r="F263" s="688"/>
      <c r="G263" s="688"/>
      <c r="H263" s="688"/>
      <c r="I263" s="688"/>
      <c r="J263" s="688"/>
      <c r="K263" s="688"/>
      <c r="L263" s="688"/>
      <c r="M263" s="688"/>
      <c r="N263" s="688"/>
      <c r="O263" s="688"/>
      <c r="P263" s="688"/>
      <c r="Q263" s="688"/>
      <c r="R263" s="688"/>
      <c r="S263" s="688"/>
      <c r="T263" s="688"/>
      <c r="U263" s="688"/>
    </row>
    <row r="264" spans="3:21">
      <c r="C264" s="688"/>
      <c r="D264" s="688"/>
      <c r="E264" s="688"/>
      <c r="F264" s="688"/>
      <c r="G264" s="688"/>
      <c r="H264" s="688"/>
      <c r="I264" s="688"/>
      <c r="J264" s="688"/>
      <c r="K264" s="688"/>
      <c r="L264" s="688"/>
      <c r="M264" s="688"/>
      <c r="N264" s="688"/>
      <c r="O264" s="688"/>
      <c r="P264" s="688"/>
      <c r="Q264" s="688"/>
      <c r="R264" s="688"/>
      <c r="S264" s="688"/>
      <c r="T264" s="688"/>
      <c r="U264" s="688"/>
    </row>
    <row r="265" spans="3:21">
      <c r="C265" s="688"/>
      <c r="D265" s="688"/>
      <c r="E265" s="688"/>
      <c r="F265" s="688"/>
      <c r="G265" s="688"/>
      <c r="H265" s="688"/>
      <c r="I265" s="688"/>
      <c r="J265" s="688"/>
      <c r="K265" s="688"/>
      <c r="L265" s="688"/>
      <c r="M265" s="688"/>
      <c r="N265" s="688"/>
      <c r="O265" s="688"/>
      <c r="P265" s="688"/>
      <c r="Q265" s="688"/>
      <c r="R265" s="688"/>
      <c r="S265" s="688"/>
      <c r="T265" s="688"/>
      <c r="U265" s="688"/>
    </row>
    <row r="266" spans="3:21">
      <c r="C266" s="688"/>
      <c r="D266" s="688"/>
      <c r="E266" s="688"/>
      <c r="F266" s="688"/>
      <c r="G266" s="688"/>
      <c r="H266" s="688"/>
      <c r="I266" s="688"/>
      <c r="J266" s="688"/>
      <c r="K266" s="688"/>
      <c r="L266" s="688"/>
      <c r="M266" s="688"/>
      <c r="N266" s="688"/>
      <c r="O266" s="688"/>
      <c r="P266" s="688"/>
      <c r="Q266" s="688"/>
      <c r="R266" s="688"/>
      <c r="S266" s="688"/>
      <c r="T266" s="688"/>
      <c r="U266" s="688"/>
    </row>
    <row r="267" spans="3:21">
      <c r="C267" s="688"/>
      <c r="D267" s="688"/>
      <c r="E267" s="688"/>
      <c r="F267" s="688"/>
      <c r="G267" s="688"/>
      <c r="H267" s="688"/>
      <c r="I267" s="688"/>
      <c r="J267" s="688"/>
      <c r="K267" s="688"/>
      <c r="L267" s="688"/>
      <c r="M267" s="688"/>
      <c r="N267" s="688"/>
      <c r="O267" s="688"/>
      <c r="P267" s="688"/>
      <c r="Q267" s="688"/>
      <c r="R267" s="688"/>
      <c r="S267" s="688"/>
      <c r="T267" s="688"/>
      <c r="U267" s="688"/>
    </row>
    <row r="268" spans="3:21">
      <c r="C268" s="688"/>
      <c r="D268" s="688"/>
      <c r="E268" s="688"/>
      <c r="F268" s="688"/>
      <c r="G268" s="688"/>
      <c r="H268" s="688"/>
      <c r="I268" s="688"/>
      <c r="J268" s="688"/>
      <c r="K268" s="688"/>
      <c r="L268" s="688"/>
      <c r="M268" s="688"/>
      <c r="N268" s="688"/>
      <c r="O268" s="688"/>
      <c r="P268" s="688"/>
      <c r="Q268" s="688"/>
      <c r="R268" s="688"/>
      <c r="S268" s="688"/>
      <c r="T268" s="688"/>
      <c r="U268" s="688"/>
    </row>
    <row r="269" spans="3:21">
      <c r="C269" s="688"/>
      <c r="D269" s="688"/>
      <c r="E269" s="688"/>
      <c r="F269" s="688"/>
      <c r="G269" s="688"/>
      <c r="H269" s="688"/>
      <c r="I269" s="688"/>
      <c r="J269" s="688"/>
      <c r="K269" s="688"/>
      <c r="L269" s="688"/>
      <c r="M269" s="688"/>
      <c r="N269" s="688"/>
      <c r="O269" s="688"/>
      <c r="P269" s="688"/>
      <c r="Q269" s="688"/>
      <c r="R269" s="688"/>
      <c r="S269" s="688"/>
      <c r="T269" s="688"/>
      <c r="U269" s="688"/>
    </row>
    <row r="270" spans="3:21">
      <c r="C270" s="688"/>
      <c r="D270" s="688"/>
      <c r="E270" s="688"/>
      <c r="F270" s="688"/>
      <c r="G270" s="688"/>
      <c r="H270" s="688"/>
      <c r="I270" s="688"/>
      <c r="J270" s="688"/>
      <c r="K270" s="688"/>
      <c r="L270" s="688"/>
      <c r="M270" s="688"/>
      <c r="N270" s="688"/>
      <c r="O270" s="688"/>
      <c r="P270" s="688"/>
      <c r="Q270" s="688"/>
      <c r="R270" s="688"/>
      <c r="S270" s="688"/>
      <c r="T270" s="688"/>
      <c r="U270" s="688"/>
    </row>
    <row r="271" spans="3:21">
      <c r="C271" s="688"/>
      <c r="D271" s="688"/>
      <c r="E271" s="688"/>
      <c r="F271" s="688"/>
      <c r="G271" s="688"/>
      <c r="H271" s="688"/>
      <c r="I271" s="688"/>
      <c r="J271" s="688"/>
      <c r="K271" s="688"/>
      <c r="L271" s="688"/>
      <c r="M271" s="688"/>
      <c r="N271" s="688"/>
      <c r="O271" s="688"/>
      <c r="P271" s="688"/>
      <c r="Q271" s="688"/>
      <c r="R271" s="688"/>
      <c r="S271" s="688"/>
      <c r="T271" s="688"/>
      <c r="U271" s="688"/>
    </row>
    <row r="272" spans="3:21">
      <c r="C272" s="688"/>
      <c r="D272" s="688"/>
      <c r="E272" s="688"/>
      <c r="F272" s="688"/>
      <c r="G272" s="688"/>
      <c r="H272" s="688"/>
      <c r="I272" s="688"/>
      <c r="J272" s="688"/>
      <c r="K272" s="688"/>
      <c r="L272" s="688"/>
      <c r="M272" s="688"/>
      <c r="N272" s="688"/>
      <c r="O272" s="688"/>
      <c r="P272" s="688"/>
      <c r="Q272" s="688"/>
      <c r="R272" s="688"/>
      <c r="S272" s="688"/>
      <c r="T272" s="688"/>
      <c r="U272" s="688"/>
    </row>
    <row r="273" spans="3:21">
      <c r="C273" s="688"/>
      <c r="D273" s="688"/>
      <c r="E273" s="688"/>
      <c r="F273" s="688"/>
      <c r="G273" s="688"/>
      <c r="H273" s="688"/>
      <c r="I273" s="688"/>
      <c r="J273" s="688"/>
      <c r="K273" s="688"/>
      <c r="L273" s="688"/>
      <c r="M273" s="688"/>
      <c r="N273" s="688"/>
      <c r="O273" s="688"/>
      <c r="P273" s="688"/>
      <c r="Q273" s="688"/>
      <c r="R273" s="688"/>
      <c r="S273" s="688"/>
      <c r="T273" s="688"/>
      <c r="U273" s="688"/>
    </row>
    <row r="274" spans="3:21">
      <c r="C274" s="688"/>
      <c r="D274" s="688"/>
      <c r="E274" s="688"/>
      <c r="F274" s="688"/>
      <c r="G274" s="688"/>
      <c r="H274" s="688"/>
      <c r="I274" s="688"/>
      <c r="J274" s="688"/>
      <c r="K274" s="688"/>
      <c r="L274" s="688"/>
      <c r="M274" s="688"/>
      <c r="N274" s="688"/>
      <c r="O274" s="688"/>
      <c r="P274" s="688"/>
      <c r="Q274" s="688"/>
      <c r="R274" s="688"/>
      <c r="S274" s="688"/>
      <c r="T274" s="688"/>
      <c r="U274" s="688"/>
    </row>
    <row r="275" spans="3:21">
      <c r="C275" s="688"/>
      <c r="D275" s="688"/>
      <c r="E275" s="688"/>
      <c r="F275" s="688"/>
      <c r="G275" s="688"/>
      <c r="H275" s="688"/>
      <c r="I275" s="688"/>
      <c r="J275" s="688"/>
      <c r="K275" s="688"/>
      <c r="L275" s="688"/>
      <c r="M275" s="688"/>
      <c r="N275" s="688"/>
      <c r="O275" s="688"/>
      <c r="P275" s="688"/>
      <c r="Q275" s="688"/>
      <c r="R275" s="688"/>
      <c r="S275" s="688"/>
      <c r="T275" s="688"/>
      <c r="U275" s="688"/>
    </row>
    <row r="276" spans="3:21">
      <c r="C276" s="688"/>
      <c r="D276" s="688"/>
      <c r="E276" s="688"/>
      <c r="F276" s="688"/>
      <c r="G276" s="688"/>
      <c r="H276" s="688"/>
      <c r="I276" s="688"/>
      <c r="J276" s="688"/>
      <c r="K276" s="688"/>
      <c r="L276" s="688"/>
      <c r="M276" s="688"/>
      <c r="N276" s="688"/>
      <c r="O276" s="688"/>
      <c r="P276" s="688"/>
      <c r="Q276" s="688"/>
      <c r="R276" s="688"/>
      <c r="S276" s="688"/>
      <c r="T276" s="688"/>
      <c r="U276" s="688"/>
    </row>
    <row r="277" spans="3:21">
      <c r="C277" s="688"/>
      <c r="D277" s="688"/>
      <c r="E277" s="688"/>
      <c r="F277" s="688"/>
      <c r="G277" s="688"/>
      <c r="H277" s="688"/>
      <c r="I277" s="688"/>
      <c r="J277" s="688"/>
      <c r="K277" s="688"/>
      <c r="L277" s="688"/>
      <c r="M277" s="688"/>
      <c r="N277" s="688"/>
      <c r="O277" s="688"/>
      <c r="P277" s="688"/>
      <c r="Q277" s="688"/>
      <c r="R277" s="688"/>
      <c r="S277" s="688"/>
      <c r="T277" s="688"/>
      <c r="U277" s="688"/>
    </row>
    <row r="278" spans="3:21">
      <c r="C278" s="688"/>
      <c r="D278" s="688"/>
      <c r="E278" s="688"/>
      <c r="F278" s="688"/>
      <c r="G278" s="688"/>
      <c r="H278" s="688"/>
      <c r="I278" s="688"/>
      <c r="J278" s="688"/>
      <c r="K278" s="688"/>
      <c r="L278" s="688"/>
      <c r="M278" s="688"/>
      <c r="N278" s="688"/>
      <c r="O278" s="688"/>
      <c r="P278" s="688"/>
      <c r="Q278" s="688"/>
      <c r="R278" s="688"/>
      <c r="S278" s="688"/>
      <c r="T278" s="688"/>
      <c r="U278" s="688"/>
    </row>
    <row r="279" spans="3:21">
      <c r="C279" s="688"/>
      <c r="D279" s="688"/>
      <c r="E279" s="688"/>
      <c r="F279" s="688"/>
      <c r="G279" s="688"/>
      <c r="H279" s="688"/>
      <c r="I279" s="688"/>
      <c r="J279" s="688"/>
      <c r="K279" s="688"/>
      <c r="L279" s="688"/>
      <c r="M279" s="688"/>
      <c r="N279" s="688"/>
      <c r="O279" s="688"/>
      <c r="P279" s="688"/>
      <c r="Q279" s="688"/>
      <c r="R279" s="688"/>
      <c r="S279" s="688"/>
      <c r="T279" s="688"/>
      <c r="U279" s="688"/>
    </row>
    <row r="280" spans="3:21">
      <c r="C280" s="688"/>
      <c r="D280" s="688"/>
      <c r="E280" s="688"/>
      <c r="F280" s="688"/>
      <c r="G280" s="688"/>
      <c r="H280" s="688"/>
      <c r="I280" s="688"/>
      <c r="J280" s="688"/>
      <c r="K280" s="688"/>
      <c r="L280" s="688"/>
      <c r="M280" s="688"/>
      <c r="N280" s="688"/>
      <c r="O280" s="688"/>
      <c r="P280" s="688"/>
      <c r="Q280" s="688"/>
      <c r="R280" s="688"/>
      <c r="S280" s="688"/>
      <c r="T280" s="688"/>
      <c r="U280" s="688"/>
    </row>
    <row r="281" spans="3:21">
      <c r="C281" s="688"/>
      <c r="D281" s="688"/>
      <c r="E281" s="688"/>
      <c r="F281" s="688"/>
      <c r="G281" s="688"/>
      <c r="H281" s="688"/>
      <c r="I281" s="688"/>
      <c r="J281" s="688"/>
      <c r="K281" s="688"/>
      <c r="L281" s="688"/>
      <c r="M281" s="688"/>
      <c r="N281" s="688"/>
      <c r="O281" s="688"/>
      <c r="P281" s="688"/>
      <c r="Q281" s="688"/>
      <c r="R281" s="688"/>
      <c r="S281" s="688"/>
      <c r="T281" s="688"/>
      <c r="U281" s="688"/>
    </row>
    <row r="282" spans="3:21">
      <c r="C282" s="688"/>
      <c r="D282" s="688"/>
      <c r="E282" s="688"/>
      <c r="F282" s="688"/>
      <c r="G282" s="688"/>
      <c r="H282" s="688"/>
      <c r="I282" s="688"/>
      <c r="J282" s="688"/>
      <c r="K282" s="688"/>
      <c r="L282" s="688"/>
      <c r="M282" s="688"/>
      <c r="N282" s="688"/>
      <c r="O282" s="688"/>
      <c r="P282" s="688"/>
      <c r="Q282" s="688"/>
      <c r="R282" s="688"/>
      <c r="S282" s="688"/>
      <c r="T282" s="688"/>
      <c r="U282" s="688"/>
    </row>
    <row r="283" spans="3:21">
      <c r="C283" s="688"/>
      <c r="D283" s="688"/>
      <c r="E283" s="688"/>
      <c r="F283" s="688"/>
      <c r="G283" s="688"/>
      <c r="H283" s="688"/>
      <c r="I283" s="688"/>
      <c r="J283" s="688"/>
      <c r="K283" s="688"/>
      <c r="L283" s="688"/>
      <c r="M283" s="688"/>
      <c r="N283" s="688"/>
      <c r="O283" s="688"/>
      <c r="P283" s="688"/>
      <c r="Q283" s="688"/>
      <c r="R283" s="688"/>
      <c r="S283" s="688"/>
      <c r="T283" s="688"/>
      <c r="U283" s="688"/>
    </row>
    <row r="284" spans="3:21">
      <c r="C284" s="688"/>
      <c r="D284" s="688"/>
      <c r="E284" s="688"/>
      <c r="F284" s="688"/>
      <c r="G284" s="688"/>
      <c r="H284" s="688"/>
      <c r="I284" s="688"/>
      <c r="J284" s="688"/>
      <c r="K284" s="688"/>
      <c r="L284" s="688"/>
      <c r="M284" s="688"/>
      <c r="N284" s="688"/>
      <c r="O284" s="688"/>
      <c r="P284" s="688"/>
      <c r="Q284" s="688"/>
      <c r="R284" s="688"/>
      <c r="S284" s="688"/>
      <c r="T284" s="688"/>
      <c r="U284" s="688"/>
    </row>
    <row r="285" spans="3:21">
      <c r="C285" s="688"/>
      <c r="D285" s="688"/>
      <c r="E285" s="688"/>
      <c r="F285" s="688"/>
      <c r="G285" s="688"/>
      <c r="H285" s="688"/>
      <c r="I285" s="688"/>
      <c r="J285" s="688"/>
      <c r="K285" s="688"/>
      <c r="L285" s="688"/>
      <c r="M285" s="688"/>
      <c r="N285" s="688"/>
      <c r="O285" s="688"/>
      <c r="P285" s="688"/>
      <c r="Q285" s="688"/>
      <c r="R285" s="688"/>
      <c r="S285" s="688"/>
      <c r="T285" s="688"/>
      <c r="U285" s="688"/>
    </row>
    <row r="286" spans="3:21">
      <c r="C286" s="688"/>
      <c r="D286" s="688"/>
      <c r="E286" s="688"/>
      <c r="F286" s="688"/>
      <c r="G286" s="688"/>
      <c r="H286" s="688"/>
      <c r="I286" s="688"/>
      <c r="J286" s="688"/>
      <c r="K286" s="688"/>
      <c r="L286" s="688"/>
      <c r="M286" s="688"/>
      <c r="N286" s="688"/>
      <c r="O286" s="688"/>
      <c r="P286" s="688"/>
      <c r="Q286" s="688"/>
      <c r="R286" s="688"/>
      <c r="S286" s="688"/>
      <c r="T286" s="688"/>
      <c r="U286" s="688"/>
    </row>
    <row r="287" spans="3:21">
      <c r="C287" s="688"/>
      <c r="D287" s="688"/>
      <c r="E287" s="688"/>
      <c r="F287" s="688"/>
      <c r="G287" s="688"/>
      <c r="H287" s="688"/>
      <c r="I287" s="688"/>
      <c r="J287" s="688"/>
      <c r="K287" s="688"/>
      <c r="L287" s="688"/>
      <c r="M287" s="688"/>
      <c r="N287" s="688"/>
      <c r="O287" s="688"/>
      <c r="P287" s="688"/>
      <c r="Q287" s="688"/>
      <c r="R287" s="688"/>
      <c r="S287" s="688"/>
      <c r="T287" s="688"/>
      <c r="U287" s="688"/>
    </row>
    <row r="288" spans="3:21">
      <c r="C288" s="688"/>
      <c r="D288" s="688"/>
      <c r="E288" s="688"/>
      <c r="F288" s="688"/>
      <c r="G288" s="688"/>
      <c r="H288" s="688"/>
      <c r="I288" s="688"/>
      <c r="J288" s="688"/>
      <c r="K288" s="688"/>
      <c r="L288" s="688"/>
      <c r="M288" s="688"/>
      <c r="N288" s="688"/>
      <c r="O288" s="688"/>
      <c r="P288" s="688"/>
      <c r="Q288" s="688"/>
      <c r="R288" s="688"/>
      <c r="S288" s="688"/>
      <c r="T288" s="688"/>
      <c r="U288" s="688"/>
    </row>
    <row r="289" spans="3:21">
      <c r="C289" s="688"/>
      <c r="D289" s="688"/>
      <c r="E289" s="688"/>
      <c r="F289" s="688"/>
      <c r="G289" s="688"/>
      <c r="H289" s="688"/>
      <c r="I289" s="688"/>
      <c r="J289" s="688"/>
      <c r="K289" s="688"/>
      <c r="L289" s="688"/>
      <c r="M289" s="688"/>
      <c r="N289" s="688"/>
      <c r="O289" s="688"/>
      <c r="P289" s="688"/>
      <c r="Q289" s="688"/>
      <c r="R289" s="688"/>
      <c r="S289" s="688"/>
      <c r="T289" s="688"/>
      <c r="U289" s="688"/>
    </row>
    <row r="290" spans="3:21">
      <c r="C290" s="688"/>
      <c r="D290" s="688"/>
      <c r="E290" s="688"/>
      <c r="F290" s="688"/>
      <c r="G290" s="688"/>
      <c r="H290" s="688"/>
      <c r="I290" s="688"/>
      <c r="J290" s="688"/>
      <c r="K290" s="688"/>
      <c r="L290" s="688"/>
      <c r="M290" s="688"/>
      <c r="N290" s="688"/>
      <c r="O290" s="688"/>
      <c r="P290" s="688"/>
      <c r="Q290" s="688"/>
      <c r="R290" s="688"/>
      <c r="S290" s="688"/>
      <c r="T290" s="688"/>
      <c r="U290" s="688"/>
    </row>
    <row r="291" spans="3:21">
      <c r="C291" s="688"/>
      <c r="D291" s="688"/>
      <c r="E291" s="688"/>
      <c r="F291" s="688"/>
      <c r="G291" s="688"/>
      <c r="H291" s="688"/>
      <c r="I291" s="688"/>
      <c r="J291" s="688"/>
      <c r="K291" s="688"/>
      <c r="L291" s="688"/>
      <c r="M291" s="688"/>
      <c r="N291" s="688"/>
      <c r="O291" s="688"/>
      <c r="P291" s="688"/>
      <c r="Q291" s="688"/>
      <c r="R291" s="688"/>
      <c r="S291" s="688"/>
      <c r="T291" s="688"/>
      <c r="U291" s="688"/>
    </row>
    <row r="292" spans="3:21">
      <c r="C292" s="688"/>
      <c r="D292" s="688"/>
      <c r="E292" s="688"/>
      <c r="F292" s="688"/>
      <c r="G292" s="688"/>
      <c r="H292" s="688"/>
      <c r="I292" s="688"/>
      <c r="J292" s="688"/>
      <c r="K292" s="688"/>
      <c r="L292" s="688"/>
      <c r="M292" s="688"/>
      <c r="N292" s="688"/>
      <c r="O292" s="688"/>
      <c r="P292" s="688"/>
      <c r="Q292" s="688"/>
      <c r="R292" s="688"/>
      <c r="S292" s="688"/>
      <c r="T292" s="688"/>
      <c r="U292" s="688"/>
    </row>
    <row r="293" spans="3:21">
      <c r="C293" s="688"/>
      <c r="D293" s="688"/>
      <c r="E293" s="688"/>
      <c r="F293" s="688"/>
      <c r="G293" s="688"/>
      <c r="H293" s="688"/>
      <c r="I293" s="688"/>
      <c r="J293" s="688"/>
      <c r="K293" s="688"/>
      <c r="L293" s="688"/>
      <c r="M293" s="688"/>
      <c r="N293" s="688"/>
      <c r="O293" s="688"/>
      <c r="P293" s="688"/>
      <c r="Q293" s="688"/>
      <c r="R293" s="688"/>
      <c r="S293" s="688"/>
      <c r="T293" s="688"/>
      <c r="U293" s="688"/>
    </row>
    <row r="294" spans="3:21">
      <c r="C294" s="688"/>
      <c r="D294" s="688"/>
      <c r="E294" s="688"/>
      <c r="F294" s="688"/>
      <c r="G294" s="688"/>
      <c r="H294" s="688"/>
      <c r="I294" s="688"/>
      <c r="J294" s="688"/>
      <c r="K294" s="688"/>
      <c r="L294" s="688"/>
      <c r="M294" s="688"/>
      <c r="N294" s="688"/>
      <c r="O294" s="688"/>
      <c r="P294" s="688"/>
      <c r="Q294" s="688"/>
      <c r="R294" s="688"/>
      <c r="S294" s="688"/>
      <c r="T294" s="688"/>
      <c r="U294" s="688"/>
    </row>
    <row r="295" spans="3:21">
      <c r="C295" s="688"/>
      <c r="D295" s="688"/>
      <c r="E295" s="688"/>
      <c r="F295" s="688"/>
      <c r="G295" s="688"/>
      <c r="H295" s="688"/>
      <c r="I295" s="688"/>
      <c r="J295" s="688"/>
      <c r="K295" s="688"/>
      <c r="L295" s="688"/>
      <c r="M295" s="688"/>
      <c r="N295" s="688"/>
      <c r="O295" s="688"/>
      <c r="P295" s="688"/>
      <c r="Q295" s="688"/>
      <c r="R295" s="688"/>
      <c r="S295" s="688"/>
      <c r="T295" s="688"/>
      <c r="U295" s="688"/>
    </row>
    <row r="296" spans="3:21">
      <c r="C296" s="688"/>
      <c r="D296" s="688"/>
      <c r="E296" s="688"/>
      <c r="F296" s="688"/>
      <c r="G296" s="688"/>
      <c r="H296" s="688"/>
      <c r="I296" s="688"/>
      <c r="J296" s="688"/>
      <c r="K296" s="688"/>
      <c r="L296" s="688"/>
      <c r="M296" s="688"/>
      <c r="N296" s="688"/>
      <c r="O296" s="688"/>
      <c r="P296" s="688"/>
      <c r="Q296" s="688"/>
      <c r="R296" s="688"/>
      <c r="S296" s="688"/>
      <c r="T296" s="688"/>
      <c r="U296" s="688"/>
    </row>
    <row r="297" spans="3:21">
      <c r="C297" s="688"/>
      <c r="D297" s="688"/>
      <c r="E297" s="688"/>
      <c r="F297" s="688"/>
      <c r="G297" s="688"/>
      <c r="H297" s="688"/>
      <c r="I297" s="688"/>
      <c r="J297" s="688"/>
      <c r="K297" s="688"/>
      <c r="L297" s="688"/>
      <c r="M297" s="688"/>
      <c r="N297" s="688"/>
      <c r="O297" s="688"/>
      <c r="P297" s="688"/>
      <c r="Q297" s="688"/>
      <c r="R297" s="688"/>
      <c r="S297" s="688"/>
      <c r="T297" s="688"/>
      <c r="U297" s="688"/>
    </row>
    <row r="298" spans="3:21">
      <c r="C298" s="688"/>
      <c r="D298" s="688"/>
      <c r="E298" s="688"/>
      <c r="F298" s="688"/>
      <c r="G298" s="688"/>
      <c r="H298" s="688"/>
      <c r="I298" s="688"/>
      <c r="J298" s="688"/>
      <c r="K298" s="688"/>
      <c r="L298" s="688"/>
      <c r="M298" s="688"/>
      <c r="N298" s="688"/>
      <c r="O298" s="688"/>
      <c r="P298" s="688"/>
      <c r="Q298" s="688"/>
      <c r="R298" s="688"/>
      <c r="S298" s="688"/>
      <c r="T298" s="688"/>
      <c r="U298" s="688"/>
    </row>
    <row r="299" spans="3:21">
      <c r="C299" s="688"/>
      <c r="D299" s="688"/>
      <c r="E299" s="688"/>
      <c r="F299" s="688"/>
      <c r="G299" s="688"/>
      <c r="H299" s="688"/>
      <c r="I299" s="688"/>
      <c r="J299" s="688"/>
      <c r="K299" s="688"/>
      <c r="L299" s="688"/>
      <c r="M299" s="688"/>
      <c r="N299" s="688"/>
      <c r="O299" s="688"/>
      <c r="P299" s="688"/>
      <c r="Q299" s="688"/>
      <c r="R299" s="688"/>
      <c r="S299" s="688"/>
      <c r="T299" s="688"/>
      <c r="U299" s="688"/>
    </row>
    <row r="300" spans="3:21">
      <c r="C300" s="688"/>
      <c r="D300" s="688"/>
      <c r="E300" s="688"/>
      <c r="F300" s="688"/>
      <c r="G300" s="688"/>
      <c r="H300" s="688"/>
      <c r="I300" s="688"/>
      <c r="J300" s="688"/>
      <c r="K300" s="688"/>
      <c r="L300" s="688"/>
      <c r="M300" s="688"/>
      <c r="N300" s="688"/>
      <c r="O300" s="688"/>
      <c r="P300" s="688"/>
      <c r="Q300" s="688"/>
      <c r="R300" s="688"/>
      <c r="S300" s="688"/>
      <c r="T300" s="688"/>
      <c r="U300" s="688"/>
    </row>
    <row r="301" spans="3:21">
      <c r="C301" s="688"/>
      <c r="D301" s="688"/>
      <c r="E301" s="688"/>
      <c r="F301" s="688"/>
      <c r="G301" s="688"/>
      <c r="H301" s="688"/>
      <c r="I301" s="688"/>
      <c r="J301" s="688"/>
      <c r="K301" s="688"/>
      <c r="L301" s="688"/>
      <c r="M301" s="688"/>
      <c r="N301" s="688"/>
    </row>
    <row r="302" spans="3:21">
      <c r="C302" s="688"/>
      <c r="D302" s="688"/>
      <c r="E302" s="688"/>
      <c r="F302" s="688"/>
      <c r="G302" s="688"/>
      <c r="H302" s="688"/>
      <c r="I302" s="688"/>
      <c r="J302" s="688"/>
      <c r="K302" s="688"/>
      <c r="L302" s="688"/>
      <c r="M302" s="688"/>
      <c r="N302" s="688"/>
    </row>
    <row r="303" spans="3:21">
      <c r="C303" s="688"/>
      <c r="D303" s="688"/>
      <c r="E303" s="688"/>
      <c r="F303" s="688"/>
      <c r="G303" s="688"/>
      <c r="H303" s="688"/>
      <c r="I303" s="688"/>
      <c r="J303" s="688"/>
      <c r="K303" s="688"/>
      <c r="L303" s="688"/>
      <c r="M303" s="688"/>
      <c r="N303" s="688"/>
    </row>
    <row r="304" spans="3:21">
      <c r="C304" s="688"/>
      <c r="D304" s="688"/>
      <c r="E304" s="688"/>
      <c r="F304" s="688"/>
      <c r="G304" s="688"/>
      <c r="H304" s="688"/>
      <c r="I304" s="688"/>
      <c r="J304" s="688"/>
      <c r="K304" s="688"/>
      <c r="L304" s="688"/>
      <c r="M304" s="688"/>
      <c r="N304" s="688"/>
    </row>
    <row r="305" spans="3:14">
      <c r="C305" s="688"/>
      <c r="D305" s="688"/>
      <c r="E305" s="688"/>
      <c r="F305" s="688"/>
      <c r="G305" s="688"/>
      <c r="H305" s="688"/>
      <c r="I305" s="688"/>
      <c r="J305" s="688"/>
      <c r="K305" s="688"/>
      <c r="L305" s="688"/>
      <c r="M305" s="688"/>
      <c r="N305" s="688"/>
    </row>
    <row r="306" spans="3:14">
      <c r="C306" s="688"/>
      <c r="D306" s="688"/>
      <c r="E306" s="688"/>
      <c r="F306" s="688"/>
      <c r="G306" s="688"/>
      <c r="H306" s="688"/>
      <c r="I306" s="688"/>
      <c r="J306" s="688"/>
      <c r="K306" s="688"/>
      <c r="L306" s="688"/>
      <c r="M306" s="688"/>
      <c r="N306" s="688"/>
    </row>
    <row r="307" spans="3:14">
      <c r="C307" s="688"/>
      <c r="D307" s="688"/>
      <c r="E307" s="688"/>
      <c r="F307" s="688"/>
      <c r="G307" s="688"/>
      <c r="H307" s="688"/>
      <c r="I307" s="688"/>
      <c r="J307" s="688"/>
      <c r="K307" s="688"/>
      <c r="L307" s="688"/>
      <c r="M307" s="688"/>
      <c r="N307" s="688"/>
    </row>
    <row r="308" spans="3:14">
      <c r="C308" s="688"/>
      <c r="D308" s="688"/>
      <c r="E308" s="688"/>
      <c r="F308" s="688"/>
      <c r="G308" s="688"/>
      <c r="H308" s="688"/>
      <c r="I308" s="688"/>
      <c r="J308" s="688"/>
      <c r="K308" s="688"/>
      <c r="L308" s="688"/>
      <c r="M308" s="688"/>
      <c r="N308" s="688"/>
    </row>
  </sheetData>
  <mergeCells count="16">
    <mergeCell ref="C120:N120"/>
    <mergeCell ref="C121:N121"/>
    <mergeCell ref="C122:N122"/>
    <mergeCell ref="C115:N115"/>
    <mergeCell ref="C116:N116"/>
    <mergeCell ref="C117:N117"/>
    <mergeCell ref="C118:N118"/>
    <mergeCell ref="C119:N119"/>
    <mergeCell ref="C108:N108"/>
    <mergeCell ref="C109:N109"/>
    <mergeCell ref="C102:N102"/>
    <mergeCell ref="C103:N103"/>
    <mergeCell ref="C104:N104"/>
    <mergeCell ref="C105:N105"/>
    <mergeCell ref="C106:N106"/>
    <mergeCell ref="C107:N107"/>
  </mergeCells>
  <phoneticPr fontId="13" type="noConversion"/>
  <pageMargins left="0.75" right="0.75" top="1" bottom="1" header="0.5" footer="0.5"/>
  <pageSetup scale="51"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V65"/>
  <sheetViews>
    <sheetView showGridLines="0" topLeftCell="F1" zoomScaleNormal="100" workbookViewId="0">
      <selection activeCell="H15" sqref="H15"/>
    </sheetView>
  </sheetViews>
  <sheetFormatPr defaultRowHeight="12.75"/>
  <cols>
    <col min="1" max="1" width="16" style="702" customWidth="1"/>
    <col min="2" max="2" width="25.5546875" style="702" customWidth="1"/>
    <col min="3" max="20" width="10.77734375" style="702" customWidth="1"/>
    <col min="21" max="21" width="7.109375" style="702" customWidth="1"/>
    <col min="22" max="22" width="10.88671875" style="702" bestFit="1" customWidth="1"/>
    <col min="23" max="16384" width="8.88671875" style="702"/>
  </cols>
  <sheetData>
    <row r="1" spans="1:21" s="700" customFormat="1" ht="18">
      <c r="A1" s="699" t="s">
        <v>722</v>
      </c>
    </row>
    <row r="2" spans="1:21">
      <c r="A2" s="701"/>
      <c r="O2" s="862"/>
    </row>
    <row r="3" spans="1:21">
      <c r="A3" s="703" t="s">
        <v>723</v>
      </c>
      <c r="B3" s="879">
        <v>2018</v>
      </c>
      <c r="C3" s="704"/>
      <c r="D3" s="704"/>
      <c r="E3" s="704"/>
    </row>
    <row r="4" spans="1:21">
      <c r="A4" s="701"/>
      <c r="B4" s="704"/>
      <c r="C4" s="704"/>
      <c r="D4" s="704"/>
      <c r="E4" s="704"/>
    </row>
    <row r="5" spans="1:21">
      <c r="A5" s="703" t="s">
        <v>724</v>
      </c>
      <c r="B5" s="705" t="s">
        <v>265</v>
      </c>
      <c r="C5" s="704"/>
      <c r="D5" s="704"/>
      <c r="E5" s="704"/>
    </row>
    <row r="6" spans="1:21">
      <c r="A6" s="701"/>
      <c r="B6" s="704"/>
      <c r="C6" s="1086"/>
      <c r="D6" s="1086"/>
      <c r="E6" s="1086"/>
      <c r="F6" s="1087"/>
      <c r="G6" s="1099"/>
      <c r="H6" s="1099"/>
      <c r="I6" s="1099"/>
      <c r="J6" s="1087"/>
      <c r="K6" s="1087"/>
      <c r="L6" s="1087"/>
      <c r="M6" s="1087"/>
      <c r="N6" s="1087"/>
      <c r="O6" s="1087"/>
      <c r="P6" s="1087"/>
      <c r="Q6" s="1087"/>
      <c r="R6" s="1087"/>
      <c r="S6" s="1087"/>
      <c r="T6" s="1087"/>
      <c r="U6" s="422" t="s">
        <v>725</v>
      </c>
    </row>
    <row r="7" spans="1:21">
      <c r="A7" s="707"/>
      <c r="B7" s="708" t="s">
        <v>726</v>
      </c>
      <c r="C7" s="709" t="s">
        <v>220</v>
      </c>
      <c r="D7" s="709" t="s">
        <v>221</v>
      </c>
      <c r="E7" s="709" t="s">
        <v>222</v>
      </c>
      <c r="F7" s="709" t="s">
        <v>223</v>
      </c>
      <c r="G7" s="709" t="s">
        <v>224</v>
      </c>
      <c r="H7" s="709" t="s">
        <v>690</v>
      </c>
      <c r="I7" s="709" t="s">
        <v>693</v>
      </c>
      <c r="J7" s="709" t="s">
        <v>225</v>
      </c>
      <c r="K7" s="709" t="s">
        <v>226</v>
      </c>
      <c r="L7" s="709" t="s">
        <v>227</v>
      </c>
      <c r="M7" s="709" t="s">
        <v>228</v>
      </c>
      <c r="N7" s="709" t="s">
        <v>229</v>
      </c>
      <c r="O7" s="709" t="s">
        <v>230</v>
      </c>
      <c r="P7" s="709" t="s">
        <v>239</v>
      </c>
      <c r="Q7" s="709" t="s">
        <v>231</v>
      </c>
      <c r="R7" s="709" t="s">
        <v>232</v>
      </c>
      <c r="S7" s="709" t="s">
        <v>727</v>
      </c>
      <c r="T7" s="709" t="s">
        <v>1006</v>
      </c>
      <c r="U7" s="710" t="s">
        <v>728</v>
      </c>
    </row>
    <row r="8" spans="1:21">
      <c r="A8" s="707"/>
      <c r="B8" s="708" t="s">
        <v>729</v>
      </c>
      <c r="C8" s="711" t="s">
        <v>878</v>
      </c>
      <c r="D8" s="711" t="s">
        <v>878</v>
      </c>
      <c r="E8" s="711" t="s">
        <v>878</v>
      </c>
      <c r="F8" s="711" t="s">
        <v>878</v>
      </c>
      <c r="G8" s="711" t="s">
        <v>878</v>
      </c>
      <c r="H8" s="711" t="s">
        <v>878</v>
      </c>
      <c r="I8" s="711" t="s">
        <v>878</v>
      </c>
      <c r="J8" s="711" t="s">
        <v>878</v>
      </c>
      <c r="K8" s="711" t="s">
        <v>878</v>
      </c>
      <c r="L8" s="711" t="s">
        <v>878</v>
      </c>
      <c r="M8" s="711" t="s">
        <v>878</v>
      </c>
      <c r="N8" s="711" t="s">
        <v>878</v>
      </c>
      <c r="O8" s="711" t="s">
        <v>878</v>
      </c>
      <c r="P8" s="711" t="s">
        <v>878</v>
      </c>
      <c r="Q8" s="711" t="s">
        <v>878</v>
      </c>
      <c r="R8" s="711" t="s">
        <v>878</v>
      </c>
      <c r="S8" s="711" t="s">
        <v>878</v>
      </c>
      <c r="T8" s="711" t="s">
        <v>878</v>
      </c>
    </row>
    <row r="9" spans="1:21" ht="15" customHeight="1">
      <c r="A9" s="707"/>
      <c r="B9" s="708" t="s">
        <v>730</v>
      </c>
      <c r="C9" s="711" t="s">
        <v>728</v>
      </c>
      <c r="D9" s="711" t="s">
        <v>728</v>
      </c>
      <c r="E9" s="711" t="s">
        <v>725</v>
      </c>
      <c r="F9" s="711" t="s">
        <v>725</v>
      </c>
      <c r="G9" s="711" t="s">
        <v>725</v>
      </c>
      <c r="H9" s="711" t="s">
        <v>725</v>
      </c>
      <c r="I9" s="711" t="s">
        <v>725</v>
      </c>
      <c r="J9" s="711" t="s">
        <v>725</v>
      </c>
      <c r="K9" s="711" t="s">
        <v>728</v>
      </c>
      <c r="L9" s="711" t="s">
        <v>728</v>
      </c>
      <c r="M9" s="711" t="s">
        <v>728</v>
      </c>
      <c r="N9" s="711" t="s">
        <v>728</v>
      </c>
      <c r="O9" s="711" t="s">
        <v>725</v>
      </c>
      <c r="P9" s="711" t="s">
        <v>728</v>
      </c>
      <c r="Q9" s="711" t="s">
        <v>728</v>
      </c>
      <c r="R9" s="711" t="s">
        <v>725</v>
      </c>
      <c r="S9" s="711" t="s">
        <v>725</v>
      </c>
      <c r="T9" s="711" t="s">
        <v>728</v>
      </c>
    </row>
    <row r="10" spans="1:21">
      <c r="A10" s="712" t="s">
        <v>278</v>
      </c>
      <c r="B10" s="713" t="str">
        <f xml:space="preserve"> "December " &amp; B3-1</f>
        <v>December 2017</v>
      </c>
      <c r="C10" s="714">
        <v>7072818.7000000002</v>
      </c>
      <c r="D10" s="715">
        <v>3487897.51</v>
      </c>
      <c r="E10" s="714">
        <v>4462295.25</v>
      </c>
      <c r="F10" s="715">
        <v>7706681.2699999996</v>
      </c>
      <c r="G10" s="714">
        <v>30126267.81000001</v>
      </c>
      <c r="H10" s="715">
        <v>206670773.85839993</v>
      </c>
      <c r="I10" s="714">
        <v>219435710.14915204</v>
      </c>
      <c r="J10" s="715">
        <v>468201.81000000006</v>
      </c>
      <c r="K10" s="714">
        <v>127736.33000000002</v>
      </c>
      <c r="L10" s="715">
        <v>47486.629999999976</v>
      </c>
      <c r="M10" s="714">
        <v>230828.44</v>
      </c>
      <c r="N10" s="715">
        <v>4271587.1000000006</v>
      </c>
      <c r="O10" s="714">
        <v>22200964.091914997</v>
      </c>
      <c r="P10" s="715">
        <v>309681</v>
      </c>
      <c r="Q10" s="714">
        <v>15310378.91</v>
      </c>
      <c r="R10" s="715">
        <v>18711271.990000002</v>
      </c>
      <c r="S10" s="714">
        <v>37116159.920000002</v>
      </c>
      <c r="T10" s="715">
        <v>672602.52000000048</v>
      </c>
    </row>
    <row r="11" spans="1:21">
      <c r="A11" s="716" t="s">
        <v>731</v>
      </c>
      <c r="B11" s="717" t="str">
        <f xml:space="preserve"> "January " &amp; B3</f>
        <v>January 2018</v>
      </c>
      <c r="C11" s="718">
        <v>7072818.7000000002</v>
      </c>
      <c r="D11" s="719">
        <v>3487897.51</v>
      </c>
      <c r="E11" s="718">
        <v>4462295.25</v>
      </c>
      <c r="F11" s="719">
        <v>7706681.2699999996</v>
      </c>
      <c r="G11" s="718">
        <v>30126267.81000001</v>
      </c>
      <c r="H11" s="719">
        <v>206670773.85839993</v>
      </c>
      <c r="I11" s="718">
        <v>219435710.14915204</v>
      </c>
      <c r="J11" s="719">
        <v>468201.81000000006</v>
      </c>
      <c r="K11" s="718">
        <v>127736.33000000002</v>
      </c>
      <c r="L11" s="719">
        <v>47486.629999999976</v>
      </c>
      <c r="M11" s="718">
        <v>230828.44</v>
      </c>
      <c r="N11" s="719">
        <v>4271587.1000000006</v>
      </c>
      <c r="O11" s="718">
        <v>22200964.091914997</v>
      </c>
      <c r="P11" s="719">
        <v>309681</v>
      </c>
      <c r="Q11" s="718">
        <v>15310378.91</v>
      </c>
      <c r="R11" s="719">
        <v>18711271.990000002</v>
      </c>
      <c r="S11" s="718">
        <v>37116159.920000002</v>
      </c>
      <c r="T11" s="719">
        <v>672602.52000000048</v>
      </c>
    </row>
    <row r="12" spans="1:21">
      <c r="A12" s="716"/>
      <c r="B12" s="720" t="s">
        <v>47</v>
      </c>
      <c r="C12" s="718">
        <v>7072818.7000000002</v>
      </c>
      <c r="D12" s="719">
        <v>3487897.51</v>
      </c>
      <c r="E12" s="718">
        <v>4462295.25</v>
      </c>
      <c r="F12" s="719">
        <v>7706681.2699999996</v>
      </c>
      <c r="G12" s="718">
        <v>30126267.81000001</v>
      </c>
      <c r="H12" s="719">
        <v>206670773.85839993</v>
      </c>
      <c r="I12" s="718">
        <v>219435710.14915204</v>
      </c>
      <c r="J12" s="719">
        <v>468201.81000000006</v>
      </c>
      <c r="K12" s="718">
        <v>127736.33000000002</v>
      </c>
      <c r="L12" s="719">
        <v>47486.629999999976</v>
      </c>
      <c r="M12" s="718">
        <v>230828.44</v>
      </c>
      <c r="N12" s="719">
        <v>4271587.1000000006</v>
      </c>
      <c r="O12" s="718">
        <v>22200964.091914997</v>
      </c>
      <c r="P12" s="719">
        <v>309681</v>
      </c>
      <c r="Q12" s="718">
        <v>15310378.91</v>
      </c>
      <c r="R12" s="719">
        <v>18711271.990000002</v>
      </c>
      <c r="S12" s="718">
        <v>37116159.920000002</v>
      </c>
      <c r="T12" s="719">
        <v>672602.52000000048</v>
      </c>
    </row>
    <row r="13" spans="1:21">
      <c r="A13" s="716"/>
      <c r="B13" s="720" t="s">
        <v>246</v>
      </c>
      <c r="C13" s="718">
        <v>7072818.7000000002</v>
      </c>
      <c r="D13" s="719">
        <v>3487897.51</v>
      </c>
      <c r="E13" s="718">
        <v>4462295.25</v>
      </c>
      <c r="F13" s="719">
        <v>7706681.2699999996</v>
      </c>
      <c r="G13" s="718">
        <v>30126267.81000001</v>
      </c>
      <c r="H13" s="719">
        <v>206670773.85839993</v>
      </c>
      <c r="I13" s="718">
        <v>219435710.14915204</v>
      </c>
      <c r="J13" s="719">
        <v>468201.81000000006</v>
      </c>
      <c r="K13" s="718">
        <v>127736.33000000002</v>
      </c>
      <c r="L13" s="719">
        <v>47486.629999999976</v>
      </c>
      <c r="M13" s="718">
        <v>230828.44</v>
      </c>
      <c r="N13" s="719">
        <v>4271587.1000000006</v>
      </c>
      <c r="O13" s="718">
        <v>22200964.091914997</v>
      </c>
      <c r="P13" s="719">
        <v>309681</v>
      </c>
      <c r="Q13" s="718">
        <v>15310378.91</v>
      </c>
      <c r="R13" s="719">
        <v>18711271.990000002</v>
      </c>
      <c r="S13" s="718">
        <v>37116159.920000002</v>
      </c>
      <c r="T13" s="719">
        <v>672602.52000000048</v>
      </c>
    </row>
    <row r="14" spans="1:21">
      <c r="A14" s="716"/>
      <c r="B14" s="720" t="s">
        <v>49</v>
      </c>
      <c r="C14" s="718">
        <v>7072818.7000000002</v>
      </c>
      <c r="D14" s="719">
        <v>3487897.51</v>
      </c>
      <c r="E14" s="718">
        <v>4462295.25</v>
      </c>
      <c r="F14" s="719">
        <v>7706681.2699999996</v>
      </c>
      <c r="G14" s="718">
        <v>30126267.81000001</v>
      </c>
      <c r="H14" s="719">
        <v>206670773.85839993</v>
      </c>
      <c r="I14" s="718">
        <v>219435710.14915204</v>
      </c>
      <c r="J14" s="719">
        <v>468201.81000000006</v>
      </c>
      <c r="K14" s="718">
        <v>127736.33000000002</v>
      </c>
      <c r="L14" s="719">
        <v>47486.629999999976</v>
      </c>
      <c r="M14" s="718">
        <v>230828.44</v>
      </c>
      <c r="N14" s="719">
        <v>4271587.1000000006</v>
      </c>
      <c r="O14" s="718">
        <v>22200964.091914997</v>
      </c>
      <c r="P14" s="719">
        <v>309681</v>
      </c>
      <c r="Q14" s="718">
        <v>15310378.91</v>
      </c>
      <c r="R14" s="719">
        <v>18711271.990000002</v>
      </c>
      <c r="S14" s="718">
        <v>37116159.920000002</v>
      </c>
      <c r="T14" s="719">
        <v>672602.52000000048</v>
      </c>
    </row>
    <row r="15" spans="1:21">
      <c r="A15" s="716"/>
      <c r="B15" s="720" t="s">
        <v>21</v>
      </c>
      <c r="C15" s="718">
        <v>7072818.7000000002</v>
      </c>
      <c r="D15" s="719">
        <v>3487897.51</v>
      </c>
      <c r="E15" s="718">
        <v>4462295.25</v>
      </c>
      <c r="F15" s="719">
        <v>7706681.2699999996</v>
      </c>
      <c r="G15" s="718">
        <v>30126267.81000001</v>
      </c>
      <c r="H15" s="719">
        <v>206670773.85839993</v>
      </c>
      <c r="I15" s="718">
        <v>219435710.14915204</v>
      </c>
      <c r="J15" s="719">
        <v>468201.81000000006</v>
      </c>
      <c r="K15" s="718">
        <v>127736.33000000002</v>
      </c>
      <c r="L15" s="719">
        <v>47486.629999999976</v>
      </c>
      <c r="M15" s="718">
        <v>230828.44</v>
      </c>
      <c r="N15" s="719">
        <v>4271587.1000000006</v>
      </c>
      <c r="O15" s="718">
        <v>22200964.091914997</v>
      </c>
      <c r="P15" s="719">
        <v>309681</v>
      </c>
      <c r="Q15" s="718">
        <v>15310378.91</v>
      </c>
      <c r="R15" s="719">
        <v>18711271.990000002</v>
      </c>
      <c r="S15" s="718">
        <v>37116159.920000002</v>
      </c>
      <c r="T15" s="719">
        <v>672602.52000000048</v>
      </c>
    </row>
    <row r="16" spans="1:21">
      <c r="A16" s="716"/>
      <c r="B16" s="720" t="s">
        <v>50</v>
      </c>
      <c r="C16" s="718">
        <v>7072818.7000000002</v>
      </c>
      <c r="D16" s="719">
        <v>3487897.51</v>
      </c>
      <c r="E16" s="718">
        <v>4462295.25</v>
      </c>
      <c r="F16" s="719">
        <v>7706681.2699999996</v>
      </c>
      <c r="G16" s="718">
        <v>30126267.81000001</v>
      </c>
      <c r="H16" s="719">
        <v>206670773.85839993</v>
      </c>
      <c r="I16" s="718">
        <v>219435710.14915204</v>
      </c>
      <c r="J16" s="719">
        <v>468201.81000000006</v>
      </c>
      <c r="K16" s="718">
        <v>127736.33000000002</v>
      </c>
      <c r="L16" s="719">
        <v>47486.629999999976</v>
      </c>
      <c r="M16" s="718">
        <v>230828.44</v>
      </c>
      <c r="N16" s="719">
        <v>4271587.1000000006</v>
      </c>
      <c r="O16" s="718">
        <v>22200964.091914997</v>
      </c>
      <c r="P16" s="719">
        <v>309681</v>
      </c>
      <c r="Q16" s="718">
        <v>15310378.91</v>
      </c>
      <c r="R16" s="719">
        <v>18711271.990000002</v>
      </c>
      <c r="S16" s="718">
        <v>37116159.920000002</v>
      </c>
      <c r="T16" s="719">
        <v>672602.52000000048</v>
      </c>
    </row>
    <row r="17" spans="1:20">
      <c r="A17" s="716"/>
      <c r="B17" s="720" t="s">
        <v>51</v>
      </c>
      <c r="C17" s="718">
        <v>7072818.7000000002</v>
      </c>
      <c r="D17" s="719">
        <v>3487897.51</v>
      </c>
      <c r="E17" s="718">
        <v>4462295.25</v>
      </c>
      <c r="F17" s="719">
        <v>7706681.2699999996</v>
      </c>
      <c r="G17" s="718">
        <v>30126267.81000001</v>
      </c>
      <c r="H17" s="719">
        <v>206670773.85839993</v>
      </c>
      <c r="I17" s="718">
        <v>219435710.14915204</v>
      </c>
      <c r="J17" s="719">
        <v>468201.81000000006</v>
      </c>
      <c r="K17" s="718">
        <v>127736.33000000002</v>
      </c>
      <c r="L17" s="719">
        <v>47486.629999999976</v>
      </c>
      <c r="M17" s="718">
        <v>230828.44</v>
      </c>
      <c r="N17" s="719">
        <v>4271587.1000000006</v>
      </c>
      <c r="O17" s="718">
        <v>22200964.091914997</v>
      </c>
      <c r="P17" s="719">
        <v>309681</v>
      </c>
      <c r="Q17" s="718">
        <v>15310378.91</v>
      </c>
      <c r="R17" s="719">
        <v>18711271.990000002</v>
      </c>
      <c r="S17" s="718">
        <v>37116159.920000002</v>
      </c>
      <c r="T17" s="719">
        <v>672602.52000000048</v>
      </c>
    </row>
    <row r="18" spans="1:20">
      <c r="A18" s="716"/>
      <c r="B18" s="720" t="s">
        <v>245</v>
      </c>
      <c r="C18" s="718">
        <v>7072818.7000000002</v>
      </c>
      <c r="D18" s="719">
        <v>3487897.51</v>
      </c>
      <c r="E18" s="718">
        <v>4462295.25</v>
      </c>
      <c r="F18" s="719">
        <v>7706681.2699999996</v>
      </c>
      <c r="G18" s="718">
        <v>30126267.81000001</v>
      </c>
      <c r="H18" s="719">
        <v>206670773.85839993</v>
      </c>
      <c r="I18" s="718">
        <v>219435710.14915204</v>
      </c>
      <c r="J18" s="719">
        <v>468201.81000000006</v>
      </c>
      <c r="K18" s="718">
        <v>127736.33000000002</v>
      </c>
      <c r="L18" s="719">
        <v>47486.629999999976</v>
      </c>
      <c r="M18" s="718">
        <v>230828.44</v>
      </c>
      <c r="N18" s="719">
        <v>4271587.1000000006</v>
      </c>
      <c r="O18" s="718">
        <v>22200964.091914997</v>
      </c>
      <c r="P18" s="719">
        <v>309681</v>
      </c>
      <c r="Q18" s="718">
        <v>15310378.91</v>
      </c>
      <c r="R18" s="719">
        <v>18711271.990000002</v>
      </c>
      <c r="S18" s="718">
        <v>37116159.920000002</v>
      </c>
      <c r="T18" s="719">
        <v>672602.52000000048</v>
      </c>
    </row>
    <row r="19" spans="1:20">
      <c r="A19" s="716"/>
      <c r="B19" s="720" t="s">
        <v>53</v>
      </c>
      <c r="C19" s="718">
        <v>7072818.7000000002</v>
      </c>
      <c r="D19" s="719">
        <v>3487897.51</v>
      </c>
      <c r="E19" s="718">
        <v>4462295.25</v>
      </c>
      <c r="F19" s="719">
        <v>7706681.2699999996</v>
      </c>
      <c r="G19" s="718">
        <v>30126267.81000001</v>
      </c>
      <c r="H19" s="719">
        <v>206670773.85839993</v>
      </c>
      <c r="I19" s="718">
        <v>219435710.14915204</v>
      </c>
      <c r="J19" s="719">
        <v>468201.81000000006</v>
      </c>
      <c r="K19" s="718">
        <v>127736.33000000002</v>
      </c>
      <c r="L19" s="719">
        <v>47486.629999999976</v>
      </c>
      <c r="M19" s="718">
        <v>230828.44</v>
      </c>
      <c r="N19" s="719">
        <v>4271587.1000000006</v>
      </c>
      <c r="O19" s="718">
        <v>22200964.091914997</v>
      </c>
      <c r="P19" s="719">
        <v>309681</v>
      </c>
      <c r="Q19" s="718">
        <v>15310378.91</v>
      </c>
      <c r="R19" s="719">
        <v>18711271.990000002</v>
      </c>
      <c r="S19" s="718">
        <v>37116159.920000002</v>
      </c>
      <c r="T19" s="719">
        <v>672602.52000000048</v>
      </c>
    </row>
    <row r="20" spans="1:20">
      <c r="A20" s="716"/>
      <c r="B20" s="720" t="s">
        <v>54</v>
      </c>
      <c r="C20" s="718">
        <v>7072818.7000000002</v>
      </c>
      <c r="D20" s="719">
        <v>3487897.51</v>
      </c>
      <c r="E20" s="718">
        <v>4462295.25</v>
      </c>
      <c r="F20" s="719">
        <v>7706681.2699999996</v>
      </c>
      <c r="G20" s="718">
        <v>30126267.81000001</v>
      </c>
      <c r="H20" s="719">
        <v>206670773.85839993</v>
      </c>
      <c r="I20" s="718">
        <v>219435710.14915204</v>
      </c>
      <c r="J20" s="719">
        <v>468201.81000000006</v>
      </c>
      <c r="K20" s="718">
        <v>127736.33000000002</v>
      </c>
      <c r="L20" s="719">
        <v>47486.629999999976</v>
      </c>
      <c r="M20" s="718">
        <v>230828.44</v>
      </c>
      <c r="N20" s="719">
        <v>4271587.1000000006</v>
      </c>
      <c r="O20" s="718">
        <v>22200964.091914997</v>
      </c>
      <c r="P20" s="719">
        <v>309681</v>
      </c>
      <c r="Q20" s="718">
        <v>15310378.91</v>
      </c>
      <c r="R20" s="719">
        <v>18711271.990000002</v>
      </c>
      <c r="S20" s="718">
        <v>37116159.920000002</v>
      </c>
      <c r="T20" s="719">
        <v>672602.52000000048</v>
      </c>
    </row>
    <row r="21" spans="1:20">
      <c r="A21" s="716"/>
      <c r="B21" s="720" t="s">
        <v>55</v>
      </c>
      <c r="C21" s="718">
        <v>7072818.7000000002</v>
      </c>
      <c r="D21" s="719">
        <v>3487897.51</v>
      </c>
      <c r="E21" s="718">
        <v>4462295.25</v>
      </c>
      <c r="F21" s="719">
        <v>7706681.2699999996</v>
      </c>
      <c r="G21" s="718">
        <v>30126267.81000001</v>
      </c>
      <c r="H21" s="719">
        <v>206670773.85839993</v>
      </c>
      <c r="I21" s="718">
        <v>219435710.14915204</v>
      </c>
      <c r="J21" s="719">
        <v>468201.81000000006</v>
      </c>
      <c r="K21" s="718">
        <v>127736.33000000002</v>
      </c>
      <c r="L21" s="719">
        <v>47486.629999999976</v>
      </c>
      <c r="M21" s="718">
        <v>230828.44</v>
      </c>
      <c r="N21" s="719">
        <v>4271587.1000000006</v>
      </c>
      <c r="O21" s="718">
        <v>22200964.091914997</v>
      </c>
      <c r="P21" s="719">
        <v>309681</v>
      </c>
      <c r="Q21" s="718">
        <v>15310378.91</v>
      </c>
      <c r="R21" s="719">
        <v>18711271.990000002</v>
      </c>
      <c r="S21" s="718">
        <v>37116159.920000002</v>
      </c>
      <c r="T21" s="719">
        <v>672602.52000000048</v>
      </c>
    </row>
    <row r="22" spans="1:20">
      <c r="A22" s="721"/>
      <c r="B22" s="722" t="str">
        <f xml:space="preserve"> "December " &amp; B3</f>
        <v>December 2018</v>
      </c>
      <c r="C22" s="723">
        <v>7072818.7000000002</v>
      </c>
      <c r="D22" s="724">
        <v>3487897.51</v>
      </c>
      <c r="E22" s="723">
        <v>4462295.25</v>
      </c>
      <c r="F22" s="724">
        <v>7706681.2699999996</v>
      </c>
      <c r="G22" s="723">
        <v>30126267.81000001</v>
      </c>
      <c r="H22" s="724">
        <v>206670773.85839993</v>
      </c>
      <c r="I22" s="723">
        <v>219435710.14915204</v>
      </c>
      <c r="J22" s="724">
        <v>468201.81000000006</v>
      </c>
      <c r="K22" s="723">
        <v>127736.33000000002</v>
      </c>
      <c r="L22" s="724">
        <v>47486.629999999976</v>
      </c>
      <c r="M22" s="723">
        <v>230828.44</v>
      </c>
      <c r="N22" s="724">
        <v>4271587.1000000006</v>
      </c>
      <c r="O22" s="723">
        <v>22200964.091914997</v>
      </c>
      <c r="P22" s="724">
        <v>309681</v>
      </c>
      <c r="Q22" s="723">
        <v>15310378.91</v>
      </c>
      <c r="R22" s="724">
        <v>18711271.990000002</v>
      </c>
      <c r="S22" s="723">
        <v>37116159.920000002</v>
      </c>
      <c r="T22" s="724">
        <v>672602.52000000048</v>
      </c>
    </row>
    <row r="23" spans="1:20">
      <c r="A23" s="725"/>
      <c r="B23" s="726" t="s">
        <v>29</v>
      </c>
      <c r="C23" s="993">
        <f>AVERAGE(C10:C22)</f>
        <v>7072818.700000002</v>
      </c>
      <c r="D23" s="993">
        <f>AVERAGE(D10:D22)</f>
        <v>3487897.5099999984</v>
      </c>
      <c r="E23" s="993">
        <f t="shared" ref="E23:S23" si="0">AVERAGE(E10:E22)</f>
        <v>4462295.25</v>
      </c>
      <c r="F23" s="993">
        <f t="shared" si="0"/>
        <v>7706681.2699999968</v>
      </c>
      <c r="G23" s="993">
        <f t="shared" si="0"/>
        <v>30126267.810000006</v>
      </c>
      <c r="H23" s="993">
        <f t="shared" si="0"/>
        <v>206670773.8583999</v>
      </c>
      <c r="I23" s="993">
        <f t="shared" si="0"/>
        <v>219435710.14915201</v>
      </c>
      <c r="J23" s="993">
        <f t="shared" si="0"/>
        <v>468201.81000000023</v>
      </c>
      <c r="K23" s="993">
        <f t="shared" si="0"/>
        <v>127736.33000000006</v>
      </c>
      <c r="L23" s="993">
        <f t="shared" si="0"/>
        <v>47486.62999999999</v>
      </c>
      <c r="M23" s="993">
        <f t="shared" si="0"/>
        <v>230828.43999999997</v>
      </c>
      <c r="N23" s="993">
        <f t="shared" si="0"/>
        <v>4271587.1000000006</v>
      </c>
      <c r="O23" s="993">
        <f t="shared" si="0"/>
        <v>22200964.091915004</v>
      </c>
      <c r="P23" s="993">
        <f t="shared" si="0"/>
        <v>309681</v>
      </c>
      <c r="Q23" s="993">
        <f t="shared" si="0"/>
        <v>15310378.909999998</v>
      </c>
      <c r="R23" s="993">
        <f t="shared" si="0"/>
        <v>18711271.990000006</v>
      </c>
      <c r="S23" s="993">
        <f t="shared" si="0"/>
        <v>37116159.920000009</v>
      </c>
      <c r="T23" s="993">
        <f t="shared" ref="T23" si="1">AVERAGE(T10:T22)</f>
        <v>672602.52000000037</v>
      </c>
    </row>
    <row r="24" spans="1:20">
      <c r="A24" s="725"/>
      <c r="B24" s="726"/>
      <c r="C24" s="728"/>
      <c r="D24" s="728"/>
      <c r="E24" s="728"/>
      <c r="F24" s="728"/>
      <c r="G24" s="728"/>
      <c r="H24" s="728"/>
      <c r="I24" s="728"/>
      <c r="J24" s="728"/>
      <c r="K24" s="728"/>
      <c r="L24" s="728"/>
      <c r="M24" s="728"/>
      <c r="N24" s="728"/>
      <c r="O24" s="728"/>
      <c r="P24" s="728"/>
      <c r="Q24" s="728"/>
      <c r="R24" s="728"/>
      <c r="S24" s="728"/>
      <c r="T24" s="728"/>
    </row>
    <row r="25" spans="1:20">
      <c r="A25" s="725"/>
      <c r="B25" s="726"/>
      <c r="C25" s="728"/>
      <c r="D25" s="728"/>
      <c r="E25" s="728"/>
      <c r="F25" s="728"/>
      <c r="G25" s="728"/>
      <c r="H25" s="728"/>
      <c r="I25" s="728"/>
      <c r="J25" s="728"/>
      <c r="K25" s="728"/>
      <c r="L25" s="728"/>
      <c r="M25" s="728"/>
      <c r="N25" s="728"/>
      <c r="O25" s="728"/>
      <c r="P25" s="728"/>
      <c r="Q25" s="728"/>
      <c r="R25" s="728"/>
      <c r="S25" s="728"/>
      <c r="T25" s="728"/>
    </row>
    <row r="26" spans="1:20">
      <c r="A26" s="712" t="s">
        <v>861</v>
      </c>
      <c r="B26" s="713" t="str">
        <f>B10</f>
        <v>December 2017</v>
      </c>
      <c r="C26" s="714">
        <v>1787876.4799999965</v>
      </c>
      <c r="D26" s="715">
        <v>874041.48000000161</v>
      </c>
      <c r="E26" s="714">
        <v>825235.87499999907</v>
      </c>
      <c r="F26" s="715">
        <v>1425236.9999999984</v>
      </c>
      <c r="G26" s="714">
        <v>3162843.9817979601</v>
      </c>
      <c r="H26" s="715">
        <v>14149838.188037898</v>
      </c>
      <c r="I26" s="714">
        <v>10464155.527789749</v>
      </c>
      <c r="J26" s="715">
        <v>86409.689999999871</v>
      </c>
      <c r="K26" s="714">
        <v>28050.120000000043</v>
      </c>
      <c r="L26" s="715">
        <v>12287.550000000007</v>
      </c>
      <c r="M26" s="714">
        <v>47956.130000000063</v>
      </c>
      <c r="N26" s="715">
        <v>471812.59386543254</v>
      </c>
      <c r="O26" s="714">
        <v>1960886.9763956715</v>
      </c>
      <c r="P26" s="715">
        <v>58782.039999999943</v>
      </c>
      <c r="Q26" s="714">
        <v>1037393.6688099651</v>
      </c>
      <c r="R26" s="715">
        <v>1122659.4483468165</v>
      </c>
      <c r="S26" s="714">
        <v>1605483.6074546997</v>
      </c>
      <c r="T26" s="715">
        <v>26646.119269500563</v>
      </c>
    </row>
    <row r="27" spans="1:20">
      <c r="A27" s="716" t="s">
        <v>732</v>
      </c>
      <c r="B27" s="717" t="str">
        <f>B11</f>
        <v>January 2018</v>
      </c>
      <c r="C27" s="718">
        <v>1803355.9299999964</v>
      </c>
      <c r="D27" s="719">
        <v>881675.03000000166</v>
      </c>
      <c r="E27" s="718">
        <v>835001.97999999905</v>
      </c>
      <c r="F27" s="719">
        <v>1442103.7099999983</v>
      </c>
      <c r="G27" s="718">
        <v>3213098.1326713129</v>
      </c>
      <c r="H27" s="719">
        <v>14480626.757865662</v>
      </c>
      <c r="I27" s="718">
        <v>10820064.201800004</v>
      </c>
      <c r="J27" s="719">
        <v>87434.389999999868</v>
      </c>
      <c r="K27" s="718">
        <v>28329.680000000044</v>
      </c>
      <c r="L27" s="719">
        <v>12380.720000000008</v>
      </c>
      <c r="M27" s="718">
        <v>48369.230000000069</v>
      </c>
      <c r="N27" s="719">
        <v>478457.55792805168</v>
      </c>
      <c r="O27" s="718">
        <v>1998270.9723659474</v>
      </c>
      <c r="P27" s="719">
        <v>59498.894166666607</v>
      </c>
      <c r="Q27" s="718">
        <v>1063977.0985077152</v>
      </c>
      <c r="R27" s="719">
        <v>1153918.5358077886</v>
      </c>
      <c r="S27" s="718">
        <v>1670114.5544240528</v>
      </c>
      <c r="T27" s="719">
        <v>27817.332506410588</v>
      </c>
    </row>
    <row r="28" spans="1:20">
      <c r="A28" s="716"/>
      <c r="B28" s="729" t="s">
        <v>47</v>
      </c>
      <c r="C28" s="718">
        <v>1818835.3799999964</v>
      </c>
      <c r="D28" s="719">
        <v>889308.5800000017</v>
      </c>
      <c r="E28" s="718">
        <v>844768.08499999903</v>
      </c>
      <c r="F28" s="719">
        <v>1458970.4199999983</v>
      </c>
      <c r="G28" s="718">
        <v>3263352.2835446661</v>
      </c>
      <c r="H28" s="719">
        <v>14811415.327693423</v>
      </c>
      <c r="I28" s="718">
        <v>11175972.87581026</v>
      </c>
      <c r="J28" s="719">
        <v>88459.089999999866</v>
      </c>
      <c r="K28" s="718">
        <v>28609.240000000045</v>
      </c>
      <c r="L28" s="719">
        <v>12473.890000000007</v>
      </c>
      <c r="M28" s="718">
        <v>48782.330000000067</v>
      </c>
      <c r="N28" s="719">
        <v>485102.52199067082</v>
      </c>
      <c r="O28" s="718">
        <v>2035654.9683362234</v>
      </c>
      <c r="P28" s="719">
        <v>60215.748333333271</v>
      </c>
      <c r="Q28" s="718">
        <v>1090560.5282054651</v>
      </c>
      <c r="R28" s="719">
        <v>1185177.6232687607</v>
      </c>
      <c r="S28" s="718">
        <v>1734745.501393406</v>
      </c>
      <c r="T28" s="719">
        <v>28988.545743320614</v>
      </c>
    </row>
    <row r="29" spans="1:20">
      <c r="A29" s="716"/>
      <c r="B29" s="729" t="s">
        <v>246</v>
      </c>
      <c r="C29" s="718">
        <v>1834314.8299999963</v>
      </c>
      <c r="D29" s="719">
        <v>896942.13000000175</v>
      </c>
      <c r="E29" s="718">
        <v>854534.18999999901</v>
      </c>
      <c r="F29" s="719">
        <v>1475837.1299999983</v>
      </c>
      <c r="G29" s="718">
        <v>3313606.4344180189</v>
      </c>
      <c r="H29" s="719">
        <v>15142203.897521185</v>
      </c>
      <c r="I29" s="718">
        <v>11531881.549820513</v>
      </c>
      <c r="J29" s="719">
        <v>89483.789999999863</v>
      </c>
      <c r="K29" s="718">
        <v>28888.800000000047</v>
      </c>
      <c r="L29" s="719">
        <v>12567.060000000009</v>
      </c>
      <c r="M29" s="718">
        <v>49195.430000000066</v>
      </c>
      <c r="N29" s="719">
        <v>491747.48605328996</v>
      </c>
      <c r="O29" s="718">
        <v>2073038.9643064993</v>
      </c>
      <c r="P29" s="719">
        <v>60932.602499999935</v>
      </c>
      <c r="Q29" s="718">
        <v>1117143.9579032152</v>
      </c>
      <c r="R29" s="719">
        <v>1216436.7107297331</v>
      </c>
      <c r="S29" s="718">
        <v>1799376.4483627591</v>
      </c>
      <c r="T29" s="719">
        <v>30159.758980230639</v>
      </c>
    </row>
    <row r="30" spans="1:20">
      <c r="A30" s="716"/>
      <c r="B30" s="729" t="s">
        <v>49</v>
      </c>
      <c r="C30" s="718">
        <v>1849794.2799999963</v>
      </c>
      <c r="D30" s="719">
        <v>904575.6800000018</v>
      </c>
      <c r="E30" s="718">
        <v>864300.29499999899</v>
      </c>
      <c r="F30" s="719">
        <v>1492703.8399999982</v>
      </c>
      <c r="G30" s="718">
        <v>3363860.5852913721</v>
      </c>
      <c r="H30" s="719">
        <v>15472992.467348944</v>
      </c>
      <c r="I30" s="718">
        <v>11887790.223830765</v>
      </c>
      <c r="J30" s="719">
        <v>90508.48999999986</v>
      </c>
      <c r="K30" s="718">
        <v>29168.360000000048</v>
      </c>
      <c r="L30" s="719">
        <v>12660.230000000007</v>
      </c>
      <c r="M30" s="718">
        <v>49608.530000000064</v>
      </c>
      <c r="N30" s="719">
        <v>498392.4501159091</v>
      </c>
      <c r="O30" s="718">
        <v>2110422.9602767751</v>
      </c>
      <c r="P30" s="719">
        <v>61649.4566666666</v>
      </c>
      <c r="Q30" s="718">
        <v>1143727.3876009651</v>
      </c>
      <c r="R30" s="719">
        <v>1247695.7981907052</v>
      </c>
      <c r="S30" s="718">
        <v>1864007.3953321122</v>
      </c>
      <c r="T30" s="719">
        <v>31330.972217140665</v>
      </c>
    </row>
    <row r="31" spans="1:20">
      <c r="A31" s="716"/>
      <c r="B31" s="729" t="s">
        <v>21</v>
      </c>
      <c r="C31" s="718">
        <v>1865273.7299999963</v>
      </c>
      <c r="D31" s="719">
        <v>912209.23000000184</v>
      </c>
      <c r="E31" s="718">
        <v>874066.39999999898</v>
      </c>
      <c r="F31" s="719">
        <v>1509570.5499999982</v>
      </c>
      <c r="G31" s="718">
        <v>3414114.7361647254</v>
      </c>
      <c r="H31" s="719">
        <v>15803781.037176706</v>
      </c>
      <c r="I31" s="718">
        <v>12243698.897841021</v>
      </c>
      <c r="J31" s="719">
        <v>91533.189999999857</v>
      </c>
      <c r="K31" s="718">
        <v>29447.920000000049</v>
      </c>
      <c r="L31" s="719">
        <v>12753.400000000009</v>
      </c>
      <c r="M31" s="718">
        <v>50021.630000000063</v>
      </c>
      <c r="N31" s="719">
        <v>505037.41417852824</v>
      </c>
      <c r="O31" s="718">
        <v>2147806.9562470508</v>
      </c>
      <c r="P31" s="719">
        <v>62366.310833333264</v>
      </c>
      <c r="Q31" s="718">
        <v>1170310.8172987152</v>
      </c>
      <c r="R31" s="719">
        <v>1278954.8856516774</v>
      </c>
      <c r="S31" s="718">
        <v>1928638.3423014653</v>
      </c>
      <c r="T31" s="719">
        <v>32502.18545405069</v>
      </c>
    </row>
    <row r="32" spans="1:20">
      <c r="A32" s="716"/>
      <c r="B32" s="729" t="s">
        <v>50</v>
      </c>
      <c r="C32" s="718">
        <v>1880753.1799999962</v>
      </c>
      <c r="D32" s="719">
        <v>919842.78000000189</v>
      </c>
      <c r="E32" s="718">
        <v>883832.50499999896</v>
      </c>
      <c r="F32" s="719">
        <v>1526437.2599999981</v>
      </c>
      <c r="G32" s="718">
        <v>3464368.8870380782</v>
      </c>
      <c r="H32" s="719">
        <v>16134569.607004469</v>
      </c>
      <c r="I32" s="718">
        <v>12599607.571851276</v>
      </c>
      <c r="J32" s="719">
        <v>92557.889999999854</v>
      </c>
      <c r="K32" s="718">
        <v>29727.48000000005</v>
      </c>
      <c r="L32" s="719">
        <v>12846.570000000007</v>
      </c>
      <c r="M32" s="718">
        <v>50434.730000000069</v>
      </c>
      <c r="N32" s="719">
        <v>511682.37824114738</v>
      </c>
      <c r="O32" s="718">
        <v>2185190.952217327</v>
      </c>
      <c r="P32" s="719">
        <v>63083.164999999928</v>
      </c>
      <c r="Q32" s="718">
        <v>1196894.2469964654</v>
      </c>
      <c r="R32" s="719">
        <v>1310213.9731126495</v>
      </c>
      <c r="S32" s="718">
        <v>1993269.2892708185</v>
      </c>
      <c r="T32" s="719">
        <v>33673.398690960712</v>
      </c>
    </row>
    <row r="33" spans="1:22">
      <c r="A33" s="716"/>
      <c r="B33" s="729" t="s">
        <v>51</v>
      </c>
      <c r="C33" s="718">
        <v>1896232.6299999962</v>
      </c>
      <c r="D33" s="719">
        <v>927476.33000000194</v>
      </c>
      <c r="E33" s="718">
        <v>893598.60999999894</v>
      </c>
      <c r="F33" s="719">
        <v>1543303.9699999981</v>
      </c>
      <c r="G33" s="718">
        <v>3514623.0379114314</v>
      </c>
      <c r="H33" s="719">
        <v>16465358.176832231</v>
      </c>
      <c r="I33" s="718">
        <v>12955516.245861528</v>
      </c>
      <c r="J33" s="719">
        <v>93582.589999999851</v>
      </c>
      <c r="K33" s="718">
        <v>30007.040000000052</v>
      </c>
      <c r="L33" s="719">
        <v>12939.740000000009</v>
      </c>
      <c r="M33" s="718">
        <v>50847.830000000067</v>
      </c>
      <c r="N33" s="719">
        <v>518327.34230376652</v>
      </c>
      <c r="O33" s="718">
        <v>2222574.9481876027</v>
      </c>
      <c r="P33" s="719">
        <v>63800.019166666592</v>
      </c>
      <c r="Q33" s="718">
        <v>1223477.6766942155</v>
      </c>
      <c r="R33" s="719">
        <v>1341473.0605736217</v>
      </c>
      <c r="S33" s="718">
        <v>2057900.2362401716</v>
      </c>
      <c r="T33" s="719">
        <v>34844.611927870734</v>
      </c>
    </row>
    <row r="34" spans="1:22">
      <c r="A34" s="716"/>
      <c r="B34" s="729" t="s">
        <v>245</v>
      </c>
      <c r="C34" s="718">
        <v>1911712.0799999961</v>
      </c>
      <c r="D34" s="719">
        <v>935109.88000000198</v>
      </c>
      <c r="E34" s="718">
        <v>903364.71499999892</v>
      </c>
      <c r="F34" s="719">
        <v>1560170.6799999981</v>
      </c>
      <c r="G34" s="718">
        <v>3564877.1887847842</v>
      </c>
      <c r="H34" s="719">
        <v>16796146.74665999</v>
      </c>
      <c r="I34" s="718">
        <v>13311424.919871783</v>
      </c>
      <c r="J34" s="719">
        <v>94607.289999999848</v>
      </c>
      <c r="K34" s="718">
        <v>30286.600000000053</v>
      </c>
      <c r="L34" s="719">
        <v>13032.910000000007</v>
      </c>
      <c r="M34" s="718">
        <v>51260.930000000066</v>
      </c>
      <c r="N34" s="719">
        <v>524972.30636638566</v>
      </c>
      <c r="O34" s="718">
        <v>2259958.9441578784</v>
      </c>
      <c r="P34" s="719">
        <v>64516.873333333257</v>
      </c>
      <c r="Q34" s="718">
        <v>1250061.1063919656</v>
      </c>
      <c r="R34" s="719">
        <v>1372732.148034594</v>
      </c>
      <c r="S34" s="718">
        <v>2122531.1832095245</v>
      </c>
      <c r="T34" s="719">
        <v>36015.825164780756</v>
      </c>
    </row>
    <row r="35" spans="1:22">
      <c r="A35" s="716"/>
      <c r="B35" s="729" t="s">
        <v>53</v>
      </c>
      <c r="C35" s="718">
        <v>1927191.5299999961</v>
      </c>
      <c r="D35" s="719">
        <v>942743.43000000203</v>
      </c>
      <c r="E35" s="718">
        <v>913130.8199999989</v>
      </c>
      <c r="F35" s="719">
        <v>1577037.389999998</v>
      </c>
      <c r="G35" s="718">
        <v>3615131.3396581374</v>
      </c>
      <c r="H35" s="719">
        <v>17126935.316487752</v>
      </c>
      <c r="I35" s="718">
        <v>13667333.593882037</v>
      </c>
      <c r="J35" s="719">
        <v>95631.989999999845</v>
      </c>
      <c r="K35" s="718">
        <v>30566.160000000054</v>
      </c>
      <c r="L35" s="719">
        <v>13126.080000000009</v>
      </c>
      <c r="M35" s="718">
        <v>51674.030000000072</v>
      </c>
      <c r="N35" s="719">
        <v>531617.2704290048</v>
      </c>
      <c r="O35" s="718">
        <v>2297342.9401281546</v>
      </c>
      <c r="P35" s="719">
        <v>65233.727499999921</v>
      </c>
      <c r="Q35" s="718">
        <v>1276644.5360897158</v>
      </c>
      <c r="R35" s="719">
        <v>1403991.2354955662</v>
      </c>
      <c r="S35" s="718">
        <v>2187162.1301788776</v>
      </c>
      <c r="T35" s="719">
        <v>37187.038401690777</v>
      </c>
    </row>
    <row r="36" spans="1:22">
      <c r="A36" s="716"/>
      <c r="B36" s="729" t="s">
        <v>54</v>
      </c>
      <c r="C36" s="718">
        <v>1942670.979999996</v>
      </c>
      <c r="D36" s="719">
        <v>950376.98000000208</v>
      </c>
      <c r="E36" s="718">
        <v>922896.92499999888</v>
      </c>
      <c r="F36" s="719">
        <v>1593904.099999998</v>
      </c>
      <c r="G36" s="718">
        <v>3665385.4905314902</v>
      </c>
      <c r="H36" s="719">
        <v>17457723.886315513</v>
      </c>
      <c r="I36" s="718">
        <v>14023242.267892292</v>
      </c>
      <c r="J36" s="719">
        <v>96656.689999999842</v>
      </c>
      <c r="K36" s="718">
        <v>30845.720000000056</v>
      </c>
      <c r="L36" s="719">
        <v>13219.250000000007</v>
      </c>
      <c r="M36" s="718">
        <v>52087.13000000007</v>
      </c>
      <c r="N36" s="719">
        <v>538262.23449162394</v>
      </c>
      <c r="O36" s="718">
        <v>2334726.9360984303</v>
      </c>
      <c r="P36" s="719">
        <v>65950.581666666592</v>
      </c>
      <c r="Q36" s="718">
        <v>1303227.9657874659</v>
      </c>
      <c r="R36" s="719">
        <v>1435250.3229565383</v>
      </c>
      <c r="S36" s="718">
        <v>2251793.0771482307</v>
      </c>
      <c r="T36" s="719">
        <v>38358.251638600799</v>
      </c>
    </row>
    <row r="37" spans="1:22">
      <c r="A37" s="716"/>
      <c r="B37" s="729" t="s">
        <v>55</v>
      </c>
      <c r="C37" s="718">
        <v>1958150.429999996</v>
      </c>
      <c r="D37" s="719">
        <v>958010.53000000212</v>
      </c>
      <c r="E37" s="718">
        <v>932663.02999999886</v>
      </c>
      <c r="F37" s="719">
        <v>1610770.809999998</v>
      </c>
      <c r="G37" s="718">
        <v>3715639.6414048434</v>
      </c>
      <c r="H37" s="719">
        <v>17788512.456143271</v>
      </c>
      <c r="I37" s="718">
        <v>14379150.941902546</v>
      </c>
      <c r="J37" s="719">
        <v>97681.389999999839</v>
      </c>
      <c r="K37" s="718">
        <v>31125.280000000057</v>
      </c>
      <c r="L37" s="719">
        <v>13312.420000000009</v>
      </c>
      <c r="M37" s="718">
        <v>52500.230000000069</v>
      </c>
      <c r="N37" s="719">
        <v>544907.19855424308</v>
      </c>
      <c r="O37" s="718">
        <v>2372110.932068706</v>
      </c>
      <c r="P37" s="719">
        <v>66667.435833333264</v>
      </c>
      <c r="Q37" s="718">
        <v>1329811.3954852161</v>
      </c>
      <c r="R37" s="719">
        <v>1466509.4104175107</v>
      </c>
      <c r="S37" s="718">
        <v>2316424.0241175839</v>
      </c>
      <c r="T37" s="719">
        <v>39529.464875510821</v>
      </c>
    </row>
    <row r="38" spans="1:22">
      <c r="A38" s="721"/>
      <c r="B38" s="722" t="str">
        <f>+B22</f>
        <v>December 2018</v>
      </c>
      <c r="C38" s="723">
        <v>1973629.8799999959</v>
      </c>
      <c r="D38" s="724">
        <v>965644.08000000217</v>
      </c>
      <c r="E38" s="723">
        <v>942429.13499999885</v>
      </c>
      <c r="F38" s="724">
        <v>1627637.5199999979</v>
      </c>
      <c r="G38" s="723">
        <v>3765893.7922781967</v>
      </c>
      <c r="H38" s="724">
        <v>18119301.025971033</v>
      </c>
      <c r="I38" s="723">
        <v>14735059.615912803</v>
      </c>
      <c r="J38" s="724">
        <v>98706.089999999836</v>
      </c>
      <c r="K38" s="723">
        <v>31404.840000000058</v>
      </c>
      <c r="L38" s="724">
        <v>13405.590000000007</v>
      </c>
      <c r="M38" s="723">
        <v>52913.330000000075</v>
      </c>
      <c r="N38" s="724">
        <v>551552.16261686222</v>
      </c>
      <c r="O38" s="723">
        <v>2409494.9280389822</v>
      </c>
      <c r="P38" s="724">
        <v>67384.289999999935</v>
      </c>
      <c r="Q38" s="723">
        <v>1356394.825182966</v>
      </c>
      <c r="R38" s="724">
        <v>1497768.4978784828</v>
      </c>
      <c r="S38" s="723">
        <v>2381054.971086937</v>
      </c>
      <c r="T38" s="724">
        <v>40700.678112420843</v>
      </c>
    </row>
    <row r="39" spans="1:22">
      <c r="A39" s="725"/>
      <c r="B39" s="726" t="s">
        <v>29</v>
      </c>
      <c r="C39" s="993">
        <f t="shared" ref="C39:S39" si="2">AVERAGE(C26:C38)</f>
        <v>1880753.1799999962</v>
      </c>
      <c r="D39" s="993">
        <f t="shared" si="2"/>
        <v>919842.78000000177</v>
      </c>
      <c r="E39" s="993">
        <f t="shared" si="2"/>
        <v>883832.50499999896</v>
      </c>
      <c r="F39" s="993">
        <f t="shared" si="2"/>
        <v>1526437.2599999981</v>
      </c>
      <c r="G39" s="993">
        <f t="shared" si="2"/>
        <v>3464368.8870380786</v>
      </c>
      <c r="H39" s="993">
        <f t="shared" si="2"/>
        <v>16134569.607004467</v>
      </c>
      <c r="I39" s="993">
        <f t="shared" si="2"/>
        <v>12599607.571851274</v>
      </c>
      <c r="J39" s="993">
        <f t="shared" si="2"/>
        <v>92557.889999999868</v>
      </c>
      <c r="K39" s="993">
        <f t="shared" si="2"/>
        <v>29727.480000000043</v>
      </c>
      <c r="L39" s="993">
        <f t="shared" si="2"/>
        <v>12846.570000000007</v>
      </c>
      <c r="M39" s="993">
        <f t="shared" si="2"/>
        <v>50434.730000000069</v>
      </c>
      <c r="N39" s="993">
        <f t="shared" si="2"/>
        <v>511682.37824114732</v>
      </c>
      <c r="O39" s="993">
        <f t="shared" si="2"/>
        <v>2185190.9522173265</v>
      </c>
      <c r="P39" s="993">
        <f t="shared" si="2"/>
        <v>63083.164999999928</v>
      </c>
      <c r="Q39" s="993">
        <f t="shared" si="2"/>
        <v>1196894.2469964656</v>
      </c>
      <c r="R39" s="993">
        <f t="shared" si="2"/>
        <v>1310213.9731126497</v>
      </c>
      <c r="S39" s="993">
        <f t="shared" si="2"/>
        <v>1993269.2892708182</v>
      </c>
      <c r="T39" s="993">
        <f t="shared" ref="T39" si="3">AVERAGE(T26:T38)</f>
        <v>33673.398690960712</v>
      </c>
    </row>
    <row r="40" spans="1:22" s="706" customFormat="1">
      <c r="A40" s="730"/>
      <c r="B40" s="731"/>
      <c r="C40" s="728"/>
      <c r="D40" s="728"/>
      <c r="E40" s="728"/>
      <c r="F40" s="728"/>
      <c r="G40" s="728"/>
      <c r="H40" s="728"/>
      <c r="I40" s="728"/>
      <c r="J40" s="728"/>
      <c r="K40" s="728"/>
      <c r="L40" s="728"/>
      <c r="M40" s="728"/>
      <c r="N40" s="728"/>
      <c r="O40" s="728"/>
      <c r="P40" s="728"/>
      <c r="Q40" s="728"/>
      <c r="R40" s="728"/>
      <c r="S40" s="728"/>
      <c r="T40" s="728"/>
      <c r="V40" s="702"/>
    </row>
    <row r="41" spans="1:22">
      <c r="A41" s="725"/>
      <c r="B41" s="732"/>
      <c r="C41" s="733"/>
      <c r="D41" s="733"/>
      <c r="E41" s="733"/>
      <c r="F41" s="733"/>
      <c r="G41" s="733"/>
      <c r="H41" s="733"/>
      <c r="I41" s="733"/>
      <c r="J41" s="733"/>
      <c r="K41" s="733"/>
      <c r="L41" s="733"/>
      <c r="M41" s="733"/>
      <c r="N41" s="733"/>
      <c r="O41" s="733"/>
      <c r="P41" s="733"/>
      <c r="Q41" s="733"/>
      <c r="R41" s="733"/>
      <c r="S41" s="733"/>
      <c r="T41" s="733"/>
    </row>
    <row r="42" spans="1:22">
      <c r="A42" s="725"/>
      <c r="B42" s="734"/>
      <c r="C42" s="735"/>
      <c r="D42" s="735"/>
      <c r="E42" s="735"/>
      <c r="F42" s="735"/>
      <c r="G42" s="735"/>
      <c r="H42" s="735"/>
      <c r="I42" s="735"/>
      <c r="J42" s="735"/>
      <c r="K42" s="735"/>
      <c r="L42" s="735"/>
      <c r="M42" s="735"/>
      <c r="N42" s="735"/>
      <c r="O42" s="735"/>
      <c r="P42" s="735"/>
      <c r="Q42" s="735"/>
      <c r="R42" s="735"/>
      <c r="S42" s="735"/>
      <c r="T42" s="735"/>
    </row>
    <row r="43" spans="1:22">
      <c r="A43" s="712" t="s">
        <v>733</v>
      </c>
      <c r="B43" s="736" t="str">
        <f>B10</f>
        <v>December 2017</v>
      </c>
      <c r="C43" s="714">
        <f t="shared" ref="C43:S55" si="4">+C10-C26</f>
        <v>5284942.2200000035</v>
      </c>
      <c r="D43" s="715">
        <f t="shared" si="4"/>
        <v>2613856.0299999984</v>
      </c>
      <c r="E43" s="714">
        <f t="shared" si="4"/>
        <v>3637059.3750000009</v>
      </c>
      <c r="F43" s="715">
        <f t="shared" si="4"/>
        <v>6281444.2700000014</v>
      </c>
      <c r="G43" s="714">
        <f t="shared" si="4"/>
        <v>26963423.82820205</v>
      </c>
      <c r="H43" s="715">
        <f t="shared" si="4"/>
        <v>192520935.67036203</v>
      </c>
      <c r="I43" s="714">
        <f t="shared" si="4"/>
        <v>208971554.6213623</v>
      </c>
      <c r="J43" s="715">
        <f t="shared" si="4"/>
        <v>381792.12000000017</v>
      </c>
      <c r="K43" s="714">
        <f t="shared" si="4"/>
        <v>99686.209999999977</v>
      </c>
      <c r="L43" s="715">
        <f t="shared" si="4"/>
        <v>35199.079999999973</v>
      </c>
      <c r="M43" s="714">
        <f t="shared" si="4"/>
        <v>182872.30999999994</v>
      </c>
      <c r="N43" s="715">
        <f t="shared" si="4"/>
        <v>3799774.5061345678</v>
      </c>
      <c r="O43" s="714">
        <f t="shared" si="4"/>
        <v>20240077.115519326</v>
      </c>
      <c r="P43" s="715">
        <f t="shared" si="4"/>
        <v>250898.96000000005</v>
      </c>
      <c r="Q43" s="714">
        <f t="shared" si="4"/>
        <v>14272985.241190035</v>
      </c>
      <c r="R43" s="715">
        <f t="shared" si="4"/>
        <v>17588612.541653186</v>
      </c>
      <c r="S43" s="714">
        <f t="shared" si="4"/>
        <v>35510676.3125453</v>
      </c>
      <c r="T43" s="715">
        <f t="shared" ref="T43" si="5">+T10-T26</f>
        <v>645956.40073049988</v>
      </c>
    </row>
    <row r="44" spans="1:22">
      <c r="A44" s="716" t="s">
        <v>734</v>
      </c>
      <c r="B44" s="737" t="str">
        <f>B11</f>
        <v>January 2018</v>
      </c>
      <c r="C44" s="718">
        <f t="shared" si="4"/>
        <v>5269462.7700000033</v>
      </c>
      <c r="D44" s="719">
        <f t="shared" si="4"/>
        <v>2606222.4799999981</v>
      </c>
      <c r="E44" s="718">
        <f t="shared" si="4"/>
        <v>3627293.2700000009</v>
      </c>
      <c r="F44" s="719">
        <f t="shared" si="4"/>
        <v>6264577.5600000015</v>
      </c>
      <c r="G44" s="718">
        <f t="shared" si="4"/>
        <v>26913169.677328698</v>
      </c>
      <c r="H44" s="719">
        <f t="shared" si="4"/>
        <v>192190147.10053426</v>
      </c>
      <c r="I44" s="718">
        <f t="shared" si="4"/>
        <v>208615645.94735205</v>
      </c>
      <c r="J44" s="719">
        <f t="shared" si="4"/>
        <v>380767.42000000016</v>
      </c>
      <c r="K44" s="718">
        <f t="shared" si="4"/>
        <v>99406.649999999965</v>
      </c>
      <c r="L44" s="719">
        <f t="shared" si="4"/>
        <v>35105.909999999967</v>
      </c>
      <c r="M44" s="718">
        <f t="shared" si="4"/>
        <v>182459.20999999993</v>
      </c>
      <c r="N44" s="719">
        <f t="shared" si="4"/>
        <v>3793129.5420719488</v>
      </c>
      <c r="O44" s="718">
        <f t="shared" si="4"/>
        <v>20202693.119549051</v>
      </c>
      <c r="P44" s="719">
        <f t="shared" si="4"/>
        <v>250182.10583333339</v>
      </c>
      <c r="Q44" s="718">
        <f t="shared" si="4"/>
        <v>14246401.811492285</v>
      </c>
      <c r="R44" s="719">
        <f t="shared" si="4"/>
        <v>17557353.454192214</v>
      </c>
      <c r="S44" s="718">
        <f t="shared" si="4"/>
        <v>35446045.365575947</v>
      </c>
      <c r="T44" s="719">
        <f t="shared" ref="T44" si="6">+T11-T27</f>
        <v>644785.18749358994</v>
      </c>
    </row>
    <row r="45" spans="1:22">
      <c r="A45" s="716"/>
      <c r="B45" s="729" t="s">
        <v>47</v>
      </c>
      <c r="C45" s="718">
        <f t="shared" si="4"/>
        <v>5253983.320000004</v>
      </c>
      <c r="D45" s="719">
        <f t="shared" si="4"/>
        <v>2598588.9299999978</v>
      </c>
      <c r="E45" s="718">
        <f t="shared" si="4"/>
        <v>3617527.165000001</v>
      </c>
      <c r="F45" s="719">
        <f t="shared" si="4"/>
        <v>6247710.8500000015</v>
      </c>
      <c r="G45" s="718">
        <f t="shared" si="4"/>
        <v>26862915.526455343</v>
      </c>
      <c r="H45" s="719">
        <f t="shared" si="4"/>
        <v>191859358.5307065</v>
      </c>
      <c r="I45" s="718">
        <f t="shared" si="4"/>
        <v>208259737.27334177</v>
      </c>
      <c r="J45" s="719">
        <f t="shared" si="4"/>
        <v>379742.7200000002</v>
      </c>
      <c r="K45" s="718">
        <f t="shared" si="4"/>
        <v>99127.089999999967</v>
      </c>
      <c r="L45" s="719">
        <f t="shared" si="4"/>
        <v>35012.739999999969</v>
      </c>
      <c r="M45" s="718">
        <f t="shared" si="4"/>
        <v>182046.10999999993</v>
      </c>
      <c r="N45" s="719">
        <f t="shared" si="4"/>
        <v>3786484.5780093297</v>
      </c>
      <c r="O45" s="718">
        <f t="shared" si="4"/>
        <v>20165309.123578772</v>
      </c>
      <c r="P45" s="719">
        <f t="shared" si="4"/>
        <v>249465.25166666674</v>
      </c>
      <c r="Q45" s="718">
        <f t="shared" si="4"/>
        <v>14219818.381794535</v>
      </c>
      <c r="R45" s="719">
        <f t="shared" si="4"/>
        <v>17526094.366731241</v>
      </c>
      <c r="S45" s="718">
        <f t="shared" si="4"/>
        <v>35381414.418606594</v>
      </c>
      <c r="T45" s="719">
        <f t="shared" ref="T45" si="7">+T12-T28</f>
        <v>643613.97425667988</v>
      </c>
    </row>
    <row r="46" spans="1:22">
      <c r="A46" s="716"/>
      <c r="B46" s="729" t="s">
        <v>246</v>
      </c>
      <c r="C46" s="718">
        <f t="shared" si="4"/>
        <v>5238503.8700000038</v>
      </c>
      <c r="D46" s="719">
        <f t="shared" si="4"/>
        <v>2590955.379999998</v>
      </c>
      <c r="E46" s="718">
        <f t="shared" si="4"/>
        <v>3607761.060000001</v>
      </c>
      <c r="F46" s="719">
        <f t="shared" si="4"/>
        <v>6230844.1400000015</v>
      </c>
      <c r="G46" s="718">
        <f t="shared" si="4"/>
        <v>26812661.375581991</v>
      </c>
      <c r="H46" s="719">
        <f>+H13-H29</f>
        <v>191528569.96087873</v>
      </c>
      <c r="I46" s="718">
        <f t="shared" si="4"/>
        <v>207903828.59933153</v>
      </c>
      <c r="J46" s="719">
        <f t="shared" si="4"/>
        <v>378718.02000000019</v>
      </c>
      <c r="K46" s="718">
        <f t="shared" si="4"/>
        <v>98847.52999999997</v>
      </c>
      <c r="L46" s="719">
        <f t="shared" si="4"/>
        <v>34919.569999999963</v>
      </c>
      <c r="M46" s="718">
        <f t="shared" si="4"/>
        <v>181633.00999999995</v>
      </c>
      <c r="N46" s="719">
        <f t="shared" si="4"/>
        <v>3779839.6139467107</v>
      </c>
      <c r="O46" s="718">
        <f t="shared" si="4"/>
        <v>20127925.127608497</v>
      </c>
      <c r="P46" s="719">
        <f t="shared" si="4"/>
        <v>248748.39750000008</v>
      </c>
      <c r="Q46" s="718">
        <f t="shared" si="4"/>
        <v>14193234.952096784</v>
      </c>
      <c r="R46" s="719">
        <f t="shared" si="4"/>
        <v>17494835.279270269</v>
      </c>
      <c r="S46" s="718">
        <f t="shared" si="4"/>
        <v>35316783.471637242</v>
      </c>
      <c r="T46" s="719">
        <f t="shared" ref="T46" si="8">+T13-T29</f>
        <v>642442.76101976982</v>
      </c>
    </row>
    <row r="47" spans="1:22">
      <c r="A47" s="716"/>
      <c r="B47" s="729" t="s">
        <v>49</v>
      </c>
      <c r="C47" s="718">
        <f t="shared" si="4"/>
        <v>5223024.4200000037</v>
      </c>
      <c r="D47" s="719">
        <f t="shared" si="4"/>
        <v>2583321.8299999982</v>
      </c>
      <c r="E47" s="718">
        <f t="shared" si="4"/>
        <v>3597994.955000001</v>
      </c>
      <c r="F47" s="719">
        <f t="shared" si="4"/>
        <v>6213977.4300000016</v>
      </c>
      <c r="G47" s="718">
        <f t="shared" si="4"/>
        <v>26762407.224708639</v>
      </c>
      <c r="H47" s="719">
        <f t="shared" si="4"/>
        <v>191197781.39105099</v>
      </c>
      <c r="I47" s="718">
        <f t="shared" si="4"/>
        <v>207547919.92532128</v>
      </c>
      <c r="J47" s="719">
        <f t="shared" si="4"/>
        <v>377693.32000000018</v>
      </c>
      <c r="K47" s="718">
        <f t="shared" si="4"/>
        <v>98567.969999999972</v>
      </c>
      <c r="L47" s="719">
        <f t="shared" si="4"/>
        <v>34826.399999999965</v>
      </c>
      <c r="M47" s="718">
        <f t="shared" si="4"/>
        <v>181219.90999999995</v>
      </c>
      <c r="N47" s="719">
        <f t="shared" si="4"/>
        <v>3773194.6498840917</v>
      </c>
      <c r="O47" s="718">
        <f t="shared" si="4"/>
        <v>20090541.131638221</v>
      </c>
      <c r="P47" s="719">
        <f t="shared" si="4"/>
        <v>248031.54333333339</v>
      </c>
      <c r="Q47" s="718">
        <f t="shared" si="4"/>
        <v>14166651.522399034</v>
      </c>
      <c r="R47" s="719">
        <f t="shared" si="4"/>
        <v>17463576.191809297</v>
      </c>
      <c r="S47" s="718">
        <f t="shared" si="4"/>
        <v>35252152.524667889</v>
      </c>
      <c r="T47" s="719">
        <f t="shared" ref="T47" si="9">+T14-T30</f>
        <v>641271.54778285976</v>
      </c>
    </row>
    <row r="48" spans="1:22">
      <c r="A48" s="716"/>
      <c r="B48" s="729" t="s">
        <v>21</v>
      </c>
      <c r="C48" s="718">
        <f t="shared" si="4"/>
        <v>5207544.9700000044</v>
      </c>
      <c r="D48" s="719">
        <f t="shared" si="4"/>
        <v>2575688.2799999979</v>
      </c>
      <c r="E48" s="718">
        <f t="shared" si="4"/>
        <v>3588228.850000001</v>
      </c>
      <c r="F48" s="719">
        <f t="shared" si="4"/>
        <v>6197110.7200000016</v>
      </c>
      <c r="G48" s="718">
        <f t="shared" si="4"/>
        <v>26712153.073835284</v>
      </c>
      <c r="H48" s="719">
        <f t="shared" si="4"/>
        <v>190866992.82122323</v>
      </c>
      <c r="I48" s="718">
        <f t="shared" si="4"/>
        <v>207192011.251311</v>
      </c>
      <c r="J48" s="719">
        <f t="shared" si="4"/>
        <v>376668.62000000023</v>
      </c>
      <c r="K48" s="718">
        <f t="shared" si="4"/>
        <v>98288.409999999974</v>
      </c>
      <c r="L48" s="719">
        <f t="shared" si="4"/>
        <v>34733.229999999967</v>
      </c>
      <c r="M48" s="718">
        <f t="shared" si="4"/>
        <v>180806.80999999994</v>
      </c>
      <c r="N48" s="719">
        <f t="shared" si="4"/>
        <v>3766549.6858214722</v>
      </c>
      <c r="O48" s="718">
        <f t="shared" si="4"/>
        <v>20053157.135667946</v>
      </c>
      <c r="P48" s="719">
        <f t="shared" si="4"/>
        <v>247314.68916666674</v>
      </c>
      <c r="Q48" s="718">
        <f t="shared" si="4"/>
        <v>14140068.092701284</v>
      </c>
      <c r="R48" s="719">
        <f t="shared" si="4"/>
        <v>17432317.104348324</v>
      </c>
      <c r="S48" s="718">
        <f t="shared" si="4"/>
        <v>35187521.577698536</v>
      </c>
      <c r="T48" s="719">
        <f t="shared" ref="T48" si="10">+T15-T31</f>
        <v>640100.33454594982</v>
      </c>
    </row>
    <row r="49" spans="1:20">
      <c r="A49" s="716"/>
      <c r="B49" s="729" t="s">
        <v>50</v>
      </c>
      <c r="C49" s="718">
        <f t="shared" si="4"/>
        <v>5192065.5200000042</v>
      </c>
      <c r="D49" s="719">
        <f t="shared" si="4"/>
        <v>2568054.7299999977</v>
      </c>
      <c r="E49" s="718">
        <f t="shared" si="4"/>
        <v>3578462.745000001</v>
      </c>
      <c r="F49" s="719">
        <f t="shared" si="4"/>
        <v>6180244.0100000016</v>
      </c>
      <c r="G49" s="718">
        <f t="shared" si="4"/>
        <v>26661898.922961932</v>
      </c>
      <c r="H49" s="719">
        <f t="shared" si="4"/>
        <v>190536204.25139546</v>
      </c>
      <c r="I49" s="718">
        <f t="shared" si="4"/>
        <v>206836102.57730076</v>
      </c>
      <c r="J49" s="719">
        <f t="shared" si="4"/>
        <v>375643.92000000022</v>
      </c>
      <c r="K49" s="718">
        <f t="shared" si="4"/>
        <v>98008.849999999962</v>
      </c>
      <c r="L49" s="719">
        <f t="shared" si="4"/>
        <v>34640.059999999969</v>
      </c>
      <c r="M49" s="718">
        <f t="shared" si="4"/>
        <v>180393.70999999993</v>
      </c>
      <c r="N49" s="719">
        <f t="shared" si="4"/>
        <v>3759904.7217588532</v>
      </c>
      <c r="O49" s="718">
        <f t="shared" si="4"/>
        <v>20015773.139697671</v>
      </c>
      <c r="P49" s="719">
        <f t="shared" si="4"/>
        <v>246597.83500000008</v>
      </c>
      <c r="Q49" s="718">
        <f t="shared" si="4"/>
        <v>14113484.663003534</v>
      </c>
      <c r="R49" s="719">
        <f t="shared" si="4"/>
        <v>17401058.016887352</v>
      </c>
      <c r="S49" s="718">
        <f t="shared" si="4"/>
        <v>35122890.630729184</v>
      </c>
      <c r="T49" s="719">
        <f t="shared" ref="T49" si="11">+T16-T32</f>
        <v>638929.12130903977</v>
      </c>
    </row>
    <row r="50" spans="1:20">
      <c r="A50" s="716"/>
      <c r="B50" s="729" t="s">
        <v>51</v>
      </c>
      <c r="C50" s="718">
        <f t="shared" si="4"/>
        <v>5176586.070000004</v>
      </c>
      <c r="D50" s="719">
        <f t="shared" si="4"/>
        <v>2560421.1799999978</v>
      </c>
      <c r="E50" s="718">
        <f t="shared" si="4"/>
        <v>3568696.6400000011</v>
      </c>
      <c r="F50" s="719">
        <f t="shared" si="4"/>
        <v>6163377.3000000017</v>
      </c>
      <c r="G50" s="718">
        <f t="shared" si="4"/>
        <v>26611644.77208858</v>
      </c>
      <c r="H50" s="719">
        <f t="shared" si="4"/>
        <v>190205415.6815677</v>
      </c>
      <c r="I50" s="718">
        <f t="shared" si="4"/>
        <v>206480193.90329051</v>
      </c>
      <c r="J50" s="719">
        <f t="shared" si="4"/>
        <v>374619.2200000002</v>
      </c>
      <c r="K50" s="718">
        <f t="shared" si="4"/>
        <v>97729.289999999964</v>
      </c>
      <c r="L50" s="719">
        <f t="shared" si="4"/>
        <v>34546.88999999997</v>
      </c>
      <c r="M50" s="718">
        <f t="shared" si="4"/>
        <v>179980.60999999993</v>
      </c>
      <c r="N50" s="719">
        <f t="shared" si="4"/>
        <v>3753259.7576962342</v>
      </c>
      <c r="O50" s="718">
        <f t="shared" si="4"/>
        <v>19978389.143727392</v>
      </c>
      <c r="P50" s="719">
        <f t="shared" si="4"/>
        <v>245880.98083333339</v>
      </c>
      <c r="Q50" s="718">
        <f t="shared" si="4"/>
        <v>14086901.233305784</v>
      </c>
      <c r="R50" s="719">
        <f t="shared" si="4"/>
        <v>17369798.92942638</v>
      </c>
      <c r="S50" s="718">
        <f t="shared" si="4"/>
        <v>35058259.683759831</v>
      </c>
      <c r="T50" s="719">
        <f t="shared" ref="T50" si="12">+T17-T33</f>
        <v>637757.90807212971</v>
      </c>
    </row>
    <row r="51" spans="1:20">
      <c r="A51" s="716"/>
      <c r="B51" s="729" t="s">
        <v>245</v>
      </c>
      <c r="C51" s="718">
        <f t="shared" si="4"/>
        <v>5161106.6200000038</v>
      </c>
      <c r="D51" s="719">
        <f t="shared" si="4"/>
        <v>2552787.629999998</v>
      </c>
      <c r="E51" s="718">
        <f t="shared" si="4"/>
        <v>3558930.5350000011</v>
      </c>
      <c r="F51" s="719">
        <f t="shared" si="4"/>
        <v>6146510.5900000017</v>
      </c>
      <c r="G51" s="718">
        <f t="shared" si="4"/>
        <v>26561390.621215224</v>
      </c>
      <c r="H51" s="719">
        <f t="shared" si="4"/>
        <v>189874627.11173993</v>
      </c>
      <c r="I51" s="718">
        <f t="shared" si="4"/>
        <v>206124285.22928026</v>
      </c>
      <c r="J51" s="719">
        <f t="shared" si="4"/>
        <v>373594.52000000019</v>
      </c>
      <c r="K51" s="718">
        <f t="shared" si="4"/>
        <v>97449.729999999967</v>
      </c>
      <c r="L51" s="719">
        <f t="shared" si="4"/>
        <v>34453.719999999972</v>
      </c>
      <c r="M51" s="718">
        <f t="shared" si="4"/>
        <v>179567.50999999995</v>
      </c>
      <c r="N51" s="719">
        <f t="shared" si="4"/>
        <v>3746614.7936336147</v>
      </c>
      <c r="O51" s="718">
        <f t="shared" si="4"/>
        <v>19941005.147757117</v>
      </c>
      <c r="P51" s="719">
        <f t="shared" si="4"/>
        <v>245164.12666666674</v>
      </c>
      <c r="Q51" s="718">
        <f t="shared" si="4"/>
        <v>14060317.803608034</v>
      </c>
      <c r="R51" s="719">
        <f t="shared" si="4"/>
        <v>17338539.841965407</v>
      </c>
      <c r="S51" s="718">
        <f t="shared" si="4"/>
        <v>34993628.736790478</v>
      </c>
      <c r="T51" s="719">
        <f t="shared" ref="T51" si="13">+T18-T34</f>
        <v>636586.69483521977</v>
      </c>
    </row>
    <row r="52" spans="1:20">
      <c r="A52" s="716"/>
      <c r="B52" s="729" t="s">
        <v>53</v>
      </c>
      <c r="C52" s="718">
        <f t="shared" si="4"/>
        <v>5145627.1700000037</v>
      </c>
      <c r="D52" s="719">
        <f t="shared" si="4"/>
        <v>2545154.0799999977</v>
      </c>
      <c r="E52" s="718">
        <f t="shared" si="4"/>
        <v>3549164.4300000011</v>
      </c>
      <c r="F52" s="719">
        <f t="shared" si="4"/>
        <v>6129643.8800000018</v>
      </c>
      <c r="G52" s="718">
        <f t="shared" si="4"/>
        <v>26511136.470341872</v>
      </c>
      <c r="H52" s="719">
        <f t="shared" si="4"/>
        <v>189543838.54191217</v>
      </c>
      <c r="I52" s="718">
        <f t="shared" si="4"/>
        <v>205768376.55527002</v>
      </c>
      <c r="J52" s="719">
        <f t="shared" si="4"/>
        <v>372569.82000000018</v>
      </c>
      <c r="K52" s="718">
        <f t="shared" si="4"/>
        <v>97170.169999999955</v>
      </c>
      <c r="L52" s="719">
        <f t="shared" si="4"/>
        <v>34360.549999999967</v>
      </c>
      <c r="M52" s="718">
        <f t="shared" si="4"/>
        <v>179154.40999999992</v>
      </c>
      <c r="N52" s="719">
        <f t="shared" si="4"/>
        <v>3739969.8295709956</v>
      </c>
      <c r="O52" s="718">
        <f t="shared" si="4"/>
        <v>19903621.151786841</v>
      </c>
      <c r="P52" s="719">
        <f t="shared" si="4"/>
        <v>244447.27250000008</v>
      </c>
      <c r="Q52" s="718">
        <f t="shared" si="4"/>
        <v>14033734.373910284</v>
      </c>
      <c r="R52" s="719">
        <f t="shared" si="4"/>
        <v>17307280.754504435</v>
      </c>
      <c r="S52" s="718">
        <f t="shared" si="4"/>
        <v>34928997.789821126</v>
      </c>
      <c r="T52" s="719">
        <f t="shared" ref="T52" si="14">+T19-T35</f>
        <v>635415.48159830971</v>
      </c>
    </row>
    <row r="53" spans="1:20">
      <c r="A53" s="716"/>
      <c r="B53" s="729" t="s">
        <v>54</v>
      </c>
      <c r="C53" s="718">
        <f t="shared" si="4"/>
        <v>5130147.7200000044</v>
      </c>
      <c r="D53" s="719">
        <f t="shared" si="4"/>
        <v>2537520.5299999975</v>
      </c>
      <c r="E53" s="718">
        <f>+E20-E36</f>
        <v>3539398.3250000011</v>
      </c>
      <c r="F53" s="719">
        <f t="shared" si="4"/>
        <v>6112777.1700000018</v>
      </c>
      <c r="G53" s="718">
        <f t="shared" si="4"/>
        <v>26460882.319468521</v>
      </c>
      <c r="H53" s="719">
        <f t="shared" si="4"/>
        <v>189213049.9720844</v>
      </c>
      <c r="I53" s="718">
        <f t="shared" si="4"/>
        <v>205412467.88125974</v>
      </c>
      <c r="J53" s="719">
        <f t="shared" si="4"/>
        <v>371545.12000000023</v>
      </c>
      <c r="K53" s="718">
        <f t="shared" si="4"/>
        <v>96890.609999999957</v>
      </c>
      <c r="L53" s="719">
        <f t="shared" si="4"/>
        <v>34267.379999999968</v>
      </c>
      <c r="M53" s="718">
        <f t="shared" si="4"/>
        <v>178741.30999999994</v>
      </c>
      <c r="N53" s="719">
        <f t="shared" si="4"/>
        <v>3733324.8655083766</v>
      </c>
      <c r="O53" s="718">
        <f t="shared" si="4"/>
        <v>19866237.155816566</v>
      </c>
      <c r="P53" s="719">
        <f t="shared" si="4"/>
        <v>243730.41833333339</v>
      </c>
      <c r="Q53" s="718">
        <f t="shared" si="4"/>
        <v>14007150.944212534</v>
      </c>
      <c r="R53" s="719">
        <f t="shared" si="4"/>
        <v>17276021.667043462</v>
      </c>
      <c r="S53" s="718">
        <f t="shared" si="4"/>
        <v>34864366.842851773</v>
      </c>
      <c r="T53" s="719">
        <f t="shared" ref="T53" si="15">+T20-T36</f>
        <v>634244.26836139965</v>
      </c>
    </row>
    <row r="54" spans="1:20">
      <c r="A54" s="716"/>
      <c r="B54" s="729" t="s">
        <v>55</v>
      </c>
      <c r="C54" s="718">
        <f t="shared" si="4"/>
        <v>5114668.2700000042</v>
      </c>
      <c r="D54" s="719">
        <f t="shared" si="4"/>
        <v>2529886.9799999977</v>
      </c>
      <c r="E54" s="718">
        <f t="shared" si="4"/>
        <v>3529632.2200000011</v>
      </c>
      <c r="F54" s="719">
        <f t="shared" si="4"/>
        <v>6095910.4600000018</v>
      </c>
      <c r="G54" s="718">
        <f t="shared" si="4"/>
        <v>26410628.168595165</v>
      </c>
      <c r="H54" s="719">
        <f t="shared" si="4"/>
        <v>188882261.40225667</v>
      </c>
      <c r="I54" s="718">
        <f t="shared" si="4"/>
        <v>205056559.20724949</v>
      </c>
      <c r="J54" s="719">
        <f t="shared" si="4"/>
        <v>370520.42000000022</v>
      </c>
      <c r="K54" s="718">
        <f t="shared" si="4"/>
        <v>96611.049999999959</v>
      </c>
      <c r="L54" s="719">
        <f t="shared" si="4"/>
        <v>34174.209999999963</v>
      </c>
      <c r="M54" s="718">
        <f t="shared" si="4"/>
        <v>178328.20999999993</v>
      </c>
      <c r="N54" s="719">
        <f t="shared" si="4"/>
        <v>3726679.9014457576</v>
      </c>
      <c r="O54" s="718">
        <f t="shared" si="4"/>
        <v>19828853.159846291</v>
      </c>
      <c r="P54" s="719">
        <f t="shared" si="4"/>
        <v>243013.56416666674</v>
      </c>
      <c r="Q54" s="718">
        <f t="shared" si="4"/>
        <v>13980567.514514783</v>
      </c>
      <c r="R54" s="719">
        <f t="shared" si="4"/>
        <v>17244762.57958249</v>
      </c>
      <c r="S54" s="718">
        <f t="shared" si="4"/>
        <v>34799735.89588242</v>
      </c>
      <c r="T54" s="719">
        <f t="shared" ref="T54" si="16">+T21-T37</f>
        <v>633073.05512448971</v>
      </c>
    </row>
    <row r="55" spans="1:20">
      <c r="A55" s="721"/>
      <c r="B55" s="738" t="str">
        <f>+B38</f>
        <v>December 2018</v>
      </c>
      <c r="C55" s="723">
        <f t="shared" si="4"/>
        <v>5099188.820000004</v>
      </c>
      <c r="D55" s="724">
        <f t="shared" si="4"/>
        <v>2522253.4299999978</v>
      </c>
      <c r="E55" s="723">
        <f t="shared" si="4"/>
        <v>3519866.1150000012</v>
      </c>
      <c r="F55" s="724">
        <f t="shared" si="4"/>
        <v>6079043.7500000019</v>
      </c>
      <c r="G55" s="723">
        <f t="shared" si="4"/>
        <v>26360374.017721813</v>
      </c>
      <c r="H55" s="724">
        <f t="shared" si="4"/>
        <v>188551472.8324289</v>
      </c>
      <c r="I55" s="723">
        <f t="shared" si="4"/>
        <v>204700650.53323925</v>
      </c>
      <c r="J55" s="724">
        <f t="shared" si="4"/>
        <v>369495.7200000002</v>
      </c>
      <c r="K55" s="723">
        <f t="shared" si="4"/>
        <v>96331.489999999962</v>
      </c>
      <c r="L55" s="724">
        <f t="shared" si="4"/>
        <v>34081.039999999964</v>
      </c>
      <c r="M55" s="723">
        <f t="shared" si="4"/>
        <v>177915.10999999993</v>
      </c>
      <c r="N55" s="724">
        <f t="shared" si="4"/>
        <v>3720034.9373831386</v>
      </c>
      <c r="O55" s="723">
        <f t="shared" si="4"/>
        <v>19791469.163876016</v>
      </c>
      <c r="P55" s="724">
        <f t="shared" si="4"/>
        <v>242296.71000000008</v>
      </c>
      <c r="Q55" s="723">
        <f t="shared" si="4"/>
        <v>13953984.084817033</v>
      </c>
      <c r="R55" s="724">
        <f t="shared" si="4"/>
        <v>17213503.492121518</v>
      </c>
      <c r="S55" s="723">
        <f t="shared" si="4"/>
        <v>34735104.948913068</v>
      </c>
      <c r="T55" s="724">
        <f t="shared" ref="T55" si="17">+T22-T38</f>
        <v>631901.84188757965</v>
      </c>
    </row>
    <row r="56" spans="1:20">
      <c r="A56" s="725"/>
      <c r="B56" s="726" t="s">
        <v>29</v>
      </c>
      <c r="C56" s="993">
        <f>AVERAGE(C43:C55)</f>
        <v>5192065.5200000042</v>
      </c>
      <c r="D56" s="993">
        <f>AVERAGE(D43:D55)</f>
        <v>2568054.7299999977</v>
      </c>
      <c r="E56" s="727">
        <f t="shared" ref="E56:S56" si="18">AVERAGE(E43:E55)</f>
        <v>3578462.7450000006</v>
      </c>
      <c r="F56" s="993">
        <f t="shared" si="18"/>
        <v>6180244.0100000016</v>
      </c>
      <c r="G56" s="993">
        <f t="shared" si="18"/>
        <v>26661898.922961928</v>
      </c>
      <c r="H56" s="993">
        <f t="shared" si="18"/>
        <v>190536204.25139543</v>
      </c>
      <c r="I56" s="993">
        <f t="shared" si="18"/>
        <v>206836102.57730082</v>
      </c>
      <c r="J56" s="993">
        <f t="shared" si="18"/>
        <v>375643.92000000022</v>
      </c>
      <c r="K56" s="993">
        <f t="shared" si="18"/>
        <v>98008.849999999962</v>
      </c>
      <c r="L56" s="993">
        <f t="shared" si="18"/>
        <v>34640.059999999969</v>
      </c>
      <c r="M56" s="993">
        <f t="shared" si="18"/>
        <v>180393.70999999996</v>
      </c>
      <c r="N56" s="993">
        <f t="shared" si="18"/>
        <v>3759904.7217588532</v>
      </c>
      <c r="O56" s="993">
        <f t="shared" si="18"/>
        <v>20015773.139697667</v>
      </c>
      <c r="P56" s="993">
        <f t="shared" si="18"/>
        <v>246597.83500000008</v>
      </c>
      <c r="Q56" s="993">
        <f t="shared" si="18"/>
        <v>14113484.663003532</v>
      </c>
      <c r="R56" s="993">
        <f t="shared" si="18"/>
        <v>17401058.016887352</v>
      </c>
      <c r="S56" s="993">
        <f t="shared" si="18"/>
        <v>35122890.630729184</v>
      </c>
      <c r="T56" s="993">
        <f t="shared" ref="T56" si="19">AVERAGE(T43:T55)</f>
        <v>638929.12130903965</v>
      </c>
    </row>
    <row r="57" spans="1:20">
      <c r="A57" s="725"/>
      <c r="B57" s="732"/>
      <c r="C57" s="739"/>
      <c r="D57" s="739"/>
      <c r="E57" s="739"/>
      <c r="F57" s="739"/>
      <c r="G57" s="739"/>
      <c r="H57" s="739"/>
      <c r="I57" s="739"/>
      <c r="J57" s="739"/>
      <c r="K57" s="739"/>
      <c r="L57" s="739"/>
      <c r="M57" s="739"/>
      <c r="N57" s="739"/>
      <c r="O57" s="739"/>
      <c r="P57" s="739"/>
      <c r="Q57" s="739"/>
      <c r="R57" s="739"/>
      <c r="S57" s="739"/>
      <c r="T57" s="739"/>
    </row>
    <row r="58" spans="1:20">
      <c r="A58" s="725"/>
      <c r="B58" s="740"/>
      <c r="C58" s="741"/>
      <c r="D58" s="741"/>
      <c r="E58" s="741"/>
      <c r="F58" s="741"/>
      <c r="G58" s="741"/>
      <c r="H58" s="741"/>
      <c r="I58" s="741"/>
      <c r="J58" s="741"/>
      <c r="K58" s="741"/>
      <c r="L58" s="741"/>
      <c r="M58" s="741"/>
      <c r="N58" s="741"/>
      <c r="O58" s="741"/>
      <c r="P58" s="741"/>
      <c r="Q58" s="741"/>
      <c r="R58" s="741"/>
      <c r="S58" s="741"/>
      <c r="T58" s="741"/>
    </row>
    <row r="59" spans="1:20">
      <c r="A59" s="742" t="s">
        <v>735</v>
      </c>
      <c r="B59" s="743" t="s">
        <v>672</v>
      </c>
      <c r="C59" s="744">
        <v>185753.40000000002</v>
      </c>
      <c r="D59" s="745">
        <v>91602.60000000002</v>
      </c>
      <c r="E59" s="744">
        <v>117193.25999999997</v>
      </c>
      <c r="F59" s="745">
        <v>202400.51999999993</v>
      </c>
      <c r="G59" s="744">
        <v>603049.81048023666</v>
      </c>
      <c r="H59" s="745">
        <v>3969462.8379331431</v>
      </c>
      <c r="I59" s="744">
        <v>4270904.0881230468</v>
      </c>
      <c r="J59" s="745">
        <v>12296.400000000003</v>
      </c>
      <c r="K59" s="744">
        <v>3354.72</v>
      </c>
      <c r="L59" s="745">
        <v>1118.04</v>
      </c>
      <c r="M59" s="744">
        <v>4957.2000000000007</v>
      </c>
      <c r="N59" s="745">
        <v>79739.568751429935</v>
      </c>
      <c r="O59" s="744">
        <v>448607.95164331066</v>
      </c>
      <c r="P59" s="745">
        <v>8602.2500000000018</v>
      </c>
      <c r="Q59" s="744">
        <v>319001.15637300047</v>
      </c>
      <c r="R59" s="745">
        <v>375109.04953166709</v>
      </c>
      <c r="S59" s="744">
        <v>775571.36363223742</v>
      </c>
      <c r="T59" s="745">
        <v>14054.558842920285</v>
      </c>
    </row>
    <row r="60" spans="1:20">
      <c r="A60" s="721" t="s">
        <v>736</v>
      </c>
      <c r="B60" s="746" t="s">
        <v>737</v>
      </c>
      <c r="C60" s="723">
        <v>0</v>
      </c>
      <c r="D60" s="724">
        <v>0</v>
      </c>
      <c r="E60" s="723">
        <v>0</v>
      </c>
      <c r="F60" s="724">
        <v>0</v>
      </c>
      <c r="G60" s="723">
        <v>0</v>
      </c>
      <c r="H60" s="724">
        <v>0</v>
      </c>
      <c r="I60" s="723">
        <v>0</v>
      </c>
      <c r="J60" s="724">
        <v>0</v>
      </c>
      <c r="K60" s="723">
        <v>0</v>
      </c>
      <c r="L60" s="724">
        <v>0</v>
      </c>
      <c r="M60" s="723">
        <v>0</v>
      </c>
      <c r="N60" s="724">
        <v>0</v>
      </c>
      <c r="O60" s="723">
        <v>0</v>
      </c>
      <c r="P60" s="724">
        <v>0</v>
      </c>
      <c r="Q60" s="723">
        <v>0</v>
      </c>
      <c r="R60" s="724">
        <v>0</v>
      </c>
      <c r="S60" s="723">
        <v>0</v>
      </c>
      <c r="T60" s="724">
        <v>0</v>
      </c>
    </row>
    <row r="61" spans="1:20">
      <c r="A61" s="701"/>
      <c r="B61" s="726" t="s">
        <v>738</v>
      </c>
      <c r="C61" s="993">
        <f>+C59+C60</f>
        <v>185753.40000000002</v>
      </c>
      <c r="D61" s="993">
        <f>+D59+D60</f>
        <v>91602.60000000002</v>
      </c>
      <c r="E61" s="993">
        <f t="shared" ref="E61:S61" si="20">+E59+E60</f>
        <v>117193.25999999997</v>
      </c>
      <c r="F61" s="993">
        <f t="shared" si="20"/>
        <v>202400.51999999993</v>
      </c>
      <c r="G61" s="993">
        <f t="shared" si="20"/>
        <v>603049.81048023666</v>
      </c>
      <c r="H61" s="993">
        <f t="shared" si="20"/>
        <v>3969462.8379331431</v>
      </c>
      <c r="I61" s="993">
        <f t="shared" si="20"/>
        <v>4270904.0881230468</v>
      </c>
      <c r="J61" s="993">
        <f t="shared" si="20"/>
        <v>12296.400000000003</v>
      </c>
      <c r="K61" s="993">
        <f t="shared" si="20"/>
        <v>3354.72</v>
      </c>
      <c r="L61" s="993">
        <f t="shared" si="20"/>
        <v>1118.04</v>
      </c>
      <c r="M61" s="993">
        <f t="shared" si="20"/>
        <v>4957.2000000000007</v>
      </c>
      <c r="N61" s="993">
        <f t="shared" si="20"/>
        <v>79739.568751429935</v>
      </c>
      <c r="O61" s="993">
        <f t="shared" si="20"/>
        <v>448607.95164331066</v>
      </c>
      <c r="P61" s="993">
        <f t="shared" si="20"/>
        <v>8602.2500000000018</v>
      </c>
      <c r="Q61" s="993">
        <f t="shared" si="20"/>
        <v>319001.15637300047</v>
      </c>
      <c r="R61" s="993">
        <f t="shared" si="20"/>
        <v>375109.04953166709</v>
      </c>
      <c r="S61" s="993">
        <f t="shared" si="20"/>
        <v>775571.36363223742</v>
      </c>
      <c r="T61" s="993">
        <f t="shared" ref="T61" si="21">+T59+T60</f>
        <v>14054.558842920285</v>
      </c>
    </row>
    <row r="62" spans="1:20">
      <c r="E62" s="747"/>
      <c r="G62" s="706"/>
    </row>
    <row r="63" spans="1:20" s="748" customFormat="1"/>
    <row r="64" spans="1:20" s="748" customFormat="1">
      <c r="E64" s="938"/>
    </row>
    <row r="65" s="748" customFormat="1"/>
  </sheetData>
  <phoneticPr fontId="13" type="noConversion"/>
  <dataValidations disablePrompts="1" count="1">
    <dataValidation type="list" allowBlank="1" showInputMessage="1" showErrorMessage="1" sqref="C9:T9">
      <formula1>$U$6:$U$7</formula1>
    </dataValidation>
  </dataValidations>
  <pageMargins left="0.75" right="0.75" top="1" bottom="1" header="0.5" footer="0.5"/>
  <pageSetup paperSize="17" scale="6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D38"/>
  <sheetViews>
    <sheetView showGridLines="0" zoomScale="90" workbookViewId="0">
      <selection activeCell="A2" sqref="A2"/>
    </sheetView>
  </sheetViews>
  <sheetFormatPr defaultRowHeight="12.75"/>
  <cols>
    <col min="1" max="2" width="8.21875" style="422" customWidth="1"/>
    <col min="3" max="3" width="7.77734375" style="422" customWidth="1"/>
    <col min="4" max="4" width="87.44140625" style="422" customWidth="1"/>
    <col min="5" max="16384" width="8.88671875" style="422"/>
  </cols>
  <sheetData>
    <row r="1" spans="1:4">
      <c r="A1" s="749" t="s">
        <v>739</v>
      </c>
      <c r="B1" s="749"/>
    </row>
    <row r="3" spans="1:4" ht="25.5">
      <c r="A3" s="750" t="s">
        <v>726</v>
      </c>
      <c r="B3" s="750" t="s">
        <v>740</v>
      </c>
      <c r="C3" s="750" t="s">
        <v>741</v>
      </c>
      <c r="D3" s="751" t="s">
        <v>742</v>
      </c>
    </row>
    <row r="4" spans="1:4">
      <c r="A4" s="913">
        <v>1366</v>
      </c>
      <c r="B4" s="912">
        <v>2277</v>
      </c>
      <c r="C4" s="911"/>
      <c r="D4" s="753" t="s">
        <v>743</v>
      </c>
    </row>
    <row r="5" spans="1:4">
      <c r="A5" s="913">
        <v>1366</v>
      </c>
      <c r="B5" s="913">
        <v>2280</v>
      </c>
      <c r="C5" s="911"/>
      <c r="D5" s="753" t="s">
        <v>744</v>
      </c>
    </row>
    <row r="6" spans="1:4">
      <c r="A6" s="913">
        <v>1366</v>
      </c>
      <c r="B6" s="913">
        <v>2281</v>
      </c>
      <c r="C6" s="911"/>
      <c r="D6" s="753" t="s">
        <v>745</v>
      </c>
    </row>
    <row r="7" spans="1:4" ht="25.5">
      <c r="A7" s="913">
        <v>1456</v>
      </c>
      <c r="B7" s="913">
        <v>2491</v>
      </c>
      <c r="C7" s="911"/>
      <c r="D7" s="753" t="s">
        <v>746</v>
      </c>
    </row>
    <row r="8" spans="1:4">
      <c r="A8" s="913">
        <v>1457</v>
      </c>
      <c r="B8" s="913">
        <v>2303</v>
      </c>
      <c r="C8" s="911"/>
      <c r="D8" s="753" t="s">
        <v>747</v>
      </c>
    </row>
    <row r="9" spans="1:4">
      <c r="A9" s="913">
        <v>1457</v>
      </c>
      <c r="B9" s="913">
        <v>2550</v>
      </c>
      <c r="C9" s="911"/>
      <c r="D9" s="753" t="s">
        <v>748</v>
      </c>
    </row>
    <row r="10" spans="1:4">
      <c r="A10" s="913">
        <v>1457</v>
      </c>
      <c r="B10" s="913">
        <v>2552</v>
      </c>
      <c r="C10" s="911"/>
      <c r="D10" s="753" t="s">
        <v>749</v>
      </c>
    </row>
    <row r="11" spans="1:4">
      <c r="A11" s="913">
        <v>1457</v>
      </c>
      <c r="B11" s="913">
        <v>2565</v>
      </c>
      <c r="C11" s="911"/>
      <c r="D11" s="753" t="s">
        <v>750</v>
      </c>
    </row>
    <row r="12" spans="1:4">
      <c r="A12" s="913">
        <v>1953</v>
      </c>
      <c r="B12" s="913">
        <v>3834</v>
      </c>
      <c r="C12" s="911"/>
      <c r="D12" s="753" t="s">
        <v>751</v>
      </c>
    </row>
    <row r="13" spans="1:4" ht="25.5">
      <c r="A13" s="913">
        <v>279</v>
      </c>
      <c r="B13" s="913">
        <v>1098</v>
      </c>
      <c r="C13" s="911"/>
      <c r="D13" s="753" t="s">
        <v>752</v>
      </c>
    </row>
    <row r="14" spans="1:4">
      <c r="A14" s="913">
        <v>286</v>
      </c>
      <c r="B14" s="913">
        <v>1104</v>
      </c>
      <c r="C14" s="911"/>
      <c r="D14" s="753" t="s">
        <v>753</v>
      </c>
    </row>
    <row r="15" spans="1:4">
      <c r="A15" s="913">
        <v>286</v>
      </c>
      <c r="B15" s="913">
        <v>1105</v>
      </c>
      <c r="C15" s="911"/>
      <c r="D15" s="753" t="s">
        <v>754</v>
      </c>
    </row>
    <row r="16" spans="1:4">
      <c r="A16" s="913">
        <v>286</v>
      </c>
      <c r="B16" s="913">
        <v>2641</v>
      </c>
      <c r="C16" s="911"/>
      <c r="D16" s="753" t="s">
        <v>755</v>
      </c>
    </row>
    <row r="17" spans="1:4">
      <c r="A17" s="913">
        <v>1024</v>
      </c>
      <c r="B17" s="913">
        <v>1675</v>
      </c>
      <c r="C17" s="911"/>
      <c r="D17" s="753" t="s">
        <v>756</v>
      </c>
    </row>
    <row r="18" spans="1:4">
      <c r="A18" s="913">
        <v>1024</v>
      </c>
      <c r="B18" s="913">
        <v>1676</v>
      </c>
      <c r="C18" s="911"/>
      <c r="D18" s="753" t="s">
        <v>757</v>
      </c>
    </row>
    <row r="19" spans="1:4">
      <c r="A19" s="914">
        <v>1024</v>
      </c>
      <c r="B19" s="914">
        <v>1677</v>
      </c>
      <c r="C19" s="911"/>
      <c r="D19" s="755" t="s">
        <v>758</v>
      </c>
    </row>
    <row r="20" spans="1:4">
      <c r="A20" s="914">
        <v>1024</v>
      </c>
      <c r="B20" s="914">
        <v>2647</v>
      </c>
      <c r="C20" s="911"/>
      <c r="D20" s="756" t="s">
        <v>759</v>
      </c>
    </row>
    <row r="21" spans="1:4">
      <c r="A21" s="914">
        <v>1458</v>
      </c>
      <c r="B21" s="914">
        <v>2299</v>
      </c>
      <c r="C21" s="911"/>
      <c r="D21" s="756" t="s">
        <v>760</v>
      </c>
    </row>
    <row r="22" spans="1:4">
      <c r="A22" s="914">
        <v>1458</v>
      </c>
      <c r="B22" s="914">
        <v>2553</v>
      </c>
      <c r="C22" s="911"/>
      <c r="D22" s="756" t="s">
        <v>761</v>
      </c>
    </row>
    <row r="23" spans="1:4">
      <c r="A23" s="914">
        <v>1458</v>
      </c>
      <c r="B23" s="914">
        <v>2554</v>
      </c>
      <c r="C23" s="911"/>
      <c r="D23" s="756" t="s">
        <v>762</v>
      </c>
    </row>
    <row r="24" spans="1:4">
      <c r="A24" s="914">
        <v>1458</v>
      </c>
      <c r="B24" s="914">
        <v>2566</v>
      </c>
      <c r="C24" s="911"/>
      <c r="D24" s="756" t="s">
        <v>763</v>
      </c>
    </row>
    <row r="25" spans="1:4">
      <c r="A25" s="914">
        <v>2765</v>
      </c>
      <c r="B25" s="914">
        <v>4792</v>
      </c>
      <c r="C25" s="911"/>
      <c r="D25" s="756" t="s">
        <v>764</v>
      </c>
    </row>
    <row r="26" spans="1:4" ht="25.5">
      <c r="A26" s="914">
        <v>2109</v>
      </c>
      <c r="B26" s="914">
        <v>2825</v>
      </c>
      <c r="C26" s="911"/>
      <c r="D26" s="756" t="s">
        <v>765</v>
      </c>
    </row>
    <row r="27" spans="1:4" ht="25.5">
      <c r="A27" s="914">
        <v>2119</v>
      </c>
      <c r="B27" s="914">
        <v>2851</v>
      </c>
      <c r="C27" s="911"/>
      <c r="D27" s="756" t="s">
        <v>766</v>
      </c>
    </row>
    <row r="28" spans="1:4">
      <c r="A28" s="914">
        <v>2178</v>
      </c>
      <c r="B28" s="914">
        <v>4021</v>
      </c>
      <c r="C28" s="911"/>
      <c r="D28" s="756" t="s">
        <v>767</v>
      </c>
    </row>
    <row r="29" spans="1:4">
      <c r="A29" s="915" t="s">
        <v>230</v>
      </c>
      <c r="B29" s="914">
        <v>2114</v>
      </c>
      <c r="C29" s="911"/>
      <c r="D29" s="756" t="s">
        <v>768</v>
      </c>
    </row>
    <row r="30" spans="1:4">
      <c r="A30" s="915" t="s">
        <v>239</v>
      </c>
      <c r="B30" s="914">
        <v>5439</v>
      </c>
      <c r="C30" s="911"/>
      <c r="D30" s="756" t="s">
        <v>769</v>
      </c>
    </row>
    <row r="31" spans="1:4">
      <c r="A31" s="915" t="s">
        <v>231</v>
      </c>
      <c r="B31" s="914">
        <v>6158</v>
      </c>
      <c r="C31" s="911"/>
      <c r="D31" s="756" t="s">
        <v>770</v>
      </c>
    </row>
    <row r="32" spans="1:4">
      <c r="A32" s="915" t="s">
        <v>231</v>
      </c>
      <c r="B32" s="914">
        <v>6159</v>
      </c>
      <c r="C32" s="911"/>
      <c r="D32" s="756" t="s">
        <v>770</v>
      </c>
    </row>
    <row r="33" spans="1:4">
      <c r="A33" s="915" t="s">
        <v>232</v>
      </c>
      <c r="B33" s="914">
        <v>6169</v>
      </c>
      <c r="C33" s="911"/>
      <c r="D33" s="756" t="s">
        <v>771</v>
      </c>
    </row>
    <row r="34" spans="1:4">
      <c r="A34" s="915" t="s">
        <v>232</v>
      </c>
      <c r="B34" s="914">
        <v>6170</v>
      </c>
      <c r="C34" s="911"/>
      <c r="D34" s="756" t="s">
        <v>772</v>
      </c>
    </row>
    <row r="35" spans="1:4">
      <c r="A35" s="915" t="s">
        <v>232</v>
      </c>
      <c r="B35" s="914">
        <v>6171</v>
      </c>
      <c r="C35" s="911"/>
      <c r="D35" s="756" t="s">
        <v>773</v>
      </c>
    </row>
    <row r="36" spans="1:4" ht="25.5">
      <c r="A36" s="915">
        <v>3775</v>
      </c>
      <c r="B36" s="914">
        <v>7065</v>
      </c>
      <c r="C36" s="911"/>
      <c r="D36" s="756" t="s">
        <v>774</v>
      </c>
    </row>
    <row r="37" spans="1:4">
      <c r="A37" s="915">
        <v>3775</v>
      </c>
      <c r="B37" s="914">
        <v>7070</v>
      </c>
      <c r="C37" s="911"/>
      <c r="D37" s="756" t="s">
        <v>775</v>
      </c>
    </row>
    <row r="38" spans="1:4" ht="25.5">
      <c r="A38" s="915">
        <v>9523</v>
      </c>
      <c r="B38" s="914">
        <v>20921</v>
      </c>
      <c r="C38" s="911"/>
      <c r="D38" s="756" t="s">
        <v>1064</v>
      </c>
    </row>
  </sheetData>
  <phoneticPr fontId="13" type="noConversion"/>
  <pageMargins left="0.75" right="0.75" top="1" bottom="1" header="0.5" footer="0.5"/>
  <pageSetup scale="6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BQ300"/>
  <sheetViews>
    <sheetView showGridLines="0" topLeftCell="P64" zoomScale="80" zoomScaleNormal="80" workbookViewId="0">
      <selection activeCell="Q94" sqref="Q94"/>
    </sheetView>
  </sheetViews>
  <sheetFormatPr defaultRowHeight="12.75"/>
  <cols>
    <col min="1" max="1" width="6" style="757" customWidth="1"/>
    <col min="2" max="2" width="1.44140625" style="757" customWidth="1"/>
    <col min="3" max="3" width="40.77734375" style="757" customWidth="1"/>
    <col min="4" max="4" width="10.21875" style="757" customWidth="1"/>
    <col min="5" max="5" width="14.33203125" style="757" customWidth="1"/>
    <col min="6" max="6" width="12.88671875" style="757" customWidth="1"/>
    <col min="7" max="7" width="13.5546875" style="757" customWidth="1"/>
    <col min="8" max="8" width="14.44140625" style="757" customWidth="1"/>
    <col min="9" max="9" width="12.33203125" style="757" customWidth="1"/>
    <col min="10" max="10" width="18.21875" style="757" customWidth="1"/>
    <col min="11" max="11" width="12.21875" style="757" customWidth="1"/>
    <col min="12" max="12" width="13.33203125" style="757" customWidth="1"/>
    <col min="13" max="13" width="12.6640625" style="757" customWidth="1"/>
    <col min="14" max="14" width="12.77734375" style="757" customWidth="1"/>
    <col min="15" max="15" width="12.44140625" style="757" customWidth="1"/>
    <col min="16" max="16" width="16" style="757" customWidth="1"/>
    <col min="17" max="17" width="12.33203125" style="757" customWidth="1"/>
    <col min="18" max="18" width="13.88671875" style="757" customWidth="1"/>
    <col min="19" max="19" width="1.88671875" style="757" customWidth="1"/>
    <col min="20" max="20" width="13" style="757" customWidth="1"/>
    <col min="21" max="16384" width="8.88671875" style="757"/>
  </cols>
  <sheetData>
    <row r="1" spans="1:69">
      <c r="R1" s="758"/>
    </row>
    <row r="2" spans="1:69">
      <c r="R2" s="758"/>
    </row>
    <row r="4" spans="1:69" ht="15">
      <c r="R4" s="857" t="s">
        <v>776</v>
      </c>
    </row>
    <row r="5" spans="1:69" ht="15">
      <c r="C5" s="626" t="s">
        <v>619</v>
      </c>
      <c r="D5" s="626"/>
      <c r="E5" s="626"/>
      <c r="F5" s="626"/>
      <c r="G5" s="626"/>
      <c r="H5" s="626"/>
      <c r="I5" s="626"/>
      <c r="J5" s="627" t="s">
        <v>262</v>
      </c>
      <c r="K5" s="627"/>
      <c r="L5" s="626"/>
      <c r="M5" s="626"/>
      <c r="N5" s="626"/>
      <c r="O5" s="628"/>
      <c r="Q5" s="629"/>
      <c r="R5" s="878" t="s">
        <v>1107</v>
      </c>
      <c r="S5" s="759"/>
      <c r="T5" s="760"/>
      <c r="U5" s="760"/>
      <c r="V5" s="759"/>
      <c r="W5" s="761"/>
      <c r="X5" s="761"/>
      <c r="Y5" s="761"/>
      <c r="Z5" s="761"/>
      <c r="AA5" s="761"/>
      <c r="AB5" s="761"/>
      <c r="AC5" s="761"/>
      <c r="AD5" s="761"/>
      <c r="AE5" s="761"/>
      <c r="AF5" s="761"/>
      <c r="AG5" s="761"/>
      <c r="AH5" s="761"/>
      <c r="AI5" s="761"/>
      <c r="AJ5" s="761"/>
      <c r="AK5" s="761"/>
      <c r="AL5" s="761"/>
      <c r="AM5" s="761"/>
      <c r="AN5" s="761"/>
      <c r="AO5" s="761"/>
      <c r="AP5" s="761"/>
      <c r="AQ5" s="761"/>
      <c r="AR5" s="761"/>
      <c r="AS5" s="761"/>
      <c r="AT5" s="761"/>
      <c r="AU5" s="761"/>
      <c r="AV5" s="761"/>
      <c r="AW5" s="761"/>
      <c r="AX5" s="761"/>
      <c r="AY5" s="761"/>
      <c r="AZ5" s="761"/>
      <c r="BA5" s="761"/>
      <c r="BB5" s="761"/>
      <c r="BC5" s="761"/>
      <c r="BD5" s="761"/>
      <c r="BE5" s="761"/>
      <c r="BF5" s="761"/>
      <c r="BG5" s="761"/>
      <c r="BH5" s="761"/>
      <c r="BI5" s="761"/>
      <c r="BJ5" s="761"/>
      <c r="BK5" s="761"/>
      <c r="BL5" s="761"/>
      <c r="BM5" s="761"/>
      <c r="BN5" s="761"/>
      <c r="BO5" s="761"/>
      <c r="BP5" s="761"/>
      <c r="BQ5" s="761"/>
    </row>
    <row r="6" spans="1:69" ht="15">
      <c r="C6" s="626"/>
      <c r="D6" s="626"/>
      <c r="E6" s="626"/>
      <c r="F6" s="626"/>
      <c r="G6" s="626"/>
      <c r="H6" s="631" t="s">
        <v>5</v>
      </c>
      <c r="I6" s="631"/>
      <c r="J6" s="631" t="s">
        <v>620</v>
      </c>
      <c r="K6" s="631"/>
      <c r="L6" s="631"/>
      <c r="M6" s="631"/>
      <c r="N6" s="631"/>
      <c r="O6" s="628"/>
      <c r="Q6" s="629"/>
      <c r="R6" s="628"/>
      <c r="S6" s="759"/>
      <c r="T6" s="762"/>
      <c r="U6" s="760"/>
      <c r="V6" s="759"/>
      <c r="W6" s="761"/>
      <c r="X6" s="761"/>
      <c r="Y6" s="761"/>
      <c r="Z6" s="761"/>
      <c r="AA6" s="761"/>
      <c r="AB6" s="761"/>
      <c r="AC6" s="761"/>
      <c r="AD6" s="761"/>
      <c r="AE6" s="761"/>
      <c r="AF6" s="761"/>
      <c r="AG6" s="761"/>
      <c r="AH6" s="761"/>
      <c r="AI6" s="761"/>
      <c r="AJ6" s="761"/>
      <c r="AK6" s="761"/>
      <c r="AL6" s="761"/>
      <c r="AM6" s="761"/>
      <c r="AN6" s="761"/>
      <c r="AO6" s="761"/>
      <c r="AP6" s="761"/>
      <c r="AQ6" s="761"/>
      <c r="AR6" s="761"/>
      <c r="AS6" s="761"/>
      <c r="AT6" s="761"/>
      <c r="AU6" s="761"/>
      <c r="AV6" s="761"/>
      <c r="AW6" s="761"/>
      <c r="AX6" s="761"/>
      <c r="AY6" s="761"/>
      <c r="AZ6" s="761"/>
      <c r="BA6" s="761"/>
      <c r="BB6" s="761"/>
      <c r="BC6" s="761"/>
      <c r="BD6" s="761"/>
      <c r="BE6" s="761"/>
      <c r="BF6" s="761"/>
      <c r="BG6" s="761"/>
      <c r="BH6" s="761"/>
      <c r="BI6" s="761"/>
      <c r="BJ6" s="761"/>
      <c r="BK6" s="761"/>
      <c r="BL6" s="761"/>
      <c r="BM6" s="761"/>
      <c r="BN6" s="761"/>
      <c r="BO6" s="761"/>
      <c r="BP6" s="761"/>
      <c r="BQ6" s="761"/>
    </row>
    <row r="7" spans="1:69" ht="15">
      <c r="C7" s="629"/>
      <c r="D7" s="629"/>
      <c r="E7" s="629"/>
      <c r="F7" s="629"/>
      <c r="G7" s="629"/>
      <c r="H7" s="629"/>
      <c r="I7" s="629"/>
      <c r="J7" s="629"/>
      <c r="K7" s="629"/>
      <c r="L7" s="629"/>
      <c r="M7" s="629"/>
      <c r="N7" s="629"/>
      <c r="O7" s="629"/>
      <c r="Q7" s="629"/>
      <c r="R7" s="629" t="s">
        <v>621</v>
      </c>
      <c r="S7" s="759"/>
      <c r="T7" s="760"/>
      <c r="U7" s="760"/>
      <c r="V7" s="759"/>
      <c r="W7" s="761"/>
      <c r="X7" s="761"/>
      <c r="Y7" s="761"/>
      <c r="Z7" s="761"/>
      <c r="AA7" s="761"/>
      <c r="AB7" s="761"/>
      <c r="AC7" s="761"/>
      <c r="AD7" s="761"/>
      <c r="AE7" s="761"/>
      <c r="AF7" s="761"/>
      <c r="AG7" s="761"/>
      <c r="AH7" s="761"/>
      <c r="AI7" s="761"/>
      <c r="AJ7" s="761"/>
      <c r="AK7" s="761"/>
      <c r="AL7" s="761"/>
      <c r="AM7" s="761"/>
      <c r="AN7" s="761"/>
      <c r="AO7" s="761"/>
      <c r="AP7" s="761"/>
      <c r="AQ7" s="761"/>
      <c r="AR7" s="761"/>
      <c r="AS7" s="761"/>
      <c r="AT7" s="761"/>
      <c r="AU7" s="761"/>
      <c r="AV7" s="761"/>
      <c r="AW7" s="761"/>
      <c r="AX7" s="761"/>
      <c r="AY7" s="761"/>
      <c r="AZ7" s="761"/>
      <c r="BA7" s="761"/>
      <c r="BB7" s="761"/>
      <c r="BC7" s="761"/>
      <c r="BD7" s="761"/>
      <c r="BE7" s="761"/>
      <c r="BF7" s="761"/>
      <c r="BG7" s="761"/>
      <c r="BH7" s="761"/>
      <c r="BI7" s="761"/>
      <c r="BJ7" s="761"/>
      <c r="BK7" s="761"/>
      <c r="BL7" s="761"/>
      <c r="BM7" s="761"/>
      <c r="BN7" s="761"/>
      <c r="BO7" s="761"/>
      <c r="BP7" s="761"/>
      <c r="BQ7" s="761"/>
    </row>
    <row r="8" spans="1:69" ht="15">
      <c r="A8" s="763"/>
      <c r="C8" s="629"/>
      <c r="D8" s="629"/>
      <c r="E8" s="629"/>
      <c r="F8" s="629"/>
      <c r="G8" s="629"/>
      <c r="H8" s="629"/>
      <c r="I8" s="634"/>
      <c r="J8" s="635" t="s">
        <v>265</v>
      </c>
      <c r="K8" s="635"/>
      <c r="L8" s="629"/>
      <c r="M8" s="629"/>
      <c r="N8" s="629"/>
      <c r="O8" s="629"/>
      <c r="P8" s="629"/>
      <c r="Q8" s="629"/>
      <c r="R8" s="629"/>
      <c r="S8" s="759"/>
      <c r="T8" s="760"/>
      <c r="U8" s="760"/>
      <c r="V8" s="759"/>
      <c r="W8" s="761"/>
      <c r="X8" s="761"/>
      <c r="Y8" s="761"/>
      <c r="Z8" s="761"/>
      <c r="AA8" s="761"/>
      <c r="AB8" s="761"/>
      <c r="AC8" s="761"/>
      <c r="AD8" s="761"/>
      <c r="AE8" s="761"/>
      <c r="AF8" s="761"/>
      <c r="AG8" s="761"/>
      <c r="AH8" s="761"/>
      <c r="AI8" s="761"/>
      <c r="AJ8" s="761"/>
      <c r="AK8" s="761"/>
      <c r="AL8" s="761"/>
      <c r="AM8" s="761"/>
      <c r="AN8" s="761"/>
      <c r="AO8" s="761"/>
      <c r="AP8" s="761"/>
      <c r="AQ8" s="761"/>
      <c r="AR8" s="761"/>
      <c r="AS8" s="761"/>
      <c r="AT8" s="761"/>
      <c r="AU8" s="761"/>
      <c r="AV8" s="761"/>
      <c r="AW8" s="761"/>
      <c r="AX8" s="761"/>
      <c r="AY8" s="761"/>
      <c r="AZ8" s="761"/>
      <c r="BA8" s="761"/>
      <c r="BB8" s="761"/>
      <c r="BC8" s="761"/>
      <c r="BD8" s="761"/>
      <c r="BE8" s="761"/>
      <c r="BF8" s="761"/>
      <c r="BG8" s="761"/>
      <c r="BH8" s="761"/>
      <c r="BI8" s="761"/>
      <c r="BJ8" s="761"/>
      <c r="BK8" s="761"/>
      <c r="BL8" s="761"/>
      <c r="BM8" s="761"/>
      <c r="BN8" s="761"/>
      <c r="BO8" s="761"/>
      <c r="BP8" s="761"/>
      <c r="BQ8" s="761"/>
    </row>
    <row r="9" spans="1:69" ht="15">
      <c r="A9" s="763"/>
      <c r="C9" s="629"/>
      <c r="D9" s="629"/>
      <c r="E9" s="629"/>
      <c r="F9" s="629"/>
      <c r="G9" s="629"/>
      <c r="H9" s="629"/>
      <c r="I9" s="629"/>
      <c r="J9" s="636"/>
      <c r="K9" s="636"/>
      <c r="L9" s="629"/>
      <c r="M9" s="629"/>
      <c r="N9" s="629"/>
      <c r="O9" s="629"/>
      <c r="P9" s="629"/>
      <c r="Q9" s="629"/>
      <c r="R9" s="629"/>
      <c r="S9" s="759"/>
      <c r="T9" s="760"/>
      <c r="U9" s="760"/>
      <c r="V9" s="759"/>
      <c r="W9" s="761"/>
      <c r="X9" s="761"/>
      <c r="Y9" s="761"/>
      <c r="Z9" s="761"/>
      <c r="AA9" s="761"/>
      <c r="AB9" s="761"/>
      <c r="AC9" s="761"/>
      <c r="AD9" s="761"/>
      <c r="AE9" s="761"/>
      <c r="AF9" s="761"/>
      <c r="AG9" s="761"/>
      <c r="AH9" s="761"/>
      <c r="AI9" s="761"/>
      <c r="AJ9" s="761"/>
      <c r="AK9" s="761"/>
      <c r="AL9" s="761"/>
      <c r="AM9" s="761"/>
      <c r="AN9" s="761"/>
      <c r="AO9" s="761"/>
      <c r="AP9" s="761"/>
      <c r="AQ9" s="761"/>
      <c r="AR9" s="761"/>
      <c r="AS9" s="761"/>
      <c r="AT9" s="761"/>
      <c r="AU9" s="761"/>
      <c r="AV9" s="761"/>
      <c r="AW9" s="761"/>
      <c r="AX9" s="761"/>
      <c r="AY9" s="761"/>
      <c r="AZ9" s="761"/>
      <c r="BA9" s="761"/>
      <c r="BB9" s="761"/>
      <c r="BC9" s="761"/>
      <c r="BD9" s="761"/>
      <c r="BE9" s="761"/>
      <c r="BF9" s="761"/>
      <c r="BG9" s="761"/>
      <c r="BH9" s="761"/>
      <c r="BI9" s="761"/>
      <c r="BJ9" s="761"/>
      <c r="BK9" s="761"/>
      <c r="BL9" s="761"/>
      <c r="BM9" s="761"/>
      <c r="BN9" s="761"/>
      <c r="BO9" s="761"/>
      <c r="BP9" s="761"/>
      <c r="BQ9" s="761"/>
    </row>
    <row r="10" spans="1:69" ht="15">
      <c r="A10" s="763"/>
      <c r="C10" s="629" t="s">
        <v>622</v>
      </c>
      <c r="D10" s="629"/>
      <c r="E10" s="629"/>
      <c r="F10" s="629"/>
      <c r="G10" s="629"/>
      <c r="H10" s="629"/>
      <c r="I10" s="629"/>
      <c r="J10" s="636"/>
      <c r="K10" s="636"/>
      <c r="L10" s="629"/>
      <c r="M10" s="629"/>
      <c r="N10" s="629"/>
      <c r="O10" s="629"/>
      <c r="P10" s="629"/>
      <c r="Q10" s="629"/>
      <c r="R10" s="629"/>
      <c r="S10" s="759"/>
      <c r="T10" s="760"/>
      <c r="U10" s="760"/>
      <c r="V10" s="759"/>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1"/>
      <c r="AY10" s="761"/>
      <c r="AZ10" s="761"/>
      <c r="BA10" s="761"/>
      <c r="BB10" s="761"/>
      <c r="BC10" s="761"/>
      <c r="BD10" s="761"/>
      <c r="BE10" s="761"/>
      <c r="BF10" s="761"/>
      <c r="BG10" s="761"/>
      <c r="BH10" s="761"/>
      <c r="BI10" s="761"/>
      <c r="BJ10" s="761"/>
      <c r="BK10" s="761"/>
      <c r="BL10" s="761"/>
      <c r="BM10" s="761"/>
      <c r="BN10" s="761"/>
      <c r="BO10" s="761"/>
      <c r="BP10" s="761"/>
      <c r="BQ10" s="761"/>
    </row>
    <row r="11" spans="1:69" ht="15">
      <c r="A11" s="763"/>
      <c r="C11" s="629" t="s">
        <v>777</v>
      </c>
      <c r="D11" s="629"/>
      <c r="E11" s="629"/>
      <c r="F11" s="629"/>
      <c r="G11" s="629"/>
      <c r="H11" s="629"/>
      <c r="I11" s="629"/>
      <c r="J11" s="636"/>
      <c r="K11" s="636"/>
      <c r="P11" s="629"/>
      <c r="Q11" s="629"/>
      <c r="R11" s="629"/>
      <c r="S11" s="759"/>
      <c r="T11" s="759"/>
      <c r="U11" s="759"/>
      <c r="V11" s="759"/>
      <c r="W11" s="761"/>
      <c r="X11" s="761"/>
      <c r="Y11" s="761"/>
      <c r="Z11" s="761"/>
      <c r="AA11" s="761"/>
      <c r="AB11" s="761"/>
      <c r="AC11" s="761"/>
      <c r="AD11" s="761"/>
      <c r="AE11" s="761"/>
      <c r="AF11" s="761"/>
      <c r="AG11" s="761"/>
      <c r="AH11" s="761"/>
      <c r="AI11" s="761"/>
      <c r="AJ11" s="761"/>
      <c r="AK11" s="761"/>
      <c r="AL11" s="761"/>
      <c r="AM11" s="761"/>
      <c r="AN11" s="761"/>
      <c r="AO11" s="761"/>
      <c r="AP11" s="761"/>
      <c r="AQ11" s="761"/>
      <c r="AR11" s="761"/>
      <c r="AS11" s="761"/>
      <c r="AT11" s="761"/>
      <c r="AU11" s="761"/>
      <c r="AV11" s="761"/>
      <c r="AW11" s="761"/>
      <c r="AX11" s="761"/>
      <c r="AY11" s="761"/>
      <c r="AZ11" s="761"/>
      <c r="BA11" s="761"/>
      <c r="BB11" s="761"/>
      <c r="BC11" s="761"/>
      <c r="BD11" s="761"/>
      <c r="BE11" s="761"/>
      <c r="BF11" s="761"/>
      <c r="BG11" s="761"/>
      <c r="BH11" s="761"/>
      <c r="BI11" s="761"/>
      <c r="BJ11" s="761"/>
      <c r="BK11" s="761"/>
      <c r="BL11" s="761"/>
      <c r="BM11" s="761"/>
      <c r="BN11" s="761"/>
      <c r="BO11" s="761"/>
      <c r="BP11" s="761"/>
      <c r="BQ11" s="761"/>
    </row>
    <row r="12" spans="1:69" ht="15">
      <c r="A12" s="763"/>
      <c r="C12" s="629"/>
      <c r="D12" s="629"/>
      <c r="E12" s="629"/>
      <c r="F12" s="629"/>
      <c r="G12" s="629"/>
      <c r="H12" s="629"/>
      <c r="I12" s="629"/>
      <c r="J12" s="629"/>
      <c r="K12" s="629"/>
      <c r="P12" s="637"/>
      <c r="Q12" s="629"/>
      <c r="R12" s="629"/>
      <c r="S12" s="759"/>
      <c r="T12" s="759"/>
      <c r="U12" s="759"/>
      <c r="V12" s="759"/>
      <c r="W12" s="761"/>
      <c r="X12" s="761"/>
      <c r="Y12" s="761"/>
      <c r="Z12" s="761"/>
      <c r="AA12" s="761"/>
      <c r="AB12" s="761"/>
      <c r="AC12" s="761"/>
      <c r="AD12" s="761"/>
      <c r="AE12" s="761"/>
      <c r="AF12" s="761"/>
      <c r="AG12" s="761"/>
      <c r="AH12" s="761"/>
      <c r="AI12" s="761"/>
      <c r="AJ12" s="761"/>
      <c r="AK12" s="761"/>
      <c r="AL12" s="761"/>
      <c r="AM12" s="761"/>
      <c r="AN12" s="761"/>
      <c r="AO12" s="761"/>
      <c r="AP12" s="761"/>
      <c r="AQ12" s="761"/>
      <c r="AR12" s="761"/>
      <c r="AS12" s="761"/>
      <c r="AT12" s="761"/>
      <c r="AU12" s="761"/>
      <c r="AV12" s="761"/>
      <c r="AW12" s="761"/>
      <c r="AX12" s="761"/>
      <c r="AY12" s="761"/>
      <c r="AZ12" s="761"/>
      <c r="BA12" s="761"/>
      <c r="BB12" s="761"/>
      <c r="BC12" s="761"/>
      <c r="BD12" s="761"/>
      <c r="BE12" s="761"/>
      <c r="BF12" s="761"/>
      <c r="BG12" s="761"/>
      <c r="BH12" s="761"/>
      <c r="BI12" s="761"/>
      <c r="BJ12" s="761"/>
      <c r="BK12" s="761"/>
      <c r="BL12" s="761"/>
      <c r="BM12" s="761"/>
      <c r="BN12" s="761"/>
      <c r="BO12" s="761"/>
      <c r="BP12" s="761"/>
      <c r="BQ12" s="761"/>
    </row>
    <row r="13" spans="1:69" ht="15">
      <c r="C13" s="638" t="s">
        <v>339</v>
      </c>
      <c r="D13" s="638"/>
      <c r="E13" s="638"/>
      <c r="F13" s="638"/>
      <c r="G13" s="638"/>
      <c r="H13" s="638" t="s">
        <v>340</v>
      </c>
      <c r="I13" s="638"/>
      <c r="J13" s="638" t="s">
        <v>341</v>
      </c>
      <c r="K13" s="638"/>
      <c r="L13" s="639" t="s">
        <v>342</v>
      </c>
      <c r="Q13" s="631"/>
      <c r="R13" s="639"/>
      <c r="S13" s="764"/>
      <c r="T13" s="639"/>
      <c r="U13" s="764"/>
      <c r="V13" s="765"/>
      <c r="W13" s="761"/>
      <c r="X13" s="761"/>
      <c r="Y13" s="761"/>
      <c r="Z13" s="761"/>
      <c r="AA13" s="761"/>
      <c r="AB13" s="761"/>
      <c r="AC13" s="761"/>
      <c r="AD13" s="761"/>
      <c r="AE13" s="761"/>
      <c r="AF13" s="761"/>
      <c r="AG13" s="761"/>
      <c r="AH13" s="761"/>
      <c r="AI13" s="761"/>
      <c r="AJ13" s="761"/>
      <c r="AK13" s="761"/>
      <c r="AL13" s="761"/>
      <c r="AM13" s="761"/>
      <c r="AN13" s="761"/>
      <c r="AO13" s="761"/>
      <c r="AP13" s="761"/>
      <c r="AQ13" s="761"/>
      <c r="AR13" s="761"/>
      <c r="AS13" s="761"/>
      <c r="AT13" s="761"/>
      <c r="AU13" s="761"/>
      <c r="AV13" s="761"/>
      <c r="AW13" s="761"/>
      <c r="AX13" s="761"/>
      <c r="AY13" s="761"/>
      <c r="AZ13" s="761"/>
      <c r="BA13" s="761"/>
      <c r="BB13" s="761"/>
      <c r="BC13" s="761"/>
      <c r="BD13" s="761"/>
      <c r="BE13" s="761"/>
      <c r="BF13" s="761"/>
      <c r="BG13" s="761"/>
      <c r="BH13" s="761"/>
      <c r="BI13" s="761"/>
      <c r="BJ13" s="761"/>
      <c r="BK13" s="761"/>
      <c r="BL13" s="761"/>
      <c r="BM13" s="761"/>
      <c r="BN13" s="761"/>
      <c r="BO13" s="761"/>
      <c r="BP13" s="761"/>
      <c r="BQ13" s="761"/>
    </row>
    <row r="14" spans="1:69" ht="15.75">
      <c r="C14" s="640"/>
      <c r="D14" s="640"/>
      <c r="E14" s="640"/>
      <c r="F14" s="640"/>
      <c r="G14" s="640"/>
      <c r="H14" s="641" t="s">
        <v>148</v>
      </c>
      <c r="I14" s="641"/>
      <c r="J14" s="631"/>
      <c r="K14" s="631"/>
      <c r="Q14" s="631"/>
      <c r="S14" s="764"/>
      <c r="T14" s="766"/>
      <c r="U14" s="766"/>
      <c r="V14" s="765"/>
      <c r="W14" s="761"/>
      <c r="X14" s="761"/>
      <c r="Y14" s="761"/>
      <c r="Z14" s="761"/>
      <c r="AA14" s="761"/>
      <c r="AB14" s="761"/>
      <c r="AC14" s="761"/>
      <c r="AD14" s="761"/>
      <c r="AE14" s="761"/>
      <c r="AF14" s="761"/>
      <c r="AG14" s="761"/>
      <c r="AH14" s="761"/>
      <c r="AI14" s="761"/>
      <c r="AJ14" s="761"/>
      <c r="AK14" s="761"/>
      <c r="AL14" s="761"/>
      <c r="AM14" s="761"/>
      <c r="AN14" s="761"/>
      <c r="AO14" s="761"/>
      <c r="AP14" s="761"/>
      <c r="AQ14" s="761"/>
      <c r="AR14" s="761"/>
      <c r="AS14" s="761"/>
      <c r="AT14" s="761"/>
      <c r="AU14" s="761"/>
      <c r="AV14" s="761"/>
      <c r="AW14" s="761"/>
      <c r="AX14" s="761"/>
      <c r="AY14" s="761"/>
      <c r="AZ14" s="761"/>
      <c r="BA14" s="761"/>
      <c r="BB14" s="761"/>
      <c r="BC14" s="761"/>
      <c r="BD14" s="761"/>
      <c r="BE14" s="761"/>
      <c r="BF14" s="761"/>
      <c r="BG14" s="761"/>
      <c r="BH14" s="761"/>
      <c r="BI14" s="761"/>
      <c r="BJ14" s="761"/>
      <c r="BK14" s="761"/>
      <c r="BL14" s="761"/>
      <c r="BM14" s="761"/>
      <c r="BN14" s="761"/>
      <c r="BO14" s="761"/>
      <c r="BP14" s="761"/>
      <c r="BQ14" s="761"/>
    </row>
    <row r="15" spans="1:69" ht="15.75">
      <c r="A15" s="763" t="s">
        <v>46</v>
      </c>
      <c r="C15" s="640"/>
      <c r="D15" s="640"/>
      <c r="E15" s="640"/>
      <c r="F15" s="640"/>
      <c r="G15" s="640"/>
      <c r="H15" s="642" t="s">
        <v>347</v>
      </c>
      <c r="I15" s="642"/>
      <c r="J15" s="643" t="s">
        <v>24</v>
      </c>
      <c r="K15" s="643"/>
      <c r="L15" s="643" t="s">
        <v>271</v>
      </c>
      <c r="Q15" s="631"/>
      <c r="S15" s="759"/>
      <c r="T15" s="767"/>
      <c r="U15" s="766"/>
      <c r="V15" s="765"/>
      <c r="W15" s="761"/>
      <c r="X15" s="761"/>
      <c r="Y15" s="761"/>
      <c r="Z15" s="761"/>
      <c r="AA15" s="761"/>
      <c r="AB15" s="761"/>
      <c r="AC15" s="761"/>
      <c r="AD15" s="761"/>
      <c r="AE15" s="761"/>
      <c r="AF15" s="761"/>
      <c r="AG15" s="761"/>
      <c r="AH15" s="761"/>
      <c r="AI15" s="761"/>
      <c r="AJ15" s="761"/>
      <c r="AK15" s="761"/>
      <c r="AL15" s="761"/>
      <c r="AM15" s="761"/>
      <c r="AN15" s="761"/>
      <c r="AO15" s="761"/>
      <c r="AP15" s="761"/>
      <c r="AQ15" s="761"/>
      <c r="AR15" s="761"/>
      <c r="AS15" s="761"/>
      <c r="AT15" s="761"/>
      <c r="AU15" s="761"/>
      <c r="AV15" s="761"/>
      <c r="AW15" s="761"/>
      <c r="AX15" s="761"/>
      <c r="AY15" s="761"/>
      <c r="AZ15" s="761"/>
      <c r="BA15" s="761"/>
      <c r="BB15" s="761"/>
      <c r="BC15" s="761"/>
      <c r="BD15" s="761"/>
      <c r="BE15" s="761"/>
      <c r="BF15" s="761"/>
      <c r="BG15" s="761"/>
      <c r="BH15" s="761"/>
      <c r="BI15" s="761"/>
      <c r="BJ15" s="761"/>
      <c r="BK15" s="761"/>
      <c r="BL15" s="761"/>
      <c r="BM15" s="761"/>
      <c r="BN15" s="761"/>
      <c r="BO15" s="761"/>
      <c r="BP15" s="761"/>
      <c r="BQ15" s="761"/>
    </row>
    <row r="16" spans="1:69" ht="15.75">
      <c r="A16" s="763" t="s">
        <v>22</v>
      </c>
      <c r="C16" s="645"/>
      <c r="D16" s="645"/>
      <c r="E16" s="645"/>
      <c r="F16" s="645"/>
      <c r="G16" s="645"/>
      <c r="H16" s="631"/>
      <c r="I16" s="631"/>
      <c r="J16" s="631"/>
      <c r="K16" s="631"/>
      <c r="L16" s="631"/>
      <c r="Q16" s="631"/>
      <c r="R16" s="631"/>
      <c r="S16" s="759"/>
      <c r="T16" s="764"/>
      <c r="U16" s="764"/>
      <c r="V16" s="765"/>
      <c r="W16" s="761"/>
      <c r="X16" s="761"/>
      <c r="Y16" s="761"/>
      <c r="Z16" s="761"/>
      <c r="AA16" s="761"/>
      <c r="AB16" s="761"/>
      <c r="AC16" s="761"/>
      <c r="AD16" s="761"/>
      <c r="AE16" s="761"/>
      <c r="AF16" s="761"/>
      <c r="AG16" s="761"/>
      <c r="AH16" s="761"/>
      <c r="AI16" s="761"/>
      <c r="AJ16" s="761"/>
      <c r="AK16" s="761"/>
      <c r="AL16" s="761"/>
      <c r="AM16" s="761"/>
      <c r="AN16" s="761"/>
      <c r="AO16" s="761"/>
      <c r="AP16" s="761"/>
      <c r="AQ16" s="761"/>
      <c r="AR16" s="761"/>
      <c r="AS16" s="761"/>
      <c r="AT16" s="761"/>
      <c r="AU16" s="761"/>
      <c r="AV16" s="761"/>
      <c r="AW16" s="761"/>
      <c r="AX16" s="761"/>
      <c r="AY16" s="761"/>
      <c r="AZ16" s="761"/>
      <c r="BA16" s="761"/>
      <c r="BB16" s="761"/>
      <c r="BC16" s="761"/>
      <c r="BD16" s="761"/>
      <c r="BE16" s="761"/>
      <c r="BF16" s="761"/>
      <c r="BG16" s="761"/>
      <c r="BH16" s="761"/>
      <c r="BI16" s="761"/>
      <c r="BJ16" s="761"/>
      <c r="BK16" s="761"/>
      <c r="BL16" s="761"/>
      <c r="BM16" s="761"/>
      <c r="BN16" s="761"/>
      <c r="BO16" s="761"/>
      <c r="BP16" s="761"/>
      <c r="BQ16" s="761"/>
    </row>
    <row r="17" spans="1:69" ht="15.75">
      <c r="A17" s="768"/>
      <c r="C17" s="640"/>
      <c r="D17" s="640"/>
      <c r="E17" s="640"/>
      <c r="F17" s="640"/>
      <c r="G17" s="640"/>
      <c r="H17" s="631"/>
      <c r="I17" s="631"/>
      <c r="J17" s="631"/>
      <c r="K17" s="631"/>
      <c r="L17" s="631"/>
      <c r="Q17" s="631"/>
      <c r="R17" s="631"/>
      <c r="S17" s="759"/>
      <c r="T17" s="764"/>
      <c r="U17" s="764"/>
      <c r="V17" s="765"/>
      <c r="W17" s="761"/>
      <c r="X17" s="761"/>
      <c r="Y17" s="761"/>
      <c r="Z17" s="761"/>
      <c r="AA17" s="761"/>
      <c r="AB17" s="761"/>
      <c r="AC17" s="761"/>
      <c r="AD17" s="761"/>
      <c r="AE17" s="761"/>
      <c r="AF17" s="761"/>
      <c r="AG17" s="761"/>
      <c r="AH17" s="761"/>
      <c r="AI17" s="761"/>
      <c r="AJ17" s="761"/>
      <c r="AK17" s="761"/>
      <c r="AL17" s="761"/>
      <c r="AM17" s="761"/>
      <c r="AN17" s="761"/>
      <c r="AO17" s="761"/>
      <c r="AP17" s="761"/>
      <c r="AQ17" s="761"/>
      <c r="AR17" s="761"/>
      <c r="AS17" s="761"/>
      <c r="AT17" s="761"/>
      <c r="AU17" s="761"/>
      <c r="AV17" s="761"/>
      <c r="AW17" s="761"/>
      <c r="AX17" s="761"/>
      <c r="AY17" s="761"/>
      <c r="AZ17" s="761"/>
      <c r="BA17" s="761"/>
      <c r="BB17" s="761"/>
      <c r="BC17" s="761"/>
      <c r="BD17" s="761"/>
      <c r="BE17" s="761"/>
      <c r="BF17" s="761"/>
      <c r="BG17" s="761"/>
      <c r="BH17" s="761"/>
      <c r="BI17" s="761"/>
      <c r="BJ17" s="761"/>
      <c r="BK17" s="761"/>
      <c r="BL17" s="761"/>
      <c r="BM17" s="761"/>
      <c r="BN17" s="761"/>
      <c r="BO17" s="761"/>
      <c r="BP17" s="761"/>
      <c r="BQ17" s="761"/>
    </row>
    <row r="18" spans="1:69" ht="15">
      <c r="A18" s="769">
        <v>1</v>
      </c>
      <c r="C18" s="640" t="s">
        <v>623</v>
      </c>
      <c r="D18" s="640"/>
      <c r="E18" s="640"/>
      <c r="F18" s="640"/>
      <c r="G18" s="640"/>
      <c r="H18" s="648" t="s">
        <v>624</v>
      </c>
      <c r="I18" s="648"/>
      <c r="J18" s="770">
        <f>'Attachment O'!I87+'Attachment O'!I109+'Prefunded AFUDC'!H27</f>
        <v>4553411068.1087112</v>
      </c>
      <c r="K18" s="631"/>
      <c r="O18" s="962"/>
      <c r="Q18" s="631"/>
      <c r="R18" s="631"/>
      <c r="S18" s="759"/>
      <c r="T18" s="764"/>
      <c r="U18" s="764"/>
      <c r="V18" s="765"/>
      <c r="W18" s="761"/>
      <c r="X18" s="761"/>
      <c r="Y18" s="761"/>
      <c r="Z18" s="761"/>
      <c r="AA18" s="761"/>
      <c r="AB18" s="761"/>
      <c r="AC18" s="761"/>
      <c r="AD18" s="761"/>
      <c r="AE18" s="761"/>
      <c r="AF18" s="761"/>
      <c r="AG18" s="761"/>
      <c r="AH18" s="761"/>
      <c r="AI18" s="761"/>
      <c r="AJ18" s="761"/>
      <c r="AK18" s="761"/>
      <c r="AL18" s="761"/>
      <c r="AM18" s="761"/>
      <c r="AN18" s="761"/>
      <c r="AO18" s="761"/>
      <c r="AP18" s="761"/>
      <c r="AQ18" s="761"/>
      <c r="AR18" s="761"/>
      <c r="AS18" s="761"/>
      <c r="AT18" s="761"/>
      <c r="AU18" s="761"/>
      <c r="AV18" s="761"/>
      <c r="AW18" s="761"/>
      <c r="AX18" s="761"/>
      <c r="AY18" s="761"/>
      <c r="AZ18" s="761"/>
      <c r="BA18" s="761"/>
      <c r="BB18" s="761"/>
      <c r="BC18" s="761"/>
      <c r="BD18" s="761"/>
      <c r="BE18" s="761"/>
      <c r="BF18" s="761"/>
      <c r="BG18" s="761"/>
      <c r="BH18" s="761"/>
      <c r="BI18" s="761"/>
      <c r="BJ18" s="761"/>
      <c r="BK18" s="761"/>
      <c r="BL18" s="761"/>
      <c r="BM18" s="761"/>
      <c r="BN18" s="761"/>
      <c r="BO18" s="761"/>
      <c r="BP18" s="761"/>
      <c r="BQ18" s="761"/>
    </row>
    <row r="19" spans="1:69" ht="15">
      <c r="A19" s="769" t="s">
        <v>421</v>
      </c>
      <c r="C19" s="963" t="s">
        <v>1060</v>
      </c>
      <c r="D19" s="640"/>
      <c r="E19" s="640"/>
      <c r="F19" s="640"/>
      <c r="G19" s="640"/>
      <c r="H19" s="1016" t="s">
        <v>1059</v>
      </c>
      <c r="I19" s="648"/>
      <c r="J19" s="771">
        <f>'Attachment O'!I95-'Prefunded AFUDC'!H28</f>
        <v>1160541428.0331872</v>
      </c>
      <c r="K19" s="772"/>
      <c r="O19" s="962"/>
      <c r="Q19" s="631"/>
      <c r="R19" s="631"/>
      <c r="S19" s="759"/>
      <c r="T19" s="764"/>
      <c r="U19" s="764"/>
      <c r="V19" s="765"/>
      <c r="W19" s="761"/>
      <c r="X19" s="761"/>
      <c r="Y19" s="761"/>
      <c r="Z19" s="761"/>
      <c r="AA19" s="761"/>
      <c r="AB19" s="761"/>
      <c r="AC19" s="761"/>
      <c r="AD19" s="761"/>
      <c r="AE19" s="761"/>
      <c r="AF19" s="761"/>
      <c r="AG19" s="761"/>
      <c r="AH19" s="761"/>
      <c r="AI19" s="761"/>
      <c r="AJ19" s="761"/>
      <c r="AK19" s="761"/>
      <c r="AL19" s="761"/>
      <c r="AM19" s="761"/>
      <c r="AN19" s="761"/>
      <c r="AO19" s="761"/>
      <c r="AP19" s="761"/>
      <c r="AQ19" s="761"/>
      <c r="AR19" s="761"/>
      <c r="AS19" s="761"/>
      <c r="AT19" s="761"/>
      <c r="AU19" s="761"/>
      <c r="AV19" s="761"/>
      <c r="AW19" s="761"/>
      <c r="AX19" s="761"/>
      <c r="AY19" s="761"/>
      <c r="AZ19" s="761"/>
      <c r="BA19" s="761"/>
      <c r="BB19" s="761"/>
      <c r="BC19" s="761"/>
      <c r="BD19" s="761"/>
      <c r="BE19" s="761"/>
      <c r="BF19" s="761"/>
      <c r="BG19" s="761"/>
      <c r="BH19" s="761"/>
      <c r="BI19" s="761"/>
      <c r="BJ19" s="761"/>
      <c r="BK19" s="761"/>
      <c r="BL19" s="761"/>
      <c r="BM19" s="761"/>
      <c r="BN19" s="761"/>
      <c r="BO19" s="761"/>
      <c r="BP19" s="761"/>
      <c r="BQ19" s="761"/>
    </row>
    <row r="20" spans="1:69" ht="15">
      <c r="A20" s="769">
        <v>2</v>
      </c>
      <c r="C20" s="640" t="s">
        <v>625</v>
      </c>
      <c r="D20" s="640"/>
      <c r="E20" s="640"/>
      <c r="F20" s="640"/>
      <c r="G20" s="640"/>
      <c r="H20" s="648" t="s">
        <v>778</v>
      </c>
      <c r="I20" s="648"/>
      <c r="J20" s="687">
        <f>J18-J19</f>
        <v>3392869640.0755243</v>
      </c>
      <c r="K20" s="773"/>
      <c r="O20" s="962"/>
      <c r="Q20" s="631"/>
      <c r="R20" s="631"/>
      <c r="S20" s="759"/>
      <c r="T20" s="764"/>
      <c r="U20" s="764"/>
      <c r="V20" s="765"/>
      <c r="W20" s="761"/>
      <c r="X20" s="761"/>
      <c r="Y20" s="761"/>
      <c r="Z20" s="761"/>
      <c r="AA20" s="761"/>
      <c r="AB20" s="761"/>
      <c r="AC20" s="761"/>
      <c r="AD20" s="761"/>
      <c r="AE20" s="761"/>
      <c r="AF20" s="761"/>
      <c r="AG20" s="761"/>
      <c r="AH20" s="761"/>
      <c r="AI20" s="761"/>
      <c r="AJ20" s="761"/>
      <c r="AK20" s="761"/>
      <c r="AL20" s="761"/>
      <c r="AM20" s="761"/>
      <c r="AN20" s="761"/>
      <c r="AO20" s="761"/>
      <c r="AP20" s="761"/>
      <c r="AQ20" s="761"/>
      <c r="AR20" s="761"/>
      <c r="AS20" s="761"/>
      <c r="AT20" s="761"/>
      <c r="AU20" s="761"/>
      <c r="AV20" s="761"/>
      <c r="AW20" s="761"/>
      <c r="AX20" s="761"/>
      <c r="AY20" s="761"/>
      <c r="AZ20" s="761"/>
      <c r="BA20" s="761"/>
      <c r="BB20" s="761"/>
      <c r="BC20" s="761"/>
      <c r="BD20" s="761"/>
      <c r="BE20" s="761"/>
      <c r="BF20" s="761"/>
      <c r="BG20" s="761"/>
      <c r="BH20" s="761"/>
      <c r="BI20" s="761"/>
      <c r="BJ20" s="761"/>
      <c r="BK20" s="761"/>
      <c r="BL20" s="761"/>
      <c r="BM20" s="761"/>
      <c r="BN20" s="761"/>
      <c r="BO20" s="761"/>
      <c r="BP20" s="761"/>
      <c r="BQ20" s="761"/>
    </row>
    <row r="21" spans="1:69" ht="15">
      <c r="A21" s="769"/>
      <c r="H21" s="648"/>
      <c r="I21" s="648"/>
      <c r="Q21" s="631"/>
      <c r="R21" s="631"/>
      <c r="S21" s="759"/>
      <c r="T21" s="764"/>
      <c r="U21" s="764"/>
      <c r="V21" s="765"/>
      <c r="W21" s="761"/>
      <c r="X21" s="761"/>
      <c r="Y21" s="761"/>
      <c r="Z21" s="761"/>
      <c r="AA21" s="761"/>
      <c r="AB21" s="761"/>
      <c r="AC21" s="761"/>
      <c r="AD21" s="761"/>
      <c r="AE21" s="761"/>
      <c r="AF21" s="761"/>
      <c r="AG21" s="761"/>
      <c r="AH21" s="761"/>
      <c r="AI21" s="761"/>
      <c r="AJ21" s="761"/>
      <c r="AK21" s="761"/>
      <c r="AL21" s="761"/>
      <c r="AM21" s="761"/>
      <c r="AN21" s="761"/>
      <c r="AO21" s="761"/>
      <c r="AP21" s="761"/>
      <c r="AQ21" s="761"/>
      <c r="AR21" s="761"/>
      <c r="AS21" s="761"/>
      <c r="AT21" s="761"/>
      <c r="AU21" s="761"/>
      <c r="AV21" s="761"/>
      <c r="AW21" s="761"/>
      <c r="AX21" s="761"/>
      <c r="AY21" s="761"/>
      <c r="AZ21" s="761"/>
      <c r="BA21" s="761"/>
      <c r="BB21" s="761"/>
      <c r="BC21" s="761"/>
      <c r="BD21" s="761"/>
      <c r="BE21" s="761"/>
      <c r="BF21" s="761"/>
      <c r="BG21" s="761"/>
      <c r="BH21" s="761"/>
      <c r="BI21" s="761"/>
      <c r="BJ21" s="761"/>
      <c r="BK21" s="761"/>
      <c r="BL21" s="761"/>
      <c r="BM21" s="761"/>
      <c r="BN21" s="761"/>
      <c r="BO21" s="761"/>
      <c r="BP21" s="761"/>
      <c r="BQ21" s="761"/>
    </row>
    <row r="22" spans="1:69" ht="15">
      <c r="A22" s="769"/>
      <c r="C22" s="640" t="s">
        <v>779</v>
      </c>
      <c r="D22" s="640"/>
      <c r="E22" s="640"/>
      <c r="F22" s="640"/>
      <c r="G22" s="640"/>
      <c r="H22" s="648"/>
      <c r="I22" s="648"/>
      <c r="J22" s="631"/>
      <c r="K22" s="631"/>
      <c r="L22" s="631"/>
      <c r="Q22" s="631"/>
      <c r="R22" s="631"/>
      <c r="S22" s="764"/>
      <c r="T22" s="764"/>
      <c r="U22" s="764"/>
      <c r="V22" s="765"/>
      <c r="W22" s="761"/>
      <c r="X22" s="761"/>
      <c r="Y22" s="761"/>
      <c r="Z22" s="761"/>
      <c r="AA22" s="761"/>
      <c r="AB22" s="761"/>
      <c r="AC22" s="761"/>
      <c r="AD22" s="761"/>
      <c r="AE22" s="761"/>
      <c r="AF22" s="761"/>
      <c r="AG22" s="761"/>
      <c r="AH22" s="761"/>
      <c r="AI22" s="761"/>
      <c r="AJ22" s="761"/>
      <c r="AK22" s="761"/>
      <c r="AL22" s="761"/>
      <c r="AM22" s="761"/>
      <c r="AN22" s="761"/>
      <c r="AO22" s="761"/>
      <c r="AP22" s="761"/>
      <c r="AQ22" s="761"/>
      <c r="AR22" s="761"/>
      <c r="AS22" s="761"/>
      <c r="AT22" s="761"/>
      <c r="AU22" s="761"/>
      <c r="AV22" s="761"/>
      <c r="AW22" s="761"/>
      <c r="AX22" s="761"/>
      <c r="AY22" s="761"/>
      <c r="AZ22" s="761"/>
      <c r="BA22" s="761"/>
      <c r="BB22" s="761"/>
      <c r="BC22" s="761"/>
      <c r="BD22" s="761"/>
      <c r="BE22" s="761"/>
      <c r="BF22" s="761"/>
      <c r="BG22" s="761"/>
      <c r="BH22" s="761"/>
      <c r="BI22" s="761"/>
      <c r="BJ22" s="761"/>
      <c r="BK22" s="761"/>
      <c r="BL22" s="761"/>
      <c r="BM22" s="761"/>
      <c r="BN22" s="761"/>
      <c r="BO22" s="761"/>
      <c r="BP22" s="761"/>
      <c r="BQ22" s="761"/>
    </row>
    <row r="23" spans="1:69" ht="15">
      <c r="A23" s="769">
        <v>3</v>
      </c>
      <c r="C23" s="640" t="s">
        <v>628</v>
      </c>
      <c r="D23" s="640"/>
      <c r="E23" s="640"/>
      <c r="F23" s="640"/>
      <c r="G23" s="640"/>
      <c r="H23" s="648" t="s">
        <v>629</v>
      </c>
      <c r="I23" s="648"/>
      <c r="J23" s="770">
        <f>'Attachment O'!I167</f>
        <v>76033245.775853559</v>
      </c>
      <c r="K23" s="631"/>
      <c r="Q23" s="631"/>
      <c r="R23" s="631"/>
      <c r="S23" s="764"/>
      <c r="T23" s="764"/>
      <c r="U23" s="764"/>
      <c r="V23" s="765"/>
      <c r="W23" s="761"/>
      <c r="X23" s="761"/>
      <c r="Y23" s="761"/>
      <c r="Z23" s="761"/>
      <c r="AA23" s="761"/>
      <c r="AB23" s="761"/>
      <c r="AC23" s="761"/>
      <c r="AD23" s="761"/>
      <c r="AE23" s="761"/>
      <c r="AF23" s="761"/>
      <c r="AG23" s="761"/>
      <c r="AH23" s="761"/>
      <c r="AI23" s="761"/>
      <c r="AJ23" s="761"/>
      <c r="AK23" s="761"/>
      <c r="AL23" s="761"/>
      <c r="AM23" s="761"/>
      <c r="AN23" s="761"/>
      <c r="AO23" s="761"/>
      <c r="AP23" s="761"/>
      <c r="AQ23" s="761"/>
      <c r="AR23" s="761"/>
      <c r="AS23" s="761"/>
      <c r="AT23" s="761"/>
      <c r="AU23" s="761"/>
      <c r="AV23" s="761"/>
      <c r="AW23" s="761"/>
      <c r="AX23" s="761"/>
      <c r="AY23" s="761"/>
      <c r="AZ23" s="761"/>
      <c r="BA23" s="761"/>
      <c r="BB23" s="761"/>
      <c r="BC23" s="761"/>
      <c r="BD23" s="761"/>
      <c r="BE23" s="761"/>
      <c r="BF23" s="761"/>
      <c r="BG23" s="761"/>
      <c r="BH23" s="761"/>
      <c r="BI23" s="761"/>
      <c r="BJ23" s="761"/>
      <c r="BK23" s="761"/>
      <c r="BL23" s="761"/>
      <c r="BM23" s="761"/>
      <c r="BN23" s="761"/>
      <c r="BO23" s="761"/>
      <c r="BP23" s="761"/>
      <c r="BQ23" s="761"/>
    </row>
    <row r="24" spans="1:69" ht="15">
      <c r="A24" s="769" t="s">
        <v>780</v>
      </c>
      <c r="C24" s="640" t="s">
        <v>781</v>
      </c>
      <c r="D24" s="640"/>
      <c r="E24" s="640"/>
      <c r="F24" s="640"/>
      <c r="G24" s="640"/>
      <c r="H24" s="648" t="s">
        <v>782</v>
      </c>
      <c r="I24" s="648"/>
      <c r="J24" s="770">
        <f>'Attachment O'!I158</f>
        <v>248251797.51275891</v>
      </c>
      <c r="K24" s="631"/>
      <c r="Q24" s="631"/>
      <c r="R24" s="631"/>
      <c r="S24" s="764"/>
      <c r="T24" s="764"/>
      <c r="U24" s="764"/>
      <c r="V24" s="765"/>
      <c r="W24" s="761"/>
      <c r="X24" s="761"/>
      <c r="Y24" s="761"/>
      <c r="Z24" s="761"/>
      <c r="AA24" s="761"/>
      <c r="AB24" s="761"/>
      <c r="AC24" s="761"/>
      <c r="AD24" s="761"/>
      <c r="AE24" s="761"/>
      <c r="AF24" s="761"/>
      <c r="AG24" s="761"/>
      <c r="AH24" s="761"/>
      <c r="AI24" s="761"/>
      <c r="AJ24" s="761"/>
      <c r="AK24" s="761"/>
      <c r="AL24" s="761"/>
      <c r="AM24" s="761"/>
      <c r="AN24" s="761"/>
      <c r="AO24" s="761"/>
      <c r="AP24" s="761"/>
      <c r="AQ24" s="761"/>
      <c r="AR24" s="761"/>
      <c r="AS24" s="761"/>
      <c r="AT24" s="761"/>
      <c r="AU24" s="761"/>
      <c r="AV24" s="761"/>
      <c r="AW24" s="761"/>
      <c r="AX24" s="761"/>
      <c r="AY24" s="761"/>
      <c r="AZ24" s="761"/>
      <c r="BA24" s="761"/>
      <c r="BB24" s="761"/>
      <c r="BC24" s="761"/>
      <c r="BD24" s="761"/>
      <c r="BE24" s="761"/>
      <c r="BF24" s="761"/>
      <c r="BG24" s="761"/>
      <c r="BH24" s="761"/>
      <c r="BI24" s="761"/>
      <c r="BJ24" s="761"/>
      <c r="BK24" s="761"/>
      <c r="BL24" s="761"/>
      <c r="BM24" s="761"/>
      <c r="BN24" s="761"/>
      <c r="BO24" s="761"/>
      <c r="BP24" s="761"/>
      <c r="BQ24" s="761"/>
    </row>
    <row r="25" spans="1:69" ht="15">
      <c r="A25" s="769" t="s">
        <v>783</v>
      </c>
      <c r="C25" s="640" t="s">
        <v>784</v>
      </c>
      <c r="D25" s="640"/>
      <c r="E25" s="640"/>
      <c r="F25" s="640"/>
      <c r="G25" s="640"/>
      <c r="H25" s="648" t="s">
        <v>785</v>
      </c>
      <c r="I25" s="648"/>
      <c r="J25" s="770">
        <f>'Attachment O'!I159</f>
        <v>9988071</v>
      </c>
      <c r="K25" s="631"/>
      <c r="Q25" s="631"/>
      <c r="R25" s="631"/>
      <c r="S25" s="764"/>
      <c r="T25" s="764"/>
      <c r="U25" s="764"/>
      <c r="V25" s="765"/>
      <c r="W25" s="761"/>
      <c r="X25" s="761"/>
      <c r="Y25" s="761"/>
      <c r="Z25" s="761"/>
      <c r="AA25" s="761"/>
      <c r="AB25" s="761"/>
      <c r="AC25" s="761"/>
      <c r="AD25" s="761"/>
      <c r="AE25" s="761"/>
      <c r="AF25" s="761"/>
      <c r="AG25" s="761"/>
      <c r="AH25" s="761"/>
      <c r="AI25" s="761"/>
      <c r="AJ25" s="761"/>
      <c r="AK25" s="761"/>
      <c r="AL25" s="761"/>
      <c r="AM25" s="761"/>
      <c r="AN25" s="761"/>
      <c r="AO25" s="761"/>
      <c r="AP25" s="761"/>
      <c r="AQ25" s="761"/>
      <c r="AR25" s="761"/>
      <c r="AS25" s="761"/>
      <c r="AT25" s="761"/>
      <c r="AU25" s="761"/>
      <c r="AV25" s="761"/>
      <c r="AW25" s="761"/>
      <c r="AX25" s="761"/>
      <c r="AY25" s="761"/>
      <c r="AZ25" s="761"/>
      <c r="BA25" s="761"/>
      <c r="BB25" s="761"/>
      <c r="BC25" s="761"/>
      <c r="BD25" s="761"/>
      <c r="BE25" s="761"/>
      <c r="BF25" s="761"/>
      <c r="BG25" s="761"/>
      <c r="BH25" s="761"/>
      <c r="BI25" s="761"/>
      <c r="BJ25" s="761"/>
      <c r="BK25" s="761"/>
      <c r="BL25" s="761"/>
      <c r="BM25" s="761"/>
      <c r="BN25" s="761"/>
      <c r="BO25" s="761"/>
      <c r="BP25" s="761"/>
      <c r="BQ25" s="761"/>
    </row>
    <row r="26" spans="1:69" ht="15">
      <c r="A26" s="769" t="s">
        <v>786</v>
      </c>
      <c r="C26" s="640" t="s">
        <v>787</v>
      </c>
      <c r="D26" s="640"/>
      <c r="E26" s="640"/>
      <c r="F26" s="640"/>
      <c r="G26" s="640"/>
      <c r="H26" s="648" t="s">
        <v>788</v>
      </c>
      <c r="I26" s="648"/>
      <c r="J26" s="771">
        <f>'Attachment O'!I160</f>
        <v>184518196.39201936</v>
      </c>
      <c r="K26" s="772"/>
      <c r="Q26" s="631"/>
      <c r="R26" s="631"/>
      <c r="S26" s="764"/>
      <c r="T26" s="764"/>
      <c r="U26" s="764"/>
      <c r="V26" s="765"/>
      <c r="W26" s="761"/>
      <c r="X26" s="761"/>
      <c r="Y26" s="761"/>
      <c r="Z26" s="761"/>
      <c r="AA26" s="761"/>
      <c r="AB26" s="761"/>
      <c r="AC26" s="761"/>
      <c r="AD26" s="761"/>
      <c r="AE26" s="761"/>
      <c r="AF26" s="761"/>
      <c r="AG26" s="761"/>
      <c r="AH26" s="761"/>
      <c r="AI26" s="761"/>
      <c r="AJ26" s="761"/>
      <c r="AK26" s="761"/>
      <c r="AL26" s="761"/>
      <c r="AM26" s="761"/>
      <c r="AN26" s="761"/>
      <c r="AO26" s="761"/>
      <c r="AP26" s="761"/>
      <c r="AQ26" s="761"/>
      <c r="AR26" s="761"/>
      <c r="AS26" s="761"/>
      <c r="AT26" s="761"/>
      <c r="AU26" s="761"/>
      <c r="AV26" s="761"/>
      <c r="AW26" s="761"/>
      <c r="AX26" s="761"/>
      <c r="AY26" s="761"/>
      <c r="AZ26" s="761"/>
      <c r="BA26" s="761"/>
      <c r="BB26" s="761"/>
      <c r="BC26" s="761"/>
      <c r="BD26" s="761"/>
      <c r="BE26" s="761"/>
      <c r="BF26" s="761"/>
      <c r="BG26" s="761"/>
      <c r="BH26" s="761"/>
      <c r="BI26" s="761"/>
      <c r="BJ26" s="761"/>
      <c r="BK26" s="761"/>
      <c r="BL26" s="761"/>
      <c r="BM26" s="761"/>
      <c r="BN26" s="761"/>
      <c r="BO26" s="761"/>
      <c r="BP26" s="761"/>
      <c r="BQ26" s="761"/>
    </row>
    <row r="27" spans="1:69" ht="15">
      <c r="A27" s="769" t="s">
        <v>789</v>
      </c>
      <c r="C27" s="640" t="s">
        <v>790</v>
      </c>
      <c r="D27" s="640"/>
      <c r="E27" s="640"/>
      <c r="F27" s="640"/>
      <c r="G27" s="640"/>
      <c r="H27" s="648" t="s">
        <v>791</v>
      </c>
      <c r="I27" s="648"/>
      <c r="J27" s="687">
        <f>J24-(J25+J26)</f>
        <v>53745530.120739549</v>
      </c>
      <c r="K27" s="631"/>
      <c r="Q27" s="631"/>
      <c r="R27" s="631"/>
      <c r="S27" s="764"/>
      <c r="T27" s="764"/>
      <c r="U27" s="764"/>
      <c r="V27" s="765"/>
      <c r="W27" s="761"/>
      <c r="X27" s="761"/>
      <c r="Y27" s="761"/>
      <c r="Z27" s="761"/>
      <c r="AA27" s="761"/>
      <c r="AB27" s="761"/>
      <c r="AC27" s="761"/>
      <c r="AD27" s="761"/>
      <c r="AE27" s="761"/>
      <c r="AF27" s="761"/>
      <c r="AG27" s="761"/>
      <c r="AH27" s="761"/>
      <c r="AI27" s="761"/>
      <c r="AJ27" s="761"/>
      <c r="AK27" s="761"/>
      <c r="AL27" s="761"/>
      <c r="AM27" s="761"/>
      <c r="AN27" s="761"/>
      <c r="AO27" s="761"/>
      <c r="AP27" s="761"/>
      <c r="AQ27" s="761"/>
      <c r="AR27" s="761"/>
      <c r="AS27" s="761"/>
      <c r="AT27" s="761"/>
      <c r="AU27" s="761"/>
      <c r="AV27" s="761"/>
      <c r="AW27" s="761"/>
      <c r="AX27" s="761"/>
      <c r="AY27" s="761"/>
      <c r="AZ27" s="761"/>
      <c r="BA27" s="761"/>
      <c r="BB27" s="761"/>
      <c r="BC27" s="761"/>
      <c r="BD27" s="761"/>
      <c r="BE27" s="761"/>
      <c r="BF27" s="761"/>
      <c r="BG27" s="761"/>
      <c r="BH27" s="761"/>
      <c r="BI27" s="761"/>
      <c r="BJ27" s="761"/>
      <c r="BK27" s="761"/>
      <c r="BL27" s="761"/>
      <c r="BM27" s="761"/>
      <c r="BN27" s="761"/>
      <c r="BO27" s="761"/>
      <c r="BP27" s="761"/>
      <c r="BQ27" s="761"/>
    </row>
    <row r="28" spans="1:69" ht="15">
      <c r="A28" s="769"/>
      <c r="C28" s="640"/>
      <c r="D28" s="640"/>
      <c r="E28" s="640"/>
      <c r="F28" s="640"/>
      <c r="G28" s="640"/>
      <c r="H28" s="648"/>
      <c r="I28" s="648"/>
      <c r="J28" s="631"/>
      <c r="K28" s="631"/>
      <c r="Q28" s="631"/>
      <c r="R28" s="631"/>
      <c r="S28" s="764"/>
      <c r="T28" s="764"/>
      <c r="U28" s="764"/>
      <c r="V28" s="765"/>
      <c r="W28" s="761"/>
      <c r="X28" s="761"/>
      <c r="Y28" s="761"/>
      <c r="Z28" s="761"/>
      <c r="AA28" s="761"/>
      <c r="AB28" s="761"/>
      <c r="AC28" s="761"/>
      <c r="AD28" s="761"/>
      <c r="AE28" s="761"/>
      <c r="AF28" s="761"/>
      <c r="AG28" s="761"/>
      <c r="AH28" s="761"/>
      <c r="AI28" s="761"/>
      <c r="AJ28" s="761"/>
      <c r="AK28" s="761"/>
      <c r="AL28" s="761"/>
      <c r="AM28" s="761"/>
      <c r="AN28" s="761"/>
      <c r="AO28" s="761"/>
      <c r="AP28" s="761"/>
      <c r="AQ28" s="761"/>
      <c r="AR28" s="761"/>
      <c r="AS28" s="761"/>
      <c r="AT28" s="761"/>
      <c r="AU28" s="761"/>
      <c r="AV28" s="761"/>
      <c r="AW28" s="761"/>
      <c r="AX28" s="761"/>
      <c r="AY28" s="761"/>
      <c r="AZ28" s="761"/>
      <c r="BA28" s="761"/>
      <c r="BB28" s="761"/>
      <c r="BC28" s="761"/>
      <c r="BD28" s="761"/>
      <c r="BE28" s="761"/>
      <c r="BF28" s="761"/>
      <c r="BG28" s="761"/>
      <c r="BH28" s="761"/>
      <c r="BI28" s="761"/>
      <c r="BJ28" s="761"/>
      <c r="BK28" s="761"/>
      <c r="BL28" s="761"/>
      <c r="BM28" s="761"/>
      <c r="BN28" s="761"/>
      <c r="BO28" s="761"/>
      <c r="BP28" s="761"/>
      <c r="BQ28" s="761"/>
    </row>
    <row r="29" spans="1:69" ht="15.75">
      <c r="A29" s="769">
        <v>4</v>
      </c>
      <c r="C29" s="645" t="s">
        <v>792</v>
      </c>
      <c r="D29" s="645"/>
      <c r="E29" s="645"/>
      <c r="F29" s="645"/>
      <c r="G29" s="640"/>
      <c r="H29" s="648" t="s">
        <v>793</v>
      </c>
      <c r="I29" s="648"/>
      <c r="J29" s="652">
        <f>IF(J27=0,0,J27/J19)</f>
        <v>4.6310738093877528E-2</v>
      </c>
      <c r="K29" s="652"/>
      <c r="L29" s="774">
        <f>J29</f>
        <v>4.6310738093877528E-2</v>
      </c>
      <c r="Q29" s="631"/>
      <c r="R29" s="631"/>
      <c r="S29" s="764"/>
      <c r="T29" s="764"/>
      <c r="U29" s="764"/>
      <c r="V29" s="765"/>
      <c r="W29" s="761"/>
      <c r="X29" s="761"/>
      <c r="Y29" s="761"/>
      <c r="Z29" s="761"/>
      <c r="AA29" s="761"/>
      <c r="AB29" s="761"/>
      <c r="AC29" s="761"/>
      <c r="AD29" s="761"/>
      <c r="AE29" s="761"/>
      <c r="AF29" s="761"/>
      <c r="AG29" s="761"/>
      <c r="AH29" s="761"/>
      <c r="AI29" s="761"/>
      <c r="AJ29" s="761"/>
      <c r="AK29" s="761"/>
      <c r="AL29" s="761"/>
      <c r="AM29" s="761"/>
      <c r="AN29" s="761"/>
      <c r="AO29" s="761"/>
      <c r="AP29" s="761"/>
      <c r="AQ29" s="761"/>
      <c r="AR29" s="761"/>
      <c r="AS29" s="761"/>
      <c r="AT29" s="761"/>
      <c r="AU29" s="761"/>
      <c r="AV29" s="761"/>
      <c r="AW29" s="761"/>
      <c r="AX29" s="761"/>
      <c r="AY29" s="761"/>
      <c r="AZ29" s="761"/>
      <c r="BA29" s="761"/>
      <c r="BB29" s="761"/>
      <c r="BC29" s="761"/>
      <c r="BD29" s="761"/>
      <c r="BE29" s="761"/>
      <c r="BF29" s="761"/>
      <c r="BG29" s="761"/>
      <c r="BH29" s="761"/>
      <c r="BI29" s="761"/>
      <c r="BJ29" s="761"/>
      <c r="BK29" s="761"/>
      <c r="BL29" s="761"/>
      <c r="BM29" s="761"/>
      <c r="BN29" s="761"/>
      <c r="BO29" s="761"/>
      <c r="BP29" s="761"/>
      <c r="BQ29" s="761"/>
    </row>
    <row r="30" spans="1:69" ht="15">
      <c r="A30" s="769"/>
      <c r="C30" s="640"/>
      <c r="D30" s="640"/>
      <c r="E30" s="640"/>
      <c r="F30" s="640"/>
      <c r="G30" s="640"/>
      <c r="H30" s="648"/>
      <c r="I30" s="648"/>
      <c r="J30" s="631"/>
      <c r="K30" s="631"/>
      <c r="Q30" s="631"/>
      <c r="R30" s="631"/>
      <c r="S30" s="764"/>
      <c r="T30" s="764"/>
      <c r="U30" s="764"/>
      <c r="V30" s="765"/>
      <c r="W30" s="761"/>
      <c r="X30" s="761"/>
      <c r="Y30" s="761"/>
      <c r="Z30" s="761"/>
      <c r="AA30" s="761"/>
      <c r="AB30" s="761"/>
      <c r="AC30" s="761"/>
      <c r="AD30" s="761"/>
      <c r="AE30" s="761"/>
      <c r="AF30" s="761"/>
      <c r="AG30" s="761"/>
      <c r="AH30" s="761"/>
      <c r="AI30" s="761"/>
      <c r="AJ30" s="761"/>
      <c r="AK30" s="761"/>
      <c r="AL30" s="761"/>
      <c r="AM30" s="761"/>
      <c r="AN30" s="761"/>
      <c r="AO30" s="761"/>
      <c r="AP30" s="761"/>
      <c r="AQ30" s="761"/>
      <c r="AR30" s="761"/>
      <c r="AS30" s="761"/>
      <c r="AT30" s="761"/>
      <c r="AU30" s="761"/>
      <c r="AV30" s="761"/>
      <c r="AW30" s="761"/>
      <c r="AX30" s="761"/>
      <c r="AY30" s="761"/>
      <c r="AZ30" s="761"/>
      <c r="BA30" s="761"/>
      <c r="BB30" s="761"/>
      <c r="BC30" s="761"/>
      <c r="BD30" s="761"/>
      <c r="BE30" s="761"/>
      <c r="BF30" s="761"/>
      <c r="BG30" s="761"/>
      <c r="BH30" s="761"/>
      <c r="BI30" s="761"/>
      <c r="BJ30" s="761"/>
      <c r="BK30" s="761"/>
      <c r="BL30" s="761"/>
      <c r="BM30" s="761"/>
      <c r="BN30" s="761"/>
      <c r="BO30" s="761"/>
      <c r="BP30" s="761"/>
      <c r="BQ30" s="761"/>
    </row>
    <row r="31" spans="1:69" ht="15">
      <c r="A31" s="769"/>
      <c r="C31" s="640"/>
      <c r="D31" s="640"/>
      <c r="E31" s="640"/>
      <c r="F31" s="640"/>
      <c r="G31" s="640"/>
      <c r="H31" s="648"/>
      <c r="I31" s="648"/>
      <c r="J31" s="631"/>
      <c r="K31" s="631"/>
      <c r="Q31" s="631"/>
      <c r="R31" s="631"/>
      <c r="S31" s="764"/>
      <c r="T31" s="764"/>
      <c r="U31" s="764"/>
      <c r="V31" s="765"/>
      <c r="W31" s="761"/>
      <c r="X31" s="761"/>
      <c r="Y31" s="761"/>
      <c r="Z31" s="761"/>
      <c r="AA31" s="761"/>
      <c r="AB31" s="761"/>
      <c r="AC31" s="761"/>
      <c r="AD31" s="761"/>
      <c r="AE31" s="761"/>
      <c r="AF31" s="761"/>
      <c r="AG31" s="761"/>
      <c r="AH31" s="761"/>
      <c r="AI31" s="761"/>
      <c r="AJ31" s="761"/>
      <c r="AK31" s="761"/>
      <c r="AL31" s="761"/>
      <c r="AM31" s="761"/>
      <c r="AN31" s="761"/>
      <c r="AO31" s="761"/>
      <c r="AP31" s="761"/>
      <c r="AQ31" s="761"/>
      <c r="AR31" s="761"/>
      <c r="AS31" s="761"/>
      <c r="AT31" s="761"/>
      <c r="AU31" s="761"/>
      <c r="AV31" s="761"/>
      <c r="AW31" s="761"/>
      <c r="AX31" s="761"/>
      <c r="AY31" s="761"/>
      <c r="AZ31" s="761"/>
      <c r="BA31" s="761"/>
      <c r="BB31" s="761"/>
      <c r="BC31" s="761"/>
      <c r="BD31" s="761"/>
      <c r="BE31" s="761"/>
      <c r="BF31" s="761"/>
      <c r="BG31" s="761"/>
      <c r="BH31" s="761"/>
      <c r="BI31" s="761"/>
      <c r="BJ31" s="761"/>
      <c r="BK31" s="761"/>
      <c r="BL31" s="761"/>
      <c r="BM31" s="761"/>
      <c r="BN31" s="761"/>
      <c r="BO31" s="761"/>
      <c r="BP31" s="761"/>
      <c r="BQ31" s="761"/>
    </row>
    <row r="32" spans="1:69" ht="15.75">
      <c r="A32" s="769"/>
      <c r="C32" s="640" t="s">
        <v>794</v>
      </c>
      <c r="D32" s="640"/>
      <c r="E32" s="640"/>
      <c r="F32" s="640"/>
      <c r="G32" s="640"/>
      <c r="H32" s="648"/>
      <c r="I32" s="648"/>
      <c r="J32" s="650"/>
      <c r="K32" s="650"/>
      <c r="L32" s="775"/>
      <c r="Q32" s="631"/>
      <c r="R32" s="652"/>
      <c r="S32" s="776"/>
      <c r="T32" s="654"/>
      <c r="U32" s="764"/>
      <c r="V32" s="765"/>
      <c r="W32" s="761"/>
      <c r="X32" s="761"/>
      <c r="Y32" s="761"/>
      <c r="Z32" s="761"/>
      <c r="AA32" s="761"/>
      <c r="AB32" s="761"/>
      <c r="AC32" s="761"/>
      <c r="AD32" s="761"/>
      <c r="AE32" s="761"/>
      <c r="AF32" s="761"/>
      <c r="AG32" s="761"/>
      <c r="AH32" s="761"/>
      <c r="AI32" s="761"/>
      <c r="AJ32" s="761"/>
      <c r="AK32" s="761"/>
      <c r="AL32" s="761"/>
      <c r="AM32" s="761"/>
      <c r="AN32" s="761"/>
      <c r="AO32" s="761"/>
      <c r="AP32" s="761"/>
      <c r="AQ32" s="761"/>
      <c r="AR32" s="761"/>
      <c r="AS32" s="761"/>
      <c r="AT32" s="761"/>
      <c r="AU32" s="761"/>
      <c r="AV32" s="761"/>
      <c r="AW32" s="761"/>
      <c r="AX32" s="761"/>
      <c r="AY32" s="761"/>
      <c r="AZ32" s="761"/>
      <c r="BA32" s="761"/>
      <c r="BB32" s="761"/>
      <c r="BC32" s="761"/>
      <c r="BD32" s="761"/>
      <c r="BE32" s="761"/>
      <c r="BF32" s="761"/>
      <c r="BG32" s="761"/>
      <c r="BH32" s="761"/>
      <c r="BI32" s="761"/>
      <c r="BJ32" s="761"/>
      <c r="BK32" s="761"/>
      <c r="BL32" s="761"/>
      <c r="BM32" s="761"/>
      <c r="BN32" s="761"/>
      <c r="BO32" s="761"/>
      <c r="BP32" s="761"/>
      <c r="BQ32" s="761"/>
    </row>
    <row r="33" spans="1:69" ht="15.75">
      <c r="A33" s="769" t="s">
        <v>795</v>
      </c>
      <c r="C33" s="640" t="s">
        <v>796</v>
      </c>
      <c r="D33" s="640"/>
      <c r="E33" s="640"/>
      <c r="F33" s="640"/>
      <c r="G33" s="640"/>
      <c r="H33" s="648" t="s">
        <v>797</v>
      </c>
      <c r="I33" s="648"/>
      <c r="J33" s="687">
        <f>J23-J27</f>
        <v>22287715.65511401</v>
      </c>
      <c r="K33" s="650"/>
      <c r="L33" s="775"/>
      <c r="Q33" s="631"/>
      <c r="R33" s="652"/>
      <c r="S33" s="776"/>
      <c r="T33" s="654"/>
      <c r="U33" s="764"/>
      <c r="V33" s="765"/>
      <c r="W33" s="761"/>
      <c r="X33" s="761"/>
      <c r="Y33" s="761"/>
      <c r="Z33" s="761"/>
      <c r="AA33" s="761"/>
      <c r="AB33" s="761"/>
      <c r="AC33" s="761"/>
      <c r="AD33" s="761"/>
      <c r="AE33" s="761"/>
      <c r="AF33" s="761"/>
      <c r="AG33" s="761"/>
      <c r="AH33" s="761"/>
      <c r="AI33" s="761"/>
      <c r="AJ33" s="761"/>
      <c r="AK33" s="761"/>
      <c r="AL33" s="761"/>
      <c r="AM33" s="761"/>
      <c r="AN33" s="761"/>
      <c r="AO33" s="761"/>
      <c r="AP33" s="761"/>
      <c r="AQ33" s="761"/>
      <c r="AR33" s="761"/>
      <c r="AS33" s="761"/>
      <c r="AT33" s="761"/>
      <c r="AU33" s="761"/>
      <c r="AV33" s="761"/>
      <c r="AW33" s="761"/>
      <c r="AX33" s="761"/>
      <c r="AY33" s="761"/>
      <c r="AZ33" s="761"/>
      <c r="BA33" s="761"/>
      <c r="BB33" s="761"/>
      <c r="BC33" s="761"/>
      <c r="BD33" s="761"/>
      <c r="BE33" s="761"/>
      <c r="BF33" s="761"/>
      <c r="BG33" s="761"/>
      <c r="BH33" s="761"/>
      <c r="BI33" s="761"/>
      <c r="BJ33" s="761"/>
      <c r="BK33" s="761"/>
      <c r="BL33" s="761"/>
      <c r="BM33" s="761"/>
      <c r="BN33" s="761"/>
      <c r="BO33" s="761"/>
      <c r="BP33" s="761"/>
      <c r="BQ33" s="761"/>
    </row>
    <row r="34" spans="1:69" ht="15.75">
      <c r="A34" s="769" t="s">
        <v>798</v>
      </c>
      <c r="C34" s="640" t="s">
        <v>799</v>
      </c>
      <c r="D34" s="640"/>
      <c r="E34" s="640"/>
      <c r="F34" s="640"/>
      <c r="G34" s="640"/>
      <c r="H34" s="648" t="s">
        <v>800</v>
      </c>
      <c r="I34" s="648"/>
      <c r="J34" s="650">
        <f>IF(J33=0,0,J33/J18)</f>
        <v>4.8947295383044249E-3</v>
      </c>
      <c r="K34" s="650"/>
      <c r="L34" s="775">
        <f>J34</f>
        <v>4.8947295383044249E-3</v>
      </c>
      <c r="Q34" s="631"/>
      <c r="R34" s="652"/>
      <c r="S34" s="776"/>
      <c r="T34" s="654"/>
      <c r="U34" s="764"/>
      <c r="V34" s="765"/>
      <c r="W34" s="761"/>
      <c r="X34" s="761"/>
      <c r="Y34" s="761"/>
      <c r="Z34" s="761"/>
      <c r="AA34" s="761"/>
      <c r="AB34" s="761"/>
      <c r="AC34" s="761"/>
      <c r="AD34" s="761"/>
      <c r="AE34" s="761"/>
      <c r="AF34" s="761"/>
      <c r="AG34" s="761"/>
      <c r="AH34" s="761"/>
      <c r="AI34" s="761"/>
      <c r="AJ34" s="761"/>
      <c r="AK34" s="761"/>
      <c r="AL34" s="761"/>
      <c r="AM34" s="761"/>
      <c r="AN34" s="761"/>
      <c r="AO34" s="761"/>
      <c r="AP34" s="761"/>
      <c r="AQ34" s="761"/>
      <c r="AR34" s="761"/>
      <c r="AS34" s="761"/>
      <c r="AT34" s="761"/>
      <c r="AU34" s="761"/>
      <c r="AV34" s="761"/>
      <c r="AW34" s="761"/>
      <c r="AX34" s="761"/>
      <c r="AY34" s="761"/>
      <c r="AZ34" s="761"/>
      <c r="BA34" s="761"/>
      <c r="BB34" s="761"/>
      <c r="BC34" s="761"/>
      <c r="BD34" s="761"/>
      <c r="BE34" s="761"/>
      <c r="BF34" s="761"/>
      <c r="BG34" s="761"/>
      <c r="BH34" s="761"/>
      <c r="BI34" s="761"/>
      <c r="BJ34" s="761"/>
      <c r="BK34" s="761"/>
      <c r="BL34" s="761"/>
      <c r="BM34" s="761"/>
      <c r="BN34" s="761"/>
      <c r="BO34" s="761"/>
      <c r="BP34" s="761"/>
      <c r="BQ34" s="761"/>
    </row>
    <row r="35" spans="1:69" ht="15.75">
      <c r="A35" s="769"/>
      <c r="C35" s="640"/>
      <c r="D35" s="640"/>
      <c r="E35" s="640"/>
      <c r="F35" s="640"/>
      <c r="G35" s="640"/>
      <c r="H35" s="648"/>
      <c r="I35" s="648"/>
      <c r="J35" s="650"/>
      <c r="K35" s="650"/>
      <c r="L35" s="775"/>
      <c r="Q35" s="631"/>
      <c r="R35" s="652"/>
      <c r="S35" s="776"/>
      <c r="T35" s="654"/>
      <c r="U35" s="764"/>
      <c r="V35" s="765"/>
      <c r="W35" s="761"/>
      <c r="X35" s="761"/>
      <c r="Y35" s="761"/>
      <c r="Z35" s="761"/>
      <c r="AA35" s="761"/>
      <c r="AB35" s="761"/>
      <c r="AC35" s="761"/>
      <c r="AD35" s="761"/>
      <c r="AE35" s="761"/>
      <c r="AF35" s="761"/>
      <c r="AG35" s="761"/>
      <c r="AH35" s="761"/>
      <c r="AI35" s="761"/>
      <c r="AJ35" s="761"/>
      <c r="AK35" s="761"/>
      <c r="AL35" s="761"/>
      <c r="AM35" s="761"/>
      <c r="AN35" s="761"/>
      <c r="AO35" s="761"/>
      <c r="AP35" s="761"/>
      <c r="AQ35" s="761"/>
      <c r="AR35" s="761"/>
      <c r="AS35" s="761"/>
      <c r="AT35" s="761"/>
      <c r="AU35" s="761"/>
      <c r="AV35" s="761"/>
      <c r="AW35" s="761"/>
      <c r="AX35" s="761"/>
      <c r="AY35" s="761"/>
      <c r="AZ35" s="761"/>
      <c r="BA35" s="761"/>
      <c r="BB35" s="761"/>
      <c r="BC35" s="761"/>
      <c r="BD35" s="761"/>
      <c r="BE35" s="761"/>
      <c r="BF35" s="761"/>
      <c r="BG35" s="761"/>
      <c r="BH35" s="761"/>
      <c r="BI35" s="761"/>
      <c r="BJ35" s="761"/>
      <c r="BK35" s="761"/>
      <c r="BL35" s="761"/>
      <c r="BM35" s="761"/>
      <c r="BN35" s="761"/>
      <c r="BO35" s="761"/>
      <c r="BP35" s="761"/>
      <c r="BQ35" s="761"/>
    </row>
    <row r="36" spans="1:69" ht="15.75">
      <c r="A36" s="777"/>
      <c r="B36" s="761"/>
      <c r="C36" s="640" t="s">
        <v>632</v>
      </c>
      <c r="D36" s="640"/>
      <c r="E36" s="640"/>
      <c r="F36" s="640"/>
      <c r="G36" s="640"/>
      <c r="H36" s="655"/>
      <c r="I36" s="655"/>
      <c r="J36" s="631"/>
      <c r="K36" s="631"/>
      <c r="L36" s="631"/>
      <c r="N36" s="761"/>
      <c r="O36" s="761"/>
      <c r="Q36" s="631"/>
      <c r="R36" s="652"/>
      <c r="S36" s="776"/>
      <c r="T36" s="654"/>
      <c r="U36" s="764"/>
      <c r="V36" s="765"/>
      <c r="W36" s="761"/>
      <c r="X36" s="761"/>
      <c r="Y36" s="761"/>
      <c r="Z36" s="761"/>
      <c r="AA36" s="761"/>
      <c r="AB36" s="761"/>
      <c r="AC36" s="761"/>
      <c r="AD36" s="761"/>
      <c r="AE36" s="761"/>
      <c r="AF36" s="761"/>
      <c r="AG36" s="761"/>
      <c r="AH36" s="761"/>
      <c r="AI36" s="761"/>
      <c r="AJ36" s="761"/>
      <c r="AK36" s="761"/>
      <c r="AL36" s="761"/>
      <c r="AM36" s="761"/>
      <c r="AN36" s="761"/>
      <c r="AO36" s="761"/>
      <c r="AP36" s="761"/>
      <c r="AQ36" s="761"/>
      <c r="AR36" s="761"/>
      <c r="AS36" s="761"/>
      <c r="AT36" s="761"/>
      <c r="AU36" s="761"/>
      <c r="AV36" s="761"/>
      <c r="AW36" s="761"/>
      <c r="AX36" s="761"/>
      <c r="AY36" s="761"/>
      <c r="AZ36" s="761"/>
      <c r="BA36" s="761"/>
      <c r="BB36" s="761"/>
      <c r="BC36" s="761"/>
      <c r="BD36" s="761"/>
      <c r="BE36" s="761"/>
      <c r="BF36" s="761"/>
      <c r="BG36" s="761"/>
      <c r="BH36" s="761"/>
      <c r="BI36" s="761"/>
      <c r="BJ36" s="761"/>
      <c r="BK36" s="761"/>
      <c r="BL36" s="761"/>
      <c r="BM36" s="761"/>
      <c r="BN36" s="761"/>
      <c r="BO36" s="761"/>
      <c r="BP36" s="761"/>
      <c r="BQ36" s="761"/>
    </row>
    <row r="37" spans="1:69" ht="15.75">
      <c r="A37" s="777" t="s">
        <v>633</v>
      </c>
      <c r="B37" s="761"/>
      <c r="C37" s="640" t="s">
        <v>634</v>
      </c>
      <c r="D37" s="640"/>
      <c r="E37" s="640"/>
      <c r="F37" s="640"/>
      <c r="G37" s="640"/>
      <c r="H37" s="648" t="s">
        <v>635</v>
      </c>
      <c r="I37" s="648"/>
      <c r="J37" s="770">
        <f>'Attachment O'!I173+'Attachment O'!I174</f>
        <v>9471325.2991463318</v>
      </c>
      <c r="K37" s="631"/>
      <c r="L37" s="761"/>
      <c r="N37" s="761"/>
      <c r="O37" s="761"/>
      <c r="Q37" s="631"/>
      <c r="R37" s="652"/>
      <c r="S37" s="776"/>
      <c r="T37" s="654"/>
      <c r="U37" s="764"/>
      <c r="V37" s="765"/>
      <c r="W37" s="761"/>
      <c r="X37" s="761"/>
      <c r="Y37" s="761"/>
      <c r="Z37" s="761"/>
      <c r="AA37" s="761"/>
      <c r="AB37" s="761"/>
      <c r="AC37" s="761"/>
      <c r="AD37" s="761"/>
      <c r="AE37" s="761"/>
      <c r="AF37" s="761"/>
      <c r="AG37" s="761"/>
      <c r="AH37" s="761"/>
      <c r="AI37" s="761"/>
      <c r="AJ37" s="761"/>
      <c r="AK37" s="761"/>
      <c r="AL37" s="761"/>
      <c r="AM37" s="761"/>
      <c r="AN37" s="761"/>
      <c r="AO37" s="761"/>
      <c r="AP37" s="761"/>
      <c r="AQ37" s="761"/>
      <c r="AR37" s="761"/>
      <c r="AS37" s="761"/>
      <c r="AT37" s="761"/>
      <c r="AU37" s="761"/>
      <c r="AV37" s="761"/>
      <c r="AW37" s="761"/>
      <c r="AX37" s="761"/>
      <c r="AY37" s="761"/>
      <c r="AZ37" s="761"/>
      <c r="BA37" s="761"/>
      <c r="BB37" s="761"/>
      <c r="BC37" s="761"/>
      <c r="BD37" s="761"/>
      <c r="BE37" s="761"/>
      <c r="BF37" s="761"/>
      <c r="BG37" s="761"/>
      <c r="BH37" s="761"/>
      <c r="BI37" s="761"/>
      <c r="BJ37" s="761"/>
      <c r="BK37" s="761"/>
      <c r="BL37" s="761"/>
      <c r="BM37" s="761"/>
      <c r="BN37" s="761"/>
      <c r="BO37" s="761"/>
      <c r="BP37" s="761"/>
      <c r="BQ37" s="761"/>
    </row>
    <row r="38" spans="1:69" ht="15.75">
      <c r="A38" s="777" t="s">
        <v>636</v>
      </c>
      <c r="B38" s="761"/>
      <c r="C38" s="640" t="s">
        <v>637</v>
      </c>
      <c r="D38" s="640"/>
      <c r="E38" s="640"/>
      <c r="F38" s="640"/>
      <c r="G38" s="640"/>
      <c r="H38" s="648" t="s">
        <v>638</v>
      </c>
      <c r="I38" s="648"/>
      <c r="J38" s="650">
        <f>IF(J37=0,0,J37/J18)</f>
        <v>2.0800505725217353E-3</v>
      </c>
      <c r="K38" s="650"/>
      <c r="L38" s="775">
        <f>J38</f>
        <v>2.0800505725217353E-3</v>
      </c>
      <c r="N38" s="761"/>
      <c r="O38" s="761"/>
      <c r="Q38" s="631"/>
      <c r="R38" s="652"/>
      <c r="S38" s="776"/>
      <c r="T38" s="654"/>
      <c r="U38" s="764"/>
      <c r="V38" s="765"/>
      <c r="W38" s="761"/>
      <c r="X38" s="761"/>
      <c r="Y38" s="761"/>
      <c r="Z38" s="761"/>
      <c r="AA38" s="761"/>
      <c r="AB38" s="761"/>
      <c r="AC38" s="761"/>
      <c r="AD38" s="761"/>
      <c r="AE38" s="761"/>
      <c r="AF38" s="761"/>
      <c r="AG38" s="761"/>
      <c r="AH38" s="761"/>
      <c r="AI38" s="761"/>
      <c r="AJ38" s="761"/>
      <c r="AK38" s="761"/>
      <c r="AL38" s="761"/>
      <c r="AM38" s="761"/>
      <c r="AN38" s="761"/>
      <c r="AO38" s="761"/>
      <c r="AP38" s="761"/>
      <c r="AQ38" s="761"/>
      <c r="AR38" s="761"/>
      <c r="AS38" s="761"/>
      <c r="AT38" s="761"/>
      <c r="AU38" s="761"/>
      <c r="AV38" s="761"/>
      <c r="AW38" s="761"/>
      <c r="AX38" s="761"/>
      <c r="AY38" s="761"/>
      <c r="AZ38" s="761"/>
      <c r="BA38" s="761"/>
      <c r="BB38" s="761"/>
      <c r="BC38" s="761"/>
      <c r="BD38" s="761"/>
      <c r="BE38" s="761"/>
      <c r="BF38" s="761"/>
      <c r="BG38" s="761"/>
      <c r="BH38" s="761"/>
      <c r="BI38" s="761"/>
      <c r="BJ38" s="761"/>
      <c r="BK38" s="761"/>
      <c r="BL38" s="761"/>
      <c r="BM38" s="761"/>
      <c r="BN38" s="761"/>
      <c r="BO38" s="761"/>
      <c r="BP38" s="761"/>
      <c r="BQ38" s="761"/>
    </row>
    <row r="39" spans="1:69" ht="15.75">
      <c r="A39" s="769"/>
      <c r="C39" s="640"/>
      <c r="D39" s="640"/>
      <c r="E39" s="640"/>
      <c r="F39" s="640"/>
      <c r="G39" s="640"/>
      <c r="H39" s="648"/>
      <c r="I39" s="648"/>
      <c r="J39" s="650"/>
      <c r="K39" s="650"/>
      <c r="L39" s="775"/>
      <c r="Q39" s="631"/>
      <c r="R39" s="652"/>
      <c r="S39" s="776"/>
      <c r="T39" s="654"/>
      <c r="U39" s="764"/>
      <c r="V39" s="765"/>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1"/>
      <c r="AS39" s="761"/>
      <c r="AT39" s="761"/>
      <c r="AU39" s="761"/>
      <c r="AV39" s="761"/>
      <c r="AW39" s="761"/>
      <c r="AX39" s="761"/>
      <c r="AY39" s="761"/>
      <c r="AZ39" s="761"/>
      <c r="BA39" s="761"/>
      <c r="BB39" s="761"/>
      <c r="BC39" s="761"/>
      <c r="BD39" s="761"/>
      <c r="BE39" s="761"/>
      <c r="BF39" s="761"/>
      <c r="BG39" s="761"/>
      <c r="BH39" s="761"/>
      <c r="BI39" s="761"/>
      <c r="BJ39" s="761"/>
      <c r="BK39" s="761"/>
      <c r="BL39" s="761"/>
      <c r="BM39" s="761"/>
      <c r="BN39" s="761"/>
      <c r="BO39" s="761"/>
      <c r="BP39" s="761"/>
      <c r="BQ39" s="761"/>
    </row>
    <row r="40" spans="1:69" ht="15">
      <c r="A40" s="778"/>
      <c r="C40" s="640" t="s">
        <v>639</v>
      </c>
      <c r="D40" s="640"/>
      <c r="E40" s="640"/>
      <c r="F40" s="640"/>
      <c r="G40" s="640"/>
      <c r="H40" s="655"/>
      <c r="I40" s="655"/>
      <c r="J40" s="631"/>
      <c r="K40" s="631"/>
      <c r="L40" s="631"/>
      <c r="Q40" s="631"/>
      <c r="R40" s="631"/>
      <c r="S40" s="764"/>
      <c r="T40" s="631"/>
      <c r="U40" s="764"/>
      <c r="V40" s="765"/>
      <c r="W40" s="761"/>
      <c r="X40" s="761"/>
      <c r="Y40" s="761"/>
      <c r="Z40" s="761"/>
      <c r="AA40" s="761"/>
      <c r="AB40" s="761"/>
      <c r="AC40" s="761"/>
      <c r="AD40" s="761"/>
      <c r="AE40" s="761"/>
      <c r="AF40" s="761"/>
      <c r="AG40" s="761"/>
      <c r="AH40" s="761"/>
      <c r="AI40" s="761"/>
      <c r="AJ40" s="761"/>
      <c r="AK40" s="761"/>
      <c r="AL40" s="761"/>
      <c r="AM40" s="761"/>
      <c r="AN40" s="761"/>
      <c r="AO40" s="761"/>
      <c r="AP40" s="761"/>
      <c r="AQ40" s="761"/>
      <c r="AR40" s="761"/>
      <c r="AS40" s="761"/>
      <c r="AT40" s="761"/>
      <c r="AU40" s="761"/>
      <c r="AV40" s="761"/>
      <c r="AW40" s="761"/>
      <c r="AX40" s="761"/>
      <c r="AY40" s="761"/>
      <c r="AZ40" s="761"/>
      <c r="BA40" s="761"/>
      <c r="BB40" s="761"/>
      <c r="BC40" s="761"/>
      <c r="BD40" s="761"/>
      <c r="BE40" s="761"/>
      <c r="BF40" s="761"/>
      <c r="BG40" s="761"/>
      <c r="BH40" s="761"/>
      <c r="BI40" s="761"/>
      <c r="BJ40" s="761"/>
      <c r="BK40" s="761"/>
      <c r="BL40" s="761"/>
      <c r="BM40" s="761"/>
      <c r="BN40" s="761"/>
      <c r="BO40" s="761"/>
      <c r="BP40" s="761"/>
      <c r="BQ40" s="761"/>
    </row>
    <row r="41" spans="1:69" ht="15.75">
      <c r="A41" s="778" t="s">
        <v>640</v>
      </c>
      <c r="C41" s="640" t="s">
        <v>641</v>
      </c>
      <c r="D41" s="640"/>
      <c r="E41" s="640"/>
      <c r="F41" s="640"/>
      <c r="G41" s="640"/>
      <c r="H41" s="648" t="s">
        <v>642</v>
      </c>
      <c r="I41" s="648"/>
      <c r="J41" s="770">
        <f>'Attachment O'!I186</f>
        <v>52484466.541552387</v>
      </c>
      <c r="K41" s="631"/>
      <c r="Q41" s="631"/>
      <c r="R41" s="644"/>
      <c r="S41" s="764"/>
      <c r="T41" s="779"/>
      <c r="U41" s="766"/>
      <c r="V41" s="765"/>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761"/>
      <c r="AT41" s="761"/>
      <c r="AU41" s="761"/>
      <c r="AV41" s="761"/>
      <c r="AW41" s="761"/>
      <c r="AX41" s="761"/>
      <c r="AY41" s="761"/>
      <c r="AZ41" s="761"/>
      <c r="BA41" s="761"/>
      <c r="BB41" s="761"/>
      <c r="BC41" s="761"/>
      <c r="BD41" s="761"/>
      <c r="BE41" s="761"/>
      <c r="BF41" s="761"/>
      <c r="BG41" s="761"/>
      <c r="BH41" s="761"/>
      <c r="BI41" s="761"/>
      <c r="BJ41" s="761"/>
      <c r="BK41" s="761"/>
      <c r="BL41" s="761"/>
      <c r="BM41" s="761"/>
      <c r="BN41" s="761"/>
      <c r="BO41" s="761"/>
      <c r="BP41" s="761"/>
      <c r="BQ41" s="761"/>
    </row>
    <row r="42" spans="1:69" ht="15.75">
      <c r="A42" s="778" t="s">
        <v>643</v>
      </c>
      <c r="C42" s="640" t="s">
        <v>644</v>
      </c>
      <c r="D42" s="640"/>
      <c r="E42" s="640"/>
      <c r="F42" s="640"/>
      <c r="G42" s="640"/>
      <c r="H42" s="648" t="s">
        <v>645</v>
      </c>
      <c r="I42" s="648"/>
      <c r="J42" s="650">
        <f>IF(J41=0,0,J41/J18)</f>
        <v>1.1526406414115418E-2</v>
      </c>
      <c r="K42" s="650"/>
      <c r="L42" s="775">
        <f>J42</f>
        <v>1.1526406414115418E-2</v>
      </c>
      <c r="Q42" s="631"/>
      <c r="R42" s="652"/>
      <c r="S42" s="764"/>
      <c r="T42" s="654"/>
      <c r="U42" s="766"/>
      <c r="V42" s="765"/>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S42" s="761"/>
      <c r="AT42" s="761"/>
      <c r="AU42" s="761"/>
      <c r="AV42" s="761"/>
      <c r="AW42" s="761"/>
      <c r="AX42" s="761"/>
      <c r="AY42" s="761"/>
      <c r="AZ42" s="761"/>
      <c r="BA42" s="761"/>
      <c r="BB42" s="761"/>
      <c r="BC42" s="761"/>
      <c r="BD42" s="761"/>
      <c r="BE42" s="761"/>
      <c r="BF42" s="761"/>
      <c r="BG42" s="761"/>
      <c r="BH42" s="761"/>
      <c r="BI42" s="761"/>
      <c r="BJ42" s="761"/>
      <c r="BK42" s="761"/>
      <c r="BL42" s="761"/>
      <c r="BM42" s="761"/>
      <c r="BN42" s="761"/>
      <c r="BO42" s="761"/>
      <c r="BP42" s="761"/>
      <c r="BQ42" s="761"/>
    </row>
    <row r="43" spans="1:69" ht="15">
      <c r="A43" s="778"/>
      <c r="C43" s="640"/>
      <c r="D43" s="640"/>
      <c r="E43" s="640"/>
      <c r="F43" s="640"/>
      <c r="G43" s="640"/>
      <c r="H43" s="648"/>
      <c r="I43" s="648"/>
      <c r="J43" s="631"/>
      <c r="K43" s="631"/>
      <c r="L43" s="631"/>
      <c r="Q43" s="631"/>
      <c r="U43" s="764"/>
      <c r="V43" s="765"/>
      <c r="W43" s="761"/>
      <c r="X43" s="761"/>
      <c r="Y43" s="761"/>
      <c r="Z43" s="761"/>
      <c r="AA43" s="761"/>
      <c r="AB43" s="761"/>
      <c r="AC43" s="761"/>
      <c r="AD43" s="761"/>
      <c r="AE43" s="761"/>
      <c r="AF43" s="761"/>
      <c r="AG43" s="761"/>
      <c r="AH43" s="761"/>
      <c r="AI43" s="761"/>
      <c r="AJ43" s="761"/>
      <c r="AK43" s="761"/>
      <c r="AL43" s="761"/>
      <c r="AM43" s="761"/>
      <c r="AN43" s="761"/>
      <c r="AO43" s="761"/>
      <c r="AP43" s="761"/>
      <c r="AQ43" s="761"/>
      <c r="AR43" s="761"/>
      <c r="AS43" s="761"/>
      <c r="AT43" s="761"/>
      <c r="AU43" s="761"/>
      <c r="AV43" s="761"/>
      <c r="AW43" s="761"/>
      <c r="AX43" s="761"/>
      <c r="AY43" s="761"/>
      <c r="AZ43" s="761"/>
      <c r="BA43" s="761"/>
      <c r="BB43" s="761"/>
      <c r="BC43" s="761"/>
      <c r="BD43" s="761"/>
      <c r="BE43" s="761"/>
      <c r="BF43" s="761"/>
      <c r="BG43" s="761"/>
      <c r="BH43" s="761"/>
      <c r="BI43" s="761"/>
      <c r="BJ43" s="761"/>
      <c r="BK43" s="761"/>
      <c r="BL43" s="761"/>
      <c r="BM43" s="761"/>
      <c r="BN43" s="761"/>
      <c r="BO43" s="761"/>
      <c r="BP43" s="761"/>
      <c r="BQ43" s="761"/>
    </row>
    <row r="44" spans="1:69" ht="15.75">
      <c r="A44" s="780" t="s">
        <v>646</v>
      </c>
      <c r="B44" s="781"/>
      <c r="C44" s="645" t="s">
        <v>801</v>
      </c>
      <c r="D44" s="645"/>
      <c r="E44" s="645"/>
      <c r="F44" s="645"/>
      <c r="G44" s="645"/>
      <c r="H44" s="641" t="s">
        <v>802</v>
      </c>
      <c r="I44" s="641"/>
      <c r="J44" s="658">
        <f>J34+J38+J42</f>
        <v>1.8501186524941579E-2</v>
      </c>
      <c r="K44" s="658"/>
      <c r="L44" s="658">
        <f>L34+L38+L42</f>
        <v>1.8501186524941579E-2</v>
      </c>
      <c r="Q44" s="631"/>
      <c r="U44" s="764"/>
      <c r="V44" s="765"/>
      <c r="W44" s="761"/>
      <c r="X44" s="761"/>
      <c r="Y44" s="761"/>
      <c r="Z44" s="761"/>
      <c r="AA44" s="761"/>
      <c r="AB44" s="761"/>
      <c r="AC44" s="761"/>
      <c r="AD44" s="761"/>
      <c r="AE44" s="761"/>
      <c r="AF44" s="761"/>
      <c r="AG44" s="761"/>
      <c r="AH44" s="761"/>
      <c r="AI44" s="761"/>
      <c r="AJ44" s="761"/>
      <c r="AK44" s="761"/>
      <c r="AL44" s="761"/>
      <c r="AM44" s="761"/>
      <c r="AN44" s="761"/>
      <c r="AO44" s="761"/>
      <c r="AP44" s="761"/>
      <c r="AQ44" s="761"/>
      <c r="AR44" s="761"/>
      <c r="AS44" s="761"/>
      <c r="AT44" s="761"/>
      <c r="AU44" s="761"/>
      <c r="AV44" s="761"/>
      <c r="AW44" s="761"/>
      <c r="AX44" s="761"/>
      <c r="AY44" s="761"/>
      <c r="AZ44" s="761"/>
      <c r="BA44" s="761"/>
      <c r="BB44" s="761"/>
      <c r="BC44" s="761"/>
      <c r="BD44" s="761"/>
      <c r="BE44" s="761"/>
      <c r="BF44" s="761"/>
      <c r="BG44" s="761"/>
      <c r="BH44" s="761"/>
      <c r="BI44" s="761"/>
      <c r="BJ44" s="761"/>
      <c r="BK44" s="761"/>
      <c r="BL44" s="761"/>
      <c r="BM44" s="761"/>
      <c r="BN44" s="761"/>
      <c r="BO44" s="761"/>
      <c r="BP44" s="761"/>
      <c r="BQ44" s="761"/>
    </row>
    <row r="45" spans="1:69" ht="15">
      <c r="A45" s="778"/>
      <c r="C45" s="640"/>
      <c r="D45" s="640"/>
      <c r="E45" s="640"/>
      <c r="F45" s="640"/>
      <c r="G45" s="640"/>
      <c r="H45" s="648"/>
      <c r="I45" s="648"/>
      <c r="J45" s="631"/>
      <c r="K45" s="631"/>
      <c r="L45" s="631"/>
      <c r="Q45" s="631"/>
      <c r="R45" s="631"/>
      <c r="S45" s="764"/>
      <c r="T45" s="782"/>
      <c r="U45" s="764"/>
      <c r="V45" s="765"/>
      <c r="W45" s="761"/>
      <c r="X45" s="761"/>
      <c r="Y45" s="761"/>
      <c r="Z45" s="761"/>
      <c r="AA45" s="761"/>
      <c r="AB45" s="761"/>
      <c r="AC45" s="761"/>
      <c r="AD45" s="761"/>
      <c r="AE45" s="761"/>
      <c r="AF45" s="761"/>
      <c r="AG45" s="761"/>
      <c r="AH45" s="761"/>
      <c r="AI45" s="761"/>
      <c r="AJ45" s="761"/>
      <c r="AK45" s="761"/>
      <c r="AL45" s="761"/>
      <c r="AM45" s="761"/>
      <c r="AN45" s="761"/>
      <c r="AO45" s="761"/>
      <c r="AP45" s="761"/>
      <c r="AQ45" s="761"/>
      <c r="AR45" s="761"/>
      <c r="AS45" s="761"/>
      <c r="AT45" s="761"/>
      <c r="AU45" s="761"/>
      <c r="AV45" s="761"/>
      <c r="AW45" s="761"/>
      <c r="AX45" s="761"/>
      <c r="AY45" s="761"/>
      <c r="AZ45" s="761"/>
      <c r="BA45" s="761"/>
      <c r="BB45" s="761"/>
      <c r="BC45" s="761"/>
      <c r="BD45" s="761"/>
      <c r="BE45" s="761"/>
      <c r="BF45" s="761"/>
      <c r="BG45" s="761"/>
      <c r="BH45" s="761"/>
      <c r="BI45" s="761"/>
      <c r="BJ45" s="761"/>
      <c r="BK45" s="761"/>
      <c r="BL45" s="761"/>
      <c r="BM45" s="761"/>
      <c r="BN45" s="761"/>
      <c r="BO45" s="761"/>
      <c r="BP45" s="761"/>
      <c r="BQ45" s="761"/>
    </row>
    <row r="46" spans="1:69" ht="15">
      <c r="A46" s="777"/>
      <c r="B46" s="783"/>
      <c r="C46" s="631" t="s">
        <v>649</v>
      </c>
      <c r="D46" s="631"/>
      <c r="E46" s="631"/>
      <c r="F46" s="631"/>
      <c r="G46" s="631"/>
      <c r="H46" s="648"/>
      <c r="I46" s="648"/>
      <c r="J46" s="631"/>
      <c r="K46" s="631"/>
      <c r="L46" s="631"/>
      <c r="Q46" s="661"/>
      <c r="R46" s="783"/>
      <c r="U46" s="766"/>
      <c r="V46" s="764" t="s">
        <v>5</v>
      </c>
      <c r="W46" s="761"/>
      <c r="X46" s="761"/>
      <c r="Y46" s="761"/>
      <c r="Z46" s="761"/>
      <c r="AA46" s="761"/>
      <c r="AB46" s="761"/>
      <c r="AC46" s="761"/>
      <c r="AD46" s="761"/>
      <c r="AE46" s="761"/>
      <c r="AF46" s="761"/>
      <c r="AG46" s="761"/>
      <c r="AH46" s="761"/>
      <c r="AI46" s="761"/>
      <c r="AJ46" s="761"/>
      <c r="AK46" s="761"/>
      <c r="AL46" s="761"/>
      <c r="AM46" s="761"/>
      <c r="AN46" s="761"/>
      <c r="AO46" s="761"/>
      <c r="AP46" s="761"/>
      <c r="AQ46" s="761"/>
      <c r="AR46" s="761"/>
      <c r="AS46" s="761"/>
      <c r="AT46" s="761"/>
      <c r="AU46" s="761"/>
      <c r="AV46" s="761"/>
      <c r="AW46" s="761"/>
      <c r="AX46" s="761"/>
      <c r="AY46" s="761"/>
      <c r="AZ46" s="761"/>
      <c r="BA46" s="761"/>
      <c r="BB46" s="761"/>
      <c r="BC46" s="761"/>
      <c r="BD46" s="761"/>
      <c r="BE46" s="761"/>
      <c r="BF46" s="761"/>
      <c r="BG46" s="761"/>
      <c r="BH46" s="761"/>
      <c r="BI46" s="761"/>
      <c r="BJ46" s="761"/>
      <c r="BK46" s="761"/>
      <c r="BL46" s="761"/>
      <c r="BM46" s="761"/>
      <c r="BN46" s="761"/>
      <c r="BO46" s="761"/>
      <c r="BP46" s="761"/>
      <c r="BQ46" s="761"/>
    </row>
    <row r="47" spans="1:69" ht="15">
      <c r="A47" s="778" t="s">
        <v>650</v>
      </c>
      <c r="B47" s="783"/>
      <c r="C47" s="631" t="s">
        <v>466</v>
      </c>
      <c r="D47" s="631"/>
      <c r="E47" s="631"/>
      <c r="F47" s="631"/>
      <c r="G47" s="631"/>
      <c r="H47" s="648" t="s">
        <v>651</v>
      </c>
      <c r="I47" s="648"/>
      <c r="J47" s="770">
        <f>'Attachment O'!I198</f>
        <v>106386061.30026837</v>
      </c>
      <c r="K47" s="631"/>
      <c r="L47" s="631"/>
      <c r="Q47" s="661"/>
      <c r="R47" s="783"/>
      <c r="U47" s="766"/>
      <c r="V47" s="764"/>
      <c r="W47" s="761"/>
      <c r="X47" s="761"/>
      <c r="Y47" s="761"/>
      <c r="Z47" s="761"/>
      <c r="AA47" s="761"/>
      <c r="AB47" s="761"/>
      <c r="AC47" s="761"/>
      <c r="AD47" s="761"/>
      <c r="AE47" s="761"/>
      <c r="AF47" s="761"/>
      <c r="AG47" s="761"/>
      <c r="AH47" s="761"/>
      <c r="AI47" s="761"/>
      <c r="AJ47" s="761"/>
      <c r="AK47" s="761"/>
      <c r="AL47" s="761"/>
      <c r="AM47" s="761"/>
      <c r="AN47" s="761"/>
      <c r="AO47" s="761"/>
      <c r="AP47" s="761"/>
      <c r="AQ47" s="761"/>
      <c r="AR47" s="761"/>
      <c r="AS47" s="761"/>
      <c r="AT47" s="761"/>
      <c r="AU47" s="761"/>
      <c r="AV47" s="761"/>
      <c r="AW47" s="761"/>
      <c r="AX47" s="761"/>
      <c r="AY47" s="761"/>
      <c r="AZ47" s="761"/>
      <c r="BA47" s="761"/>
      <c r="BB47" s="761"/>
      <c r="BC47" s="761"/>
      <c r="BD47" s="761"/>
      <c r="BE47" s="761"/>
      <c r="BF47" s="761"/>
      <c r="BG47" s="761"/>
      <c r="BH47" s="761"/>
      <c r="BI47" s="761"/>
      <c r="BJ47" s="761"/>
      <c r="BK47" s="761"/>
      <c r="BL47" s="761"/>
      <c r="BM47" s="761"/>
      <c r="BN47" s="761"/>
      <c r="BO47" s="761"/>
      <c r="BP47" s="761"/>
      <c r="BQ47" s="761"/>
    </row>
    <row r="48" spans="1:69" ht="15">
      <c r="A48" s="778" t="s">
        <v>652</v>
      </c>
      <c r="B48" s="783"/>
      <c r="C48" s="631" t="s">
        <v>653</v>
      </c>
      <c r="D48" s="631"/>
      <c r="E48" s="631"/>
      <c r="F48" s="631"/>
      <c r="G48" s="631"/>
      <c r="H48" s="648" t="s">
        <v>654</v>
      </c>
      <c r="I48" s="648"/>
      <c r="J48" s="650">
        <f>IF(J47=0,0,J47/J20)</f>
        <v>3.1355776256083989E-2</v>
      </c>
      <c r="K48" s="650"/>
      <c r="L48" s="775">
        <f>J48</f>
        <v>3.1355776256083989E-2</v>
      </c>
      <c r="Q48" s="661"/>
      <c r="R48" s="783"/>
      <c r="S48" s="764"/>
      <c r="T48" s="764"/>
      <c r="U48" s="766"/>
      <c r="V48" s="764"/>
      <c r="W48" s="761"/>
      <c r="X48" s="761"/>
      <c r="Y48" s="761"/>
      <c r="Z48" s="761"/>
      <c r="AA48" s="761"/>
      <c r="AB48" s="761"/>
      <c r="AC48" s="761"/>
      <c r="AD48" s="761"/>
      <c r="AE48" s="761"/>
      <c r="AF48" s="761"/>
      <c r="AG48" s="761"/>
      <c r="AH48" s="761"/>
      <c r="AI48" s="761"/>
      <c r="AJ48" s="761"/>
      <c r="AK48" s="761"/>
      <c r="AL48" s="761"/>
      <c r="AM48" s="761"/>
      <c r="AN48" s="761"/>
      <c r="AO48" s="761"/>
      <c r="AP48" s="761"/>
      <c r="AQ48" s="761"/>
      <c r="AR48" s="761"/>
      <c r="AS48" s="761"/>
      <c r="AT48" s="761"/>
      <c r="AU48" s="761"/>
      <c r="AV48" s="761"/>
      <c r="AW48" s="761"/>
      <c r="AX48" s="761"/>
      <c r="AY48" s="761"/>
      <c r="AZ48" s="761"/>
      <c r="BA48" s="761"/>
      <c r="BB48" s="761"/>
      <c r="BC48" s="761"/>
      <c r="BD48" s="761"/>
      <c r="BE48" s="761"/>
      <c r="BF48" s="761"/>
      <c r="BG48" s="761"/>
      <c r="BH48" s="761"/>
      <c r="BI48" s="761"/>
      <c r="BJ48" s="761"/>
      <c r="BK48" s="761"/>
      <c r="BL48" s="761"/>
      <c r="BM48" s="761"/>
      <c r="BN48" s="761"/>
      <c r="BO48" s="761"/>
      <c r="BP48" s="761"/>
      <c r="BQ48" s="761"/>
    </row>
    <row r="49" spans="1:69" ht="15">
      <c r="A49" s="778"/>
      <c r="C49" s="631"/>
      <c r="D49" s="631"/>
      <c r="E49" s="631"/>
      <c r="F49" s="631"/>
      <c r="G49" s="631"/>
      <c r="H49" s="648"/>
      <c r="I49" s="648"/>
      <c r="J49" s="631"/>
      <c r="K49" s="631"/>
      <c r="L49" s="631"/>
      <c r="Q49" s="631"/>
      <c r="S49" s="759"/>
      <c r="T49" s="764"/>
      <c r="U49" s="759"/>
      <c r="V49" s="765"/>
      <c r="W49" s="761"/>
      <c r="X49" s="761"/>
      <c r="Y49" s="761"/>
      <c r="Z49" s="761"/>
      <c r="AA49" s="761"/>
      <c r="AB49" s="761"/>
      <c r="AC49" s="761"/>
      <c r="AD49" s="761"/>
      <c r="AE49" s="761"/>
      <c r="AF49" s="761"/>
      <c r="AG49" s="761"/>
      <c r="AH49" s="761"/>
      <c r="AI49" s="761"/>
      <c r="AJ49" s="761"/>
      <c r="AK49" s="761"/>
      <c r="AL49" s="761"/>
      <c r="AM49" s="761"/>
      <c r="AN49" s="761"/>
      <c r="AO49" s="761"/>
      <c r="AP49" s="761"/>
      <c r="AQ49" s="761"/>
      <c r="AR49" s="761"/>
      <c r="AS49" s="761"/>
      <c r="AT49" s="761"/>
      <c r="AU49" s="761"/>
      <c r="AV49" s="761"/>
      <c r="AW49" s="761"/>
      <c r="AX49" s="761"/>
      <c r="AY49" s="761"/>
      <c r="AZ49" s="761"/>
      <c r="BA49" s="761"/>
      <c r="BB49" s="761"/>
      <c r="BC49" s="761"/>
      <c r="BD49" s="761"/>
      <c r="BE49" s="761"/>
      <c r="BF49" s="761"/>
      <c r="BG49" s="761"/>
      <c r="BH49" s="761"/>
      <c r="BI49" s="761"/>
      <c r="BJ49" s="761"/>
      <c r="BK49" s="761"/>
      <c r="BL49" s="761"/>
      <c r="BM49" s="761"/>
      <c r="BN49" s="761"/>
      <c r="BO49" s="761"/>
      <c r="BP49" s="761"/>
      <c r="BQ49" s="761"/>
    </row>
    <row r="50" spans="1:69" ht="15">
      <c r="A50" s="778"/>
      <c r="C50" s="640" t="s">
        <v>468</v>
      </c>
      <c r="D50" s="640"/>
      <c r="E50" s="640"/>
      <c r="F50" s="640"/>
      <c r="G50" s="640"/>
      <c r="H50" s="662"/>
      <c r="I50" s="662"/>
      <c r="Q50" s="631"/>
      <c r="S50" s="764"/>
      <c r="T50" s="764"/>
      <c r="U50" s="764"/>
      <c r="V50" s="765"/>
      <c r="W50" s="761"/>
      <c r="X50" s="761"/>
      <c r="Y50" s="761"/>
      <c r="Z50" s="761"/>
      <c r="AA50" s="761"/>
      <c r="AB50" s="761"/>
      <c r="AC50" s="761"/>
      <c r="AD50" s="761"/>
      <c r="AE50" s="761"/>
      <c r="AF50" s="761"/>
      <c r="AG50" s="761"/>
      <c r="AH50" s="761"/>
      <c r="AI50" s="761"/>
      <c r="AJ50" s="761"/>
      <c r="AK50" s="761"/>
      <c r="AL50" s="761"/>
      <c r="AM50" s="761"/>
      <c r="AN50" s="761"/>
      <c r="AO50" s="761"/>
      <c r="AP50" s="761"/>
      <c r="AQ50" s="761"/>
      <c r="AR50" s="761"/>
      <c r="AS50" s="761"/>
      <c r="AT50" s="761"/>
      <c r="AU50" s="761"/>
      <c r="AV50" s="761"/>
      <c r="AW50" s="761"/>
      <c r="AX50" s="761"/>
      <c r="AY50" s="761"/>
      <c r="AZ50" s="761"/>
      <c r="BA50" s="761"/>
      <c r="BB50" s="761"/>
      <c r="BC50" s="761"/>
      <c r="BD50" s="761"/>
      <c r="BE50" s="761"/>
      <c r="BF50" s="761"/>
      <c r="BG50" s="761"/>
      <c r="BH50" s="761"/>
      <c r="BI50" s="761"/>
      <c r="BJ50" s="761"/>
      <c r="BK50" s="761"/>
      <c r="BL50" s="761"/>
      <c r="BM50" s="761"/>
      <c r="BN50" s="761"/>
      <c r="BO50" s="761"/>
      <c r="BP50" s="761"/>
      <c r="BQ50" s="761"/>
    </row>
    <row r="51" spans="1:69" ht="15">
      <c r="A51" s="778" t="s">
        <v>655</v>
      </c>
      <c r="C51" s="640" t="s">
        <v>656</v>
      </c>
      <c r="D51" s="640"/>
      <c r="E51" s="640"/>
      <c r="F51" s="640"/>
      <c r="G51" s="640"/>
      <c r="H51" s="648" t="s">
        <v>657</v>
      </c>
      <c r="I51" s="648"/>
      <c r="J51" s="770">
        <f>'Attachment O'!I200</f>
        <v>212127192.47420728</v>
      </c>
      <c r="K51" s="631"/>
      <c r="L51" s="631"/>
      <c r="Q51" s="631"/>
      <c r="S51" s="764"/>
      <c r="T51" s="764"/>
      <c r="U51" s="764"/>
      <c r="V51" s="765"/>
      <c r="W51" s="761"/>
      <c r="X51" s="761"/>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1"/>
      <c r="AY51" s="761"/>
      <c r="AZ51" s="761"/>
      <c r="BA51" s="761"/>
      <c r="BB51" s="761"/>
      <c r="BC51" s="761"/>
      <c r="BD51" s="761"/>
      <c r="BE51" s="761"/>
      <c r="BF51" s="761"/>
      <c r="BG51" s="761"/>
      <c r="BH51" s="761"/>
      <c r="BI51" s="761"/>
      <c r="BJ51" s="761"/>
      <c r="BK51" s="761"/>
      <c r="BL51" s="761"/>
      <c r="BM51" s="761"/>
      <c r="BN51" s="761"/>
      <c r="BO51" s="761"/>
      <c r="BP51" s="761"/>
      <c r="BQ51" s="761"/>
    </row>
    <row r="52" spans="1:69" ht="15">
      <c r="A52" s="778" t="s">
        <v>658</v>
      </c>
      <c r="B52" s="783"/>
      <c r="C52" s="631" t="s">
        <v>659</v>
      </c>
      <c r="D52" s="631"/>
      <c r="E52" s="631"/>
      <c r="F52" s="631"/>
      <c r="G52" s="631"/>
      <c r="H52" s="648" t="s">
        <v>660</v>
      </c>
      <c r="I52" s="648"/>
      <c r="J52" s="651">
        <f>IF(J51=0,0,J51/J20)</f>
        <v>6.252146854350861E-2</v>
      </c>
      <c r="K52" s="651"/>
      <c r="L52" s="775">
        <f>J52</f>
        <v>6.252146854350861E-2</v>
      </c>
      <c r="Q52" s="631"/>
      <c r="T52" s="784"/>
      <c r="U52" s="766"/>
      <c r="V52" s="764"/>
      <c r="W52" s="761"/>
      <c r="X52" s="761"/>
      <c r="Y52" s="761"/>
      <c r="Z52" s="761"/>
      <c r="AA52" s="761"/>
      <c r="AB52" s="761"/>
      <c r="AC52" s="761"/>
      <c r="AD52" s="761"/>
      <c r="AE52" s="761"/>
      <c r="AF52" s="761"/>
      <c r="AG52" s="761"/>
      <c r="AH52" s="761"/>
      <c r="AI52" s="761"/>
      <c r="AJ52" s="761"/>
      <c r="AK52" s="761"/>
      <c r="AL52" s="761"/>
      <c r="AM52" s="761"/>
      <c r="AN52" s="761"/>
      <c r="AO52" s="761"/>
      <c r="AP52" s="761"/>
      <c r="AQ52" s="761"/>
      <c r="AR52" s="761"/>
      <c r="AS52" s="761"/>
      <c r="AT52" s="761"/>
      <c r="AU52" s="761"/>
      <c r="AV52" s="761"/>
      <c r="AW52" s="761"/>
      <c r="AX52" s="761"/>
      <c r="AY52" s="761"/>
      <c r="AZ52" s="761"/>
      <c r="BA52" s="761"/>
      <c r="BB52" s="761"/>
      <c r="BC52" s="761"/>
      <c r="BD52" s="761"/>
      <c r="BE52" s="761"/>
      <c r="BF52" s="761"/>
      <c r="BG52" s="761"/>
      <c r="BH52" s="761"/>
      <c r="BI52" s="761"/>
      <c r="BJ52" s="761"/>
      <c r="BK52" s="761"/>
      <c r="BL52" s="761"/>
      <c r="BM52" s="761"/>
      <c r="BN52" s="761"/>
      <c r="BO52" s="761"/>
      <c r="BP52" s="761"/>
      <c r="BQ52" s="761"/>
    </row>
    <row r="53" spans="1:69" ht="15">
      <c r="A53" s="778"/>
      <c r="C53" s="640"/>
      <c r="D53" s="640"/>
      <c r="E53" s="640"/>
      <c r="F53" s="640"/>
      <c r="G53" s="640"/>
      <c r="H53" s="648"/>
      <c r="I53" s="648"/>
      <c r="J53" s="631"/>
      <c r="K53" s="631"/>
      <c r="L53" s="631"/>
      <c r="Q53" s="631"/>
      <c r="R53" s="662"/>
      <c r="S53" s="764"/>
      <c r="T53" s="764"/>
      <c r="U53" s="764"/>
      <c r="V53" s="765"/>
      <c r="W53" s="761"/>
      <c r="X53" s="761"/>
      <c r="Y53" s="761"/>
      <c r="Z53" s="761"/>
      <c r="AA53" s="761"/>
      <c r="AB53" s="761"/>
      <c r="AC53" s="761"/>
      <c r="AD53" s="761"/>
      <c r="AE53" s="761"/>
      <c r="AF53" s="761"/>
      <c r="AG53" s="761"/>
      <c r="AH53" s="761"/>
      <c r="AI53" s="761"/>
      <c r="AJ53" s="761"/>
      <c r="AK53" s="761"/>
      <c r="AL53" s="761"/>
      <c r="AM53" s="761"/>
      <c r="AN53" s="761"/>
      <c r="AO53" s="761"/>
      <c r="AP53" s="761"/>
      <c r="AQ53" s="761"/>
      <c r="AR53" s="761"/>
      <c r="AS53" s="761"/>
      <c r="AT53" s="761"/>
      <c r="AU53" s="761"/>
      <c r="AV53" s="761"/>
      <c r="AW53" s="761"/>
      <c r="AX53" s="761"/>
      <c r="AY53" s="761"/>
      <c r="AZ53" s="761"/>
      <c r="BA53" s="761"/>
      <c r="BB53" s="761"/>
      <c r="BC53" s="761"/>
      <c r="BD53" s="761"/>
      <c r="BE53" s="761"/>
      <c r="BF53" s="761"/>
      <c r="BG53" s="761"/>
      <c r="BH53" s="761"/>
      <c r="BI53" s="761"/>
      <c r="BJ53" s="761"/>
      <c r="BK53" s="761"/>
      <c r="BL53" s="761"/>
      <c r="BM53" s="761"/>
      <c r="BN53" s="761"/>
      <c r="BO53" s="761"/>
      <c r="BP53" s="761"/>
      <c r="BQ53" s="761"/>
    </row>
    <row r="54" spans="1:69" ht="15.75">
      <c r="A54" s="780" t="s">
        <v>661</v>
      </c>
      <c r="B54" s="781"/>
      <c r="C54" s="645" t="s">
        <v>662</v>
      </c>
      <c r="D54" s="645"/>
      <c r="E54" s="645"/>
      <c r="F54" s="645"/>
      <c r="G54" s="645"/>
      <c r="H54" s="641" t="s">
        <v>663</v>
      </c>
      <c r="I54" s="641"/>
      <c r="J54" s="653"/>
      <c r="K54" s="653"/>
      <c r="L54" s="658">
        <f>L48+L52</f>
        <v>9.3877244799592599E-2</v>
      </c>
      <c r="Q54" s="631"/>
      <c r="R54" s="662"/>
      <c r="S54" s="764"/>
      <c r="T54" s="764"/>
      <c r="U54" s="764"/>
      <c r="V54" s="765"/>
      <c r="W54" s="761"/>
      <c r="X54" s="761"/>
      <c r="Y54" s="761"/>
      <c r="Z54" s="761"/>
      <c r="AA54" s="761"/>
      <c r="AB54" s="761"/>
      <c r="AC54" s="761"/>
      <c r="AD54" s="761"/>
      <c r="AE54" s="761"/>
      <c r="AF54" s="761"/>
      <c r="AG54" s="761"/>
      <c r="AH54" s="761"/>
      <c r="AI54" s="761"/>
      <c r="AJ54" s="761"/>
      <c r="AK54" s="761"/>
      <c r="AL54" s="761"/>
      <c r="AM54" s="761"/>
      <c r="AN54" s="761"/>
      <c r="AO54" s="761"/>
      <c r="AP54" s="761"/>
      <c r="AQ54" s="761"/>
      <c r="AR54" s="761"/>
      <c r="AS54" s="761"/>
      <c r="AT54" s="761"/>
      <c r="AU54" s="761"/>
      <c r="AV54" s="761"/>
      <c r="AW54" s="761"/>
      <c r="AX54" s="761"/>
      <c r="AY54" s="761"/>
      <c r="AZ54" s="761"/>
      <c r="BA54" s="761"/>
      <c r="BB54" s="761"/>
      <c r="BC54" s="761"/>
      <c r="BD54" s="761"/>
      <c r="BE54" s="761"/>
      <c r="BF54" s="761"/>
      <c r="BG54" s="761"/>
      <c r="BH54" s="761"/>
      <c r="BI54" s="761"/>
      <c r="BJ54" s="761"/>
      <c r="BK54" s="761"/>
      <c r="BL54" s="761"/>
      <c r="BM54" s="761"/>
      <c r="BN54" s="761"/>
      <c r="BO54" s="761"/>
      <c r="BP54" s="761"/>
      <c r="BQ54" s="761"/>
    </row>
    <row r="55" spans="1:69" ht="15">
      <c r="Q55" s="664"/>
      <c r="R55" s="664"/>
      <c r="S55" s="764"/>
      <c r="T55" s="764"/>
      <c r="U55" s="764"/>
      <c r="V55" s="765"/>
      <c r="W55" s="761"/>
      <c r="X55" s="761"/>
      <c r="Y55" s="761"/>
      <c r="Z55" s="761"/>
      <c r="AA55" s="761"/>
      <c r="AB55" s="761"/>
      <c r="AC55" s="761"/>
      <c r="AD55" s="761"/>
      <c r="AE55" s="761"/>
      <c r="AF55" s="761"/>
      <c r="AG55" s="761"/>
      <c r="AH55" s="761"/>
      <c r="AI55" s="761"/>
      <c r="AJ55" s="761"/>
      <c r="AK55" s="761"/>
      <c r="AL55" s="761"/>
      <c r="AM55" s="761"/>
      <c r="AN55" s="761"/>
      <c r="AO55" s="761"/>
      <c r="AP55" s="761"/>
      <c r="AQ55" s="761"/>
      <c r="AR55" s="761"/>
      <c r="AS55" s="761"/>
      <c r="AT55" s="761"/>
      <c r="AU55" s="761"/>
      <c r="AV55" s="761"/>
      <c r="AW55" s="761"/>
      <c r="AX55" s="761"/>
      <c r="AY55" s="761"/>
      <c r="AZ55" s="761"/>
      <c r="BA55" s="761"/>
      <c r="BB55" s="761"/>
      <c r="BC55" s="761"/>
      <c r="BD55" s="761"/>
      <c r="BE55" s="761"/>
      <c r="BF55" s="761"/>
      <c r="BG55" s="761"/>
      <c r="BH55" s="761"/>
      <c r="BI55" s="761"/>
      <c r="BJ55" s="761"/>
      <c r="BK55" s="761"/>
      <c r="BL55" s="761"/>
      <c r="BM55" s="761"/>
      <c r="BN55" s="761"/>
      <c r="BO55" s="761"/>
      <c r="BP55" s="761"/>
      <c r="BQ55" s="761"/>
    </row>
    <row r="56" spans="1:69" ht="15">
      <c r="A56" s="763"/>
      <c r="C56" s="624"/>
      <c r="D56" s="624"/>
      <c r="E56" s="624"/>
      <c r="F56" s="624"/>
      <c r="G56" s="624"/>
      <c r="H56" s="624"/>
      <c r="I56" s="624"/>
      <c r="J56" s="631"/>
      <c r="K56" s="631"/>
      <c r="L56" s="624"/>
      <c r="M56" s="624"/>
      <c r="N56" s="624"/>
      <c r="O56" s="624"/>
      <c r="Q56" s="631"/>
      <c r="R56" s="631"/>
      <c r="S56" s="764"/>
      <c r="T56" s="764"/>
      <c r="U56" s="766"/>
      <c r="V56" s="764" t="s">
        <v>5</v>
      </c>
      <c r="W56" s="761"/>
      <c r="X56" s="761"/>
      <c r="Y56" s="761"/>
      <c r="Z56" s="761"/>
      <c r="AA56" s="761"/>
      <c r="AB56" s="761"/>
      <c r="AC56" s="761"/>
      <c r="AD56" s="761"/>
      <c r="AE56" s="761"/>
      <c r="AF56" s="761"/>
      <c r="AG56" s="761"/>
      <c r="AH56" s="761"/>
      <c r="AI56" s="761"/>
      <c r="AJ56" s="761"/>
      <c r="AK56" s="761"/>
      <c r="AL56" s="761"/>
      <c r="AM56" s="761"/>
      <c r="AN56" s="761"/>
      <c r="AO56" s="761"/>
      <c r="AP56" s="761"/>
      <c r="AQ56" s="761"/>
      <c r="AR56" s="761"/>
      <c r="AS56" s="761"/>
      <c r="AT56" s="761"/>
      <c r="AU56" s="761"/>
      <c r="AV56" s="761"/>
      <c r="AW56" s="761"/>
      <c r="AX56" s="761"/>
      <c r="AY56" s="761"/>
      <c r="AZ56" s="761"/>
      <c r="BA56" s="761"/>
      <c r="BB56" s="761"/>
      <c r="BC56" s="761"/>
      <c r="BD56" s="761"/>
      <c r="BE56" s="761"/>
      <c r="BF56" s="761"/>
      <c r="BG56" s="761"/>
      <c r="BH56" s="761"/>
      <c r="BI56" s="761"/>
      <c r="BJ56" s="761"/>
      <c r="BK56" s="761"/>
      <c r="BL56" s="761"/>
      <c r="BM56" s="761"/>
      <c r="BN56" s="761"/>
      <c r="BO56" s="761"/>
      <c r="BP56" s="761"/>
      <c r="BQ56" s="761"/>
    </row>
    <row r="57" spans="1:69">
      <c r="R57" s="758"/>
    </row>
    <row r="58" spans="1:69">
      <c r="R58" s="758"/>
    </row>
    <row r="60" spans="1:69" ht="15">
      <c r="A60" s="763"/>
      <c r="C60" s="624"/>
      <c r="D60" s="624"/>
      <c r="E60" s="624"/>
      <c r="F60" s="624"/>
      <c r="G60" s="624"/>
      <c r="H60" s="624"/>
      <c r="I60" s="624"/>
      <c r="J60" s="631"/>
      <c r="K60" s="631"/>
      <c r="L60" s="624"/>
      <c r="M60" s="624"/>
      <c r="N60" s="624"/>
      <c r="O60" s="624"/>
      <c r="Q60" s="631"/>
      <c r="S60" s="764"/>
      <c r="T60" s="759"/>
      <c r="U60" s="764"/>
      <c r="V60" s="765"/>
      <c r="W60" s="761"/>
      <c r="X60" s="761"/>
      <c r="Y60" s="761"/>
      <c r="Z60" s="761"/>
      <c r="AA60" s="761"/>
      <c r="AB60" s="761"/>
      <c r="AC60" s="761"/>
      <c r="AD60" s="761"/>
      <c r="AE60" s="761"/>
      <c r="AF60" s="761"/>
      <c r="AG60" s="761"/>
      <c r="AH60" s="761"/>
      <c r="AI60" s="761"/>
      <c r="AJ60" s="761"/>
      <c r="AK60" s="761"/>
      <c r="AL60" s="761"/>
      <c r="AM60" s="761"/>
      <c r="AN60" s="761"/>
      <c r="AO60" s="761"/>
      <c r="AP60" s="761"/>
      <c r="AQ60" s="761"/>
      <c r="AR60" s="761"/>
      <c r="AS60" s="761"/>
      <c r="AT60" s="761"/>
      <c r="AU60" s="761"/>
      <c r="AV60" s="761"/>
      <c r="AW60" s="761"/>
      <c r="AX60" s="761"/>
      <c r="AY60" s="761"/>
      <c r="AZ60" s="761"/>
      <c r="BA60" s="761"/>
      <c r="BB60" s="761"/>
      <c r="BC60" s="761"/>
      <c r="BD60" s="761"/>
      <c r="BE60" s="761"/>
      <c r="BF60" s="761"/>
      <c r="BG60" s="761"/>
      <c r="BH60" s="761"/>
      <c r="BI60" s="761"/>
      <c r="BJ60" s="761"/>
      <c r="BK60" s="761"/>
      <c r="BL60" s="761"/>
      <c r="BM60" s="761"/>
      <c r="BN60" s="761"/>
      <c r="BO60" s="761"/>
      <c r="BP60" s="761"/>
      <c r="BQ60" s="761"/>
    </row>
    <row r="61" spans="1:69" ht="15">
      <c r="A61" s="763"/>
      <c r="C61" s="640" t="str">
        <f>C5</f>
        <v>Formula Rate calculation</v>
      </c>
      <c r="D61" s="640"/>
      <c r="E61" s="640"/>
      <c r="F61" s="640"/>
      <c r="G61" s="640"/>
      <c r="H61" s="624"/>
      <c r="I61" s="624"/>
      <c r="J61" s="624" t="str">
        <f>J5</f>
        <v xml:space="preserve">     Rate Formula Template</v>
      </c>
      <c r="K61" s="624"/>
      <c r="L61" s="624"/>
      <c r="M61" s="624"/>
      <c r="N61" s="624"/>
      <c r="O61" s="624"/>
      <c r="Q61" s="631"/>
      <c r="R61" s="857" t="str">
        <f>R4</f>
        <v>Attachment MM - Generic Company</v>
      </c>
      <c r="S61" s="764"/>
      <c r="T61" s="759"/>
      <c r="U61" s="764"/>
      <c r="V61" s="765"/>
      <c r="W61" s="761"/>
      <c r="X61" s="761"/>
      <c r="Y61" s="761"/>
      <c r="Z61" s="761"/>
      <c r="AA61" s="761"/>
      <c r="AB61" s="761"/>
      <c r="AC61" s="761"/>
      <c r="AD61" s="761"/>
      <c r="AE61" s="761"/>
      <c r="AF61" s="761"/>
      <c r="AG61" s="761"/>
      <c r="AH61" s="761"/>
      <c r="AI61" s="761"/>
      <c r="AJ61" s="761"/>
      <c r="AK61" s="761"/>
      <c r="AL61" s="761"/>
      <c r="AM61" s="761"/>
      <c r="AN61" s="761"/>
      <c r="AO61" s="761"/>
      <c r="AP61" s="761"/>
      <c r="AQ61" s="761"/>
      <c r="AR61" s="761"/>
      <c r="AS61" s="761"/>
      <c r="AT61" s="761"/>
      <c r="AU61" s="761"/>
      <c r="AV61" s="761"/>
      <c r="AW61" s="761"/>
      <c r="AX61" s="761"/>
      <c r="AY61" s="761"/>
      <c r="AZ61" s="761"/>
      <c r="BA61" s="761"/>
      <c r="BB61" s="761"/>
      <c r="BC61" s="761"/>
      <c r="BD61" s="761"/>
      <c r="BE61" s="761"/>
      <c r="BF61" s="761"/>
      <c r="BG61" s="761"/>
      <c r="BH61" s="761"/>
      <c r="BI61" s="761"/>
      <c r="BJ61" s="761"/>
      <c r="BK61" s="761"/>
      <c r="BL61" s="761"/>
      <c r="BM61" s="761"/>
      <c r="BN61" s="761"/>
      <c r="BO61" s="761"/>
      <c r="BP61" s="761"/>
      <c r="BQ61" s="761"/>
    </row>
    <row r="62" spans="1:69" ht="15">
      <c r="A62" s="763"/>
      <c r="C62" s="640"/>
      <c r="D62" s="640"/>
      <c r="E62" s="640"/>
      <c r="F62" s="640"/>
      <c r="G62" s="640"/>
      <c r="H62" s="624"/>
      <c r="I62" s="624"/>
      <c r="J62" s="624" t="str">
        <f>J6</f>
        <v xml:space="preserve"> Utilizing Attachment O Data</v>
      </c>
      <c r="K62" s="624"/>
      <c r="L62" s="624"/>
      <c r="M62" s="624"/>
      <c r="N62" s="624"/>
      <c r="O62" s="624"/>
      <c r="P62" s="631"/>
      <c r="Q62" s="631"/>
      <c r="R62" s="625" t="str">
        <f>R5</f>
        <v>For  the 12 months ended 12/31/2018</v>
      </c>
      <c r="S62" s="764"/>
      <c r="T62" s="759"/>
      <c r="U62" s="764"/>
      <c r="V62" s="765"/>
      <c r="W62" s="761"/>
      <c r="X62" s="761"/>
      <c r="Y62" s="761"/>
      <c r="Z62" s="761"/>
      <c r="AA62" s="761"/>
      <c r="AB62" s="761"/>
      <c r="AC62" s="761"/>
      <c r="AD62" s="761"/>
      <c r="AE62" s="761"/>
      <c r="AF62" s="761"/>
      <c r="AG62" s="761"/>
      <c r="AH62" s="761"/>
      <c r="AI62" s="761"/>
      <c r="AJ62" s="761"/>
      <c r="AK62" s="761"/>
      <c r="AL62" s="761"/>
      <c r="AM62" s="761"/>
      <c r="AN62" s="761"/>
      <c r="AO62" s="761"/>
      <c r="AP62" s="761"/>
      <c r="AQ62" s="761"/>
      <c r="AR62" s="761"/>
      <c r="AS62" s="761"/>
      <c r="AT62" s="761"/>
      <c r="AU62" s="761"/>
      <c r="AV62" s="761"/>
      <c r="AW62" s="761"/>
      <c r="AX62" s="761"/>
      <c r="AY62" s="761"/>
      <c r="AZ62" s="761"/>
      <c r="BA62" s="761"/>
      <c r="BB62" s="761"/>
      <c r="BC62" s="761"/>
      <c r="BD62" s="761"/>
      <c r="BE62" s="761"/>
      <c r="BF62" s="761"/>
      <c r="BG62" s="761"/>
      <c r="BH62" s="761"/>
      <c r="BI62" s="761"/>
      <c r="BJ62" s="761"/>
      <c r="BK62" s="761"/>
      <c r="BL62" s="761"/>
      <c r="BM62" s="761"/>
      <c r="BN62" s="761"/>
      <c r="BO62" s="761"/>
      <c r="BP62" s="761"/>
      <c r="BQ62" s="761"/>
    </row>
    <row r="63" spans="1:69" ht="14.25" customHeight="1">
      <c r="A63" s="763"/>
      <c r="C63" s="624"/>
      <c r="D63" s="624"/>
      <c r="E63" s="624"/>
      <c r="F63" s="624"/>
      <c r="G63" s="624"/>
      <c r="H63" s="624"/>
      <c r="I63" s="624"/>
      <c r="J63" s="624"/>
      <c r="K63" s="624"/>
      <c r="L63" s="624"/>
      <c r="M63" s="624"/>
      <c r="N63" s="624"/>
      <c r="O63" s="624"/>
      <c r="Q63" s="631"/>
      <c r="R63" s="624" t="s">
        <v>664</v>
      </c>
      <c r="S63" s="764"/>
      <c r="T63" s="759"/>
      <c r="U63" s="764"/>
      <c r="V63" s="765"/>
      <c r="W63" s="761"/>
      <c r="X63" s="761"/>
      <c r="Y63" s="761"/>
      <c r="Z63" s="761"/>
      <c r="AA63" s="761"/>
      <c r="AB63" s="761"/>
      <c r="AC63" s="761"/>
      <c r="AD63" s="761"/>
      <c r="AE63" s="761"/>
      <c r="AF63" s="761"/>
      <c r="AG63" s="761"/>
      <c r="AH63" s="761"/>
      <c r="AI63" s="761"/>
      <c r="AJ63" s="761"/>
      <c r="AK63" s="761"/>
      <c r="AL63" s="761"/>
      <c r="AM63" s="761"/>
      <c r="AN63" s="761"/>
      <c r="AO63" s="761"/>
      <c r="AP63" s="761"/>
      <c r="AQ63" s="761"/>
      <c r="AR63" s="761"/>
      <c r="AS63" s="761"/>
      <c r="AT63" s="761"/>
      <c r="AU63" s="761"/>
      <c r="AV63" s="761"/>
      <c r="AW63" s="761"/>
      <c r="AX63" s="761"/>
      <c r="AY63" s="761"/>
      <c r="AZ63" s="761"/>
      <c r="BA63" s="761"/>
      <c r="BB63" s="761"/>
      <c r="BC63" s="761"/>
      <c r="BD63" s="761"/>
      <c r="BE63" s="761"/>
      <c r="BF63" s="761"/>
      <c r="BG63" s="761"/>
      <c r="BH63" s="761"/>
      <c r="BI63" s="761"/>
      <c r="BJ63" s="761"/>
      <c r="BK63" s="761"/>
      <c r="BL63" s="761"/>
      <c r="BM63" s="761"/>
      <c r="BN63" s="761"/>
      <c r="BO63" s="761"/>
      <c r="BP63" s="761"/>
      <c r="BQ63" s="761"/>
    </row>
    <row r="64" spans="1:69" ht="15">
      <c r="A64" s="763"/>
      <c r="H64" s="624"/>
      <c r="I64" s="624"/>
      <c r="J64" s="624" t="str">
        <f>J8</f>
        <v>Northern States Power Companies</v>
      </c>
      <c r="K64" s="624"/>
      <c r="L64" s="624"/>
      <c r="M64" s="624"/>
      <c r="N64" s="624"/>
      <c r="O64" s="624"/>
      <c r="P64" s="624"/>
      <c r="Q64" s="631"/>
      <c r="R64" s="631"/>
      <c r="S64" s="764"/>
      <c r="T64" s="759"/>
      <c r="U64" s="764"/>
      <c r="V64" s="765"/>
      <c r="W64" s="761"/>
      <c r="X64" s="761"/>
      <c r="Y64" s="761"/>
      <c r="Z64" s="761"/>
      <c r="AA64" s="761"/>
      <c r="AB64" s="761"/>
      <c r="AC64" s="761"/>
      <c r="AD64" s="761"/>
      <c r="AE64" s="761"/>
      <c r="AF64" s="761"/>
      <c r="AG64" s="761"/>
      <c r="AH64" s="761"/>
      <c r="AI64" s="761"/>
      <c r="AJ64" s="761"/>
      <c r="AK64" s="761"/>
      <c r="AL64" s="761"/>
      <c r="AM64" s="761"/>
      <c r="AN64" s="761"/>
      <c r="AO64" s="761"/>
      <c r="AP64" s="761"/>
      <c r="AQ64" s="761"/>
      <c r="AR64" s="761"/>
      <c r="AS64" s="761"/>
      <c r="AT64" s="761"/>
      <c r="AU64" s="761"/>
      <c r="AV64" s="761"/>
      <c r="AW64" s="761"/>
      <c r="AX64" s="761"/>
      <c r="AY64" s="761"/>
      <c r="AZ64" s="761"/>
      <c r="BA64" s="761"/>
      <c r="BB64" s="761"/>
      <c r="BC64" s="761"/>
      <c r="BD64" s="761"/>
      <c r="BE64" s="761"/>
      <c r="BF64" s="761"/>
      <c r="BG64" s="761"/>
      <c r="BH64" s="761"/>
      <c r="BI64" s="761"/>
      <c r="BJ64" s="761"/>
      <c r="BK64" s="761"/>
      <c r="BL64" s="761"/>
      <c r="BM64" s="761"/>
      <c r="BN64" s="761"/>
      <c r="BO64" s="761"/>
      <c r="BP64" s="761"/>
      <c r="BQ64" s="761"/>
    </row>
    <row r="65" spans="1:69" ht="15">
      <c r="A65" s="763"/>
      <c r="H65" s="640"/>
      <c r="I65" s="640"/>
      <c r="J65" s="640"/>
      <c r="K65" s="640"/>
      <c r="L65" s="640"/>
      <c r="M65" s="640"/>
      <c r="N65" s="640"/>
      <c r="O65" s="640"/>
      <c r="P65" s="640"/>
      <c r="Q65" s="640"/>
      <c r="R65" s="640"/>
      <c r="S65" s="764"/>
      <c r="T65" s="759"/>
      <c r="U65" s="764"/>
      <c r="V65" s="765"/>
      <c r="W65" s="761"/>
      <c r="X65" s="761"/>
      <c r="Y65" s="761"/>
      <c r="Z65" s="761"/>
      <c r="AA65" s="761"/>
      <c r="AB65" s="761"/>
      <c r="AC65" s="761"/>
      <c r="AD65" s="761"/>
      <c r="AE65" s="761"/>
      <c r="AF65" s="761"/>
      <c r="AG65" s="761"/>
      <c r="AH65" s="761"/>
      <c r="AI65" s="761"/>
      <c r="AJ65" s="761"/>
      <c r="AK65" s="761"/>
      <c r="AL65" s="761"/>
      <c r="AM65" s="761"/>
      <c r="AN65" s="761"/>
      <c r="AO65" s="761"/>
      <c r="AP65" s="761"/>
      <c r="AQ65" s="761"/>
      <c r="AR65" s="761"/>
      <c r="AS65" s="761"/>
      <c r="AT65" s="761"/>
      <c r="AU65" s="761"/>
      <c r="AV65" s="761"/>
      <c r="AW65" s="761"/>
      <c r="AX65" s="761"/>
      <c r="AY65" s="761"/>
      <c r="AZ65" s="761"/>
      <c r="BA65" s="761"/>
      <c r="BB65" s="761"/>
      <c r="BC65" s="761"/>
      <c r="BD65" s="761"/>
      <c r="BE65" s="761"/>
      <c r="BF65" s="761"/>
      <c r="BG65" s="761"/>
      <c r="BH65" s="761"/>
      <c r="BI65" s="761"/>
      <c r="BJ65" s="761"/>
      <c r="BK65" s="761"/>
      <c r="BL65" s="761"/>
      <c r="BM65" s="761"/>
      <c r="BN65" s="761"/>
      <c r="BO65" s="761"/>
      <c r="BP65" s="761"/>
      <c r="BQ65" s="761"/>
    </row>
    <row r="66" spans="1:69" ht="15.75">
      <c r="A66" s="763"/>
      <c r="C66" s="624"/>
      <c r="D66" s="624"/>
      <c r="E66" s="624"/>
      <c r="F66" s="624"/>
      <c r="G66" s="624"/>
      <c r="H66" s="645" t="s">
        <v>803</v>
      </c>
      <c r="I66" s="645"/>
      <c r="L66" s="629"/>
      <c r="M66" s="629"/>
      <c r="N66" s="629"/>
      <c r="O66" s="629"/>
      <c r="P66" s="629"/>
      <c r="Q66" s="631"/>
      <c r="R66" s="631"/>
      <c r="S66" s="764"/>
      <c r="T66" s="759"/>
      <c r="U66" s="764"/>
      <c r="V66" s="765"/>
      <c r="W66" s="761"/>
      <c r="X66" s="761"/>
      <c r="Y66" s="761"/>
      <c r="Z66" s="761"/>
      <c r="AA66" s="761"/>
      <c r="AB66" s="761"/>
      <c r="AC66" s="761"/>
      <c r="AD66" s="761"/>
      <c r="AE66" s="761"/>
      <c r="AF66" s="761"/>
      <c r="AG66" s="761"/>
      <c r="AH66" s="761"/>
      <c r="AI66" s="761"/>
      <c r="AJ66" s="761"/>
      <c r="AK66" s="761"/>
      <c r="AL66" s="761"/>
      <c r="AM66" s="761"/>
      <c r="AN66" s="761"/>
      <c r="AO66" s="761"/>
      <c r="AP66" s="761"/>
      <c r="AQ66" s="761"/>
      <c r="AR66" s="761"/>
      <c r="AS66" s="761"/>
      <c r="AT66" s="761"/>
      <c r="AU66" s="761"/>
      <c r="AV66" s="761"/>
      <c r="AW66" s="761"/>
      <c r="AX66" s="761"/>
      <c r="AY66" s="761"/>
      <c r="AZ66" s="761"/>
      <c r="BA66" s="761"/>
      <c r="BB66" s="761"/>
      <c r="BC66" s="761"/>
      <c r="BD66" s="761"/>
      <c r="BE66" s="761"/>
      <c r="BF66" s="761"/>
      <c r="BG66" s="761"/>
      <c r="BH66" s="761"/>
      <c r="BI66" s="761"/>
      <c r="BJ66" s="761"/>
      <c r="BK66" s="761"/>
      <c r="BL66" s="761"/>
      <c r="BM66" s="761"/>
      <c r="BN66" s="761"/>
      <c r="BO66" s="761"/>
      <c r="BP66" s="761"/>
      <c r="BQ66" s="761"/>
    </row>
    <row r="67" spans="1:69" ht="15.75">
      <c r="A67" s="763"/>
      <c r="C67" s="624"/>
      <c r="D67" s="624"/>
      <c r="E67" s="624"/>
      <c r="F67" s="624"/>
      <c r="G67" s="624"/>
      <c r="H67" s="645"/>
      <c r="I67" s="645"/>
      <c r="L67" s="629"/>
      <c r="M67" s="629"/>
      <c r="N67" s="629"/>
      <c r="O67" s="629"/>
      <c r="P67" s="629"/>
      <c r="Q67" s="631"/>
      <c r="R67" s="631"/>
      <c r="S67" s="764"/>
      <c r="T67" s="759"/>
      <c r="U67" s="764"/>
      <c r="V67" s="765"/>
      <c r="W67" s="761"/>
      <c r="X67" s="761"/>
      <c r="Y67" s="761"/>
      <c r="Z67" s="761"/>
      <c r="AA67" s="761"/>
      <c r="AB67" s="761"/>
      <c r="AC67" s="761"/>
      <c r="AD67" s="761"/>
      <c r="AE67" s="761"/>
      <c r="AF67" s="761"/>
      <c r="AG67" s="761"/>
      <c r="AH67" s="761"/>
      <c r="AI67" s="761"/>
      <c r="AJ67" s="761"/>
      <c r="AK67" s="761"/>
      <c r="AL67" s="761"/>
      <c r="AM67" s="761"/>
      <c r="AN67" s="761"/>
      <c r="AO67" s="761"/>
      <c r="AP67" s="761"/>
      <c r="AQ67" s="761"/>
      <c r="AR67" s="761"/>
      <c r="AS67" s="761"/>
      <c r="AT67" s="761"/>
      <c r="AU67" s="761"/>
      <c r="AV67" s="761"/>
      <c r="AW67" s="761"/>
      <c r="AX67" s="761"/>
      <c r="AY67" s="761"/>
      <c r="AZ67" s="761"/>
      <c r="BA67" s="761"/>
      <c r="BB67" s="761"/>
      <c r="BC67" s="761"/>
      <c r="BD67" s="761"/>
      <c r="BE67" s="761"/>
      <c r="BF67" s="761"/>
      <c r="BG67" s="761"/>
      <c r="BH67" s="761"/>
      <c r="BI67" s="761"/>
      <c r="BJ67" s="761"/>
      <c r="BK67" s="761"/>
      <c r="BL67" s="761"/>
      <c r="BM67" s="761"/>
      <c r="BN67" s="761"/>
      <c r="BO67" s="761"/>
      <c r="BP67" s="761"/>
      <c r="BQ67" s="761"/>
    </row>
    <row r="68" spans="1:69" ht="15.75">
      <c r="A68" s="785"/>
      <c r="C68" s="786" t="s">
        <v>339</v>
      </c>
      <c r="D68" s="786" t="s">
        <v>340</v>
      </c>
      <c r="E68" s="786" t="s">
        <v>341</v>
      </c>
      <c r="F68" s="786" t="s">
        <v>342</v>
      </c>
      <c r="G68" s="786" t="s">
        <v>343</v>
      </c>
      <c r="H68" s="786" t="s">
        <v>804</v>
      </c>
      <c r="I68" s="786" t="s">
        <v>805</v>
      </c>
      <c r="J68" s="786" t="s">
        <v>806</v>
      </c>
      <c r="K68" s="786" t="s">
        <v>807</v>
      </c>
      <c r="L68" s="786" t="s">
        <v>808</v>
      </c>
      <c r="M68" s="786" t="s">
        <v>809</v>
      </c>
      <c r="N68" s="786" t="s">
        <v>810</v>
      </c>
      <c r="O68" s="786" t="s">
        <v>811</v>
      </c>
      <c r="P68" s="786" t="s">
        <v>812</v>
      </c>
      <c r="Q68" s="786" t="s">
        <v>813</v>
      </c>
      <c r="R68" s="786" t="s">
        <v>814</v>
      </c>
      <c r="S68" s="764"/>
      <c r="T68" s="759"/>
      <c r="U68" s="764"/>
      <c r="V68" s="765"/>
      <c r="W68" s="761"/>
      <c r="X68" s="761"/>
      <c r="Y68" s="761"/>
      <c r="Z68" s="761"/>
      <c r="AA68" s="761"/>
      <c r="AB68" s="761"/>
      <c r="AC68" s="761"/>
      <c r="AD68" s="761"/>
      <c r="AE68" s="761"/>
      <c r="AF68" s="761"/>
      <c r="AG68" s="761"/>
      <c r="AH68" s="761"/>
      <c r="AI68" s="761"/>
      <c r="AJ68" s="761"/>
      <c r="AK68" s="761"/>
      <c r="AL68" s="761"/>
      <c r="AM68" s="761"/>
      <c r="AN68" s="761"/>
      <c r="AO68" s="761"/>
      <c r="AP68" s="761"/>
      <c r="AQ68" s="761"/>
      <c r="AR68" s="761"/>
      <c r="AS68" s="761"/>
      <c r="AT68" s="761"/>
      <c r="AU68" s="761"/>
      <c r="AV68" s="761"/>
      <c r="AW68" s="761"/>
      <c r="AX68" s="761"/>
      <c r="AY68" s="761"/>
      <c r="AZ68" s="761"/>
      <c r="BA68" s="761"/>
      <c r="BB68" s="761"/>
      <c r="BC68" s="761"/>
      <c r="BD68" s="761"/>
      <c r="BE68" s="761"/>
      <c r="BF68" s="761"/>
      <c r="BG68" s="761"/>
      <c r="BH68" s="761"/>
      <c r="BI68" s="761"/>
      <c r="BJ68" s="761"/>
      <c r="BK68" s="761"/>
      <c r="BL68" s="761"/>
      <c r="BM68" s="761"/>
      <c r="BN68" s="761"/>
      <c r="BO68" s="761"/>
      <c r="BP68" s="761"/>
      <c r="BQ68" s="761"/>
    </row>
    <row r="69" spans="1:69" ht="85.5" customHeight="1">
      <c r="A69" s="787" t="s">
        <v>146</v>
      </c>
      <c r="B69" s="788"/>
      <c r="C69" s="789" t="s">
        <v>666</v>
      </c>
      <c r="D69" s="789" t="s">
        <v>667</v>
      </c>
      <c r="E69" s="789" t="s">
        <v>815</v>
      </c>
      <c r="F69" s="789" t="s">
        <v>816</v>
      </c>
      <c r="G69" s="789" t="s">
        <v>817</v>
      </c>
      <c r="H69" s="671" t="s">
        <v>818</v>
      </c>
      <c r="I69" s="671" t="s">
        <v>819</v>
      </c>
      <c r="J69" s="790" t="s">
        <v>820</v>
      </c>
      <c r="K69" s="791" t="s">
        <v>669</v>
      </c>
      <c r="L69" s="671" t="s">
        <v>670</v>
      </c>
      <c r="M69" s="671" t="s">
        <v>662</v>
      </c>
      <c r="N69" s="791" t="s">
        <v>671</v>
      </c>
      <c r="O69" s="671" t="s">
        <v>672</v>
      </c>
      <c r="P69" s="673" t="s">
        <v>673</v>
      </c>
      <c r="Q69" s="674" t="s">
        <v>674</v>
      </c>
      <c r="R69" s="673" t="s">
        <v>821</v>
      </c>
      <c r="S69" s="776"/>
      <c r="T69" s="759"/>
      <c r="U69" s="764"/>
      <c r="V69" s="765"/>
      <c r="W69" s="761"/>
      <c r="X69" s="761"/>
      <c r="Y69" s="761"/>
      <c r="Z69" s="761"/>
      <c r="AA69" s="761"/>
      <c r="AB69" s="761"/>
      <c r="AC69" s="761"/>
      <c r="AD69" s="761"/>
      <c r="AE69" s="761"/>
      <c r="AF69" s="761"/>
      <c r="AG69" s="761"/>
      <c r="AH69" s="761"/>
      <c r="AI69" s="761"/>
      <c r="AJ69" s="761"/>
      <c r="AK69" s="761"/>
      <c r="AL69" s="761"/>
      <c r="AM69" s="761"/>
      <c r="AN69" s="761"/>
      <c r="AO69" s="761"/>
      <c r="AP69" s="761"/>
      <c r="AQ69" s="761"/>
      <c r="AR69" s="761"/>
      <c r="AS69" s="761"/>
      <c r="AT69" s="761"/>
      <c r="AU69" s="761"/>
      <c r="AV69" s="761"/>
      <c r="AW69" s="761"/>
      <c r="AX69" s="761"/>
      <c r="AY69" s="761"/>
      <c r="AZ69" s="761"/>
      <c r="BA69" s="761"/>
      <c r="BB69" s="761"/>
      <c r="BC69" s="761"/>
      <c r="BD69" s="761"/>
      <c r="BE69" s="761"/>
      <c r="BF69" s="761"/>
      <c r="BG69" s="761"/>
      <c r="BH69" s="761"/>
      <c r="BI69" s="761"/>
      <c r="BJ69" s="761"/>
      <c r="BK69" s="761"/>
      <c r="BL69" s="761"/>
      <c r="BM69" s="761"/>
      <c r="BN69" s="761"/>
      <c r="BO69" s="761"/>
      <c r="BP69" s="761"/>
      <c r="BQ69" s="761"/>
    </row>
    <row r="70" spans="1:69" ht="46.5" customHeight="1">
      <c r="A70" s="675"/>
      <c r="B70" s="676"/>
      <c r="C70" s="676"/>
      <c r="D70" s="676"/>
      <c r="E70" s="792" t="s">
        <v>313</v>
      </c>
      <c r="F70" s="792" t="s">
        <v>457</v>
      </c>
      <c r="G70" s="677" t="s">
        <v>822</v>
      </c>
      <c r="H70" s="792" t="s">
        <v>823</v>
      </c>
      <c r="I70" s="677" t="s">
        <v>824</v>
      </c>
      <c r="J70" s="792" t="s">
        <v>825</v>
      </c>
      <c r="K70" s="793" t="s">
        <v>826</v>
      </c>
      <c r="L70" s="792" t="s">
        <v>827</v>
      </c>
      <c r="M70" s="677" t="s">
        <v>678</v>
      </c>
      <c r="N70" s="678" t="s">
        <v>828</v>
      </c>
      <c r="O70" s="677" t="s">
        <v>335</v>
      </c>
      <c r="P70" s="678" t="s">
        <v>829</v>
      </c>
      <c r="Q70" s="679" t="s">
        <v>681</v>
      </c>
      <c r="R70" s="680" t="s">
        <v>830</v>
      </c>
      <c r="S70" s="764"/>
      <c r="T70" s="759"/>
      <c r="U70" s="764"/>
      <c r="V70" s="765"/>
      <c r="W70" s="761"/>
      <c r="X70" s="761"/>
      <c r="Y70" s="761"/>
      <c r="Z70" s="761"/>
      <c r="AA70" s="761"/>
      <c r="AB70" s="761"/>
      <c r="AC70" s="761"/>
      <c r="AD70" s="761"/>
      <c r="AE70" s="761"/>
      <c r="AF70" s="761"/>
      <c r="AG70" s="761"/>
      <c r="AH70" s="761"/>
      <c r="AI70" s="761"/>
      <c r="AJ70" s="761"/>
      <c r="AK70" s="761"/>
      <c r="AL70" s="761"/>
      <c r="AM70" s="761"/>
      <c r="AN70" s="761"/>
      <c r="AO70" s="761"/>
      <c r="AP70" s="761"/>
      <c r="AQ70" s="761"/>
      <c r="AR70" s="761"/>
      <c r="AS70" s="761"/>
      <c r="AT70" s="761"/>
      <c r="AU70" s="761"/>
      <c r="AV70" s="761"/>
      <c r="AW70" s="761"/>
      <c r="AX70" s="761"/>
      <c r="AY70" s="761"/>
      <c r="AZ70" s="761"/>
      <c r="BA70" s="761"/>
      <c r="BB70" s="761"/>
      <c r="BC70" s="761"/>
      <c r="BD70" s="761"/>
      <c r="BE70" s="761"/>
      <c r="BF70" s="761"/>
      <c r="BG70" s="761"/>
      <c r="BH70" s="761"/>
      <c r="BI70" s="761"/>
      <c r="BJ70" s="761"/>
      <c r="BK70" s="761"/>
      <c r="BL70" s="761"/>
      <c r="BM70" s="761"/>
      <c r="BN70" s="761"/>
      <c r="BO70" s="761"/>
      <c r="BP70" s="761"/>
      <c r="BQ70" s="761"/>
    </row>
    <row r="71" spans="1:69" ht="15">
      <c r="A71" s="681" t="s">
        <v>831</v>
      </c>
      <c r="B71" s="629"/>
      <c r="C71" s="629"/>
      <c r="D71" s="629"/>
      <c r="E71" s="629"/>
      <c r="F71" s="629"/>
      <c r="G71" s="629"/>
      <c r="H71" s="629"/>
      <c r="I71" s="629"/>
      <c r="J71" s="629"/>
      <c r="K71" s="682"/>
      <c r="L71" s="629"/>
      <c r="M71" s="629"/>
      <c r="N71" s="682"/>
      <c r="O71" s="629"/>
      <c r="P71" s="682"/>
      <c r="Q71" s="631"/>
      <c r="R71" s="683"/>
      <c r="S71" s="764"/>
      <c r="T71" s="759"/>
      <c r="U71" s="764"/>
      <c r="V71" s="765"/>
      <c r="W71" s="761"/>
      <c r="X71" s="761"/>
      <c r="Y71" s="761"/>
      <c r="Z71" s="761"/>
      <c r="AA71" s="761"/>
      <c r="AB71" s="761"/>
      <c r="AC71" s="761"/>
      <c r="AD71" s="761"/>
      <c r="AE71" s="761"/>
      <c r="AF71" s="761"/>
      <c r="AG71" s="761"/>
      <c r="AH71" s="761"/>
      <c r="AI71" s="761"/>
      <c r="AJ71" s="761"/>
      <c r="AK71" s="761"/>
      <c r="AL71" s="761"/>
      <c r="AM71" s="761"/>
      <c r="AN71" s="761"/>
      <c r="AO71" s="761"/>
      <c r="AP71" s="761"/>
      <c r="AQ71" s="761"/>
      <c r="AR71" s="761"/>
      <c r="AS71" s="761"/>
      <c r="AT71" s="761"/>
      <c r="AU71" s="761"/>
      <c r="AV71" s="761"/>
      <c r="AW71" s="761"/>
      <c r="AX71" s="761"/>
      <c r="AY71" s="761"/>
      <c r="AZ71" s="761"/>
      <c r="BA71" s="761"/>
      <c r="BB71" s="761"/>
      <c r="BC71" s="761"/>
      <c r="BD71" s="761"/>
      <c r="BE71" s="761"/>
      <c r="BF71" s="761"/>
      <c r="BG71" s="761"/>
      <c r="BH71" s="761"/>
      <c r="BI71" s="761"/>
      <c r="BJ71" s="761"/>
      <c r="BK71" s="761"/>
      <c r="BL71" s="761"/>
      <c r="BM71" s="761"/>
      <c r="BN71" s="761"/>
      <c r="BO71" s="761"/>
      <c r="BP71" s="761"/>
      <c r="BQ71" s="761"/>
    </row>
    <row r="72" spans="1:69" s="624" customFormat="1" ht="15">
      <c r="A72" s="684" t="s">
        <v>421</v>
      </c>
      <c r="C72" s="954" t="s">
        <v>987</v>
      </c>
      <c r="D72" s="638">
        <v>1203</v>
      </c>
      <c r="E72" s="794">
        <f>'Attach MM Support Data '!C23</f>
        <v>443759157.98785216</v>
      </c>
      <c r="F72" s="794">
        <f>'Attach MM Support Data '!C39</f>
        <v>34487097.253900036</v>
      </c>
      <c r="G72" s="651">
        <f>$L$29</f>
        <v>4.6310738093877528E-2</v>
      </c>
      <c r="H72" s="685">
        <f>F72*G72</f>
        <v>1597122.9285434475</v>
      </c>
      <c r="I72" s="651">
        <f>$L$44</f>
        <v>1.8501186524941579E-2</v>
      </c>
      <c r="J72" s="687">
        <f>E72*I72</f>
        <v>8210070.9540842716</v>
      </c>
      <c r="K72" s="686">
        <f>H72+J72</f>
        <v>9807193.8826277182</v>
      </c>
      <c r="L72" s="685">
        <f>E72-F72</f>
        <v>409272060.73395211</v>
      </c>
      <c r="M72" s="651">
        <f>$L$54</f>
        <v>9.3877244799592599E-2</v>
      </c>
      <c r="N72" s="686">
        <f>L72*M72</f>
        <v>38421333.435154952</v>
      </c>
      <c r="O72" s="794">
        <f>'Attach MM Support Data '!C59</f>
        <v>8571112.1013872866</v>
      </c>
      <c r="P72" s="686">
        <f>K72+N72+O72</f>
        <v>56799639.419169955</v>
      </c>
      <c r="Q72" s="794">
        <v>2636474.406020686</v>
      </c>
      <c r="R72" s="686">
        <f>P72+Q72</f>
        <v>59436113.825190641</v>
      </c>
      <c r="S72" s="688"/>
      <c r="T72" s="688"/>
      <c r="U72" s="688"/>
      <c r="V72" s="688"/>
      <c r="W72" s="688"/>
      <c r="X72" s="688"/>
      <c r="Y72" s="688"/>
    </row>
    <row r="73" spans="1:69" s="624" customFormat="1" ht="15">
      <c r="A73" s="1061" t="s">
        <v>1136</v>
      </c>
      <c r="C73" s="624" t="s">
        <v>1138</v>
      </c>
      <c r="D73" s="638">
        <v>2221</v>
      </c>
      <c r="E73" s="794">
        <f>'Attach MM Support Data '!D23</f>
        <v>70064942.295934647</v>
      </c>
      <c r="F73" s="794">
        <f>'Attach MM Support Data '!D39</f>
        <v>828960.77452035306</v>
      </c>
      <c r="G73" s="651">
        <f>$L$29</f>
        <v>4.6310738093877528E-2</v>
      </c>
      <c r="H73" s="685">
        <f>F73*G73</f>
        <v>38389.785318909933</v>
      </c>
      <c r="I73" s="651">
        <f>$L$44</f>
        <v>1.8501186524941579E-2</v>
      </c>
      <c r="J73" s="687">
        <f>E73*I73</f>
        <v>1296284.5662763554</v>
      </c>
      <c r="K73" s="686">
        <f>H73+J73</f>
        <v>1334674.3515952653</v>
      </c>
      <c r="L73" s="685">
        <f>E73-F73</f>
        <v>69235981.521414295</v>
      </c>
      <c r="M73" s="651">
        <f>$L$54</f>
        <v>9.3877244799592599E-2</v>
      </c>
      <c r="N73" s="686">
        <f>L73*M73</f>
        <v>6499683.186225879</v>
      </c>
      <c r="O73" s="794">
        <f>'Attach MM Support Data '!D59</f>
        <v>1464586.3854435103</v>
      </c>
      <c r="P73" s="686">
        <f>K73+N73+O73</f>
        <v>9298943.9232646544</v>
      </c>
      <c r="Q73" s="794"/>
      <c r="R73" s="686">
        <f>P73+Q73</f>
        <v>9298943.9232646544</v>
      </c>
      <c r="S73" s="688"/>
      <c r="T73" s="688"/>
      <c r="U73" s="688"/>
      <c r="V73" s="688"/>
      <c r="W73" s="688"/>
      <c r="X73" s="688"/>
      <c r="Y73" s="688"/>
    </row>
    <row r="74" spans="1:69" s="624" customFormat="1" ht="15">
      <c r="A74" s="1061" t="s">
        <v>1137</v>
      </c>
      <c r="C74" s="624" t="s">
        <v>1139</v>
      </c>
      <c r="D74" s="638">
        <v>3127</v>
      </c>
      <c r="E74" s="794">
        <f>'Attach MM Support Data '!E23</f>
        <v>12218879.87119025</v>
      </c>
      <c r="F74" s="794">
        <f>'Attach MM Support Data '!E39</f>
        <v>10339.270516788183</v>
      </c>
      <c r="G74" s="651">
        <f>$L$29</f>
        <v>4.6310738093877528E-2</v>
      </c>
      <c r="H74" s="685">
        <f>F74*G74</f>
        <v>478.81924898472732</v>
      </c>
      <c r="I74" s="651">
        <f>$L$44</f>
        <v>1.8501186524941579E-2</v>
      </c>
      <c r="J74" s="687">
        <f>E74*I74</f>
        <v>226063.77562274496</v>
      </c>
      <c r="K74" s="686">
        <f>H74+J74</f>
        <v>226542.59487172967</v>
      </c>
      <c r="L74" s="685">
        <f>E74-F74</f>
        <v>12208540.600673461</v>
      </c>
      <c r="M74" s="651">
        <f>$L$54</f>
        <v>9.3877244799592599E-2</v>
      </c>
      <c r="N74" s="686">
        <f>L74*M74</f>
        <v>1146104.1546151878</v>
      </c>
      <c r="O74" s="794">
        <f>'Attach MM Support Data '!E59</f>
        <v>130953.91799952702</v>
      </c>
      <c r="P74" s="686">
        <f>K74+N74+O74</f>
        <v>1503600.6674864443</v>
      </c>
      <c r="Q74" s="794"/>
      <c r="R74" s="686">
        <f>P74+Q74</f>
        <v>1503600.6674864443</v>
      </c>
      <c r="S74" s="688"/>
      <c r="T74" s="688"/>
      <c r="U74" s="688"/>
      <c r="V74" s="688"/>
      <c r="W74" s="688"/>
      <c r="X74" s="688"/>
      <c r="Y74" s="688"/>
    </row>
    <row r="75" spans="1:69">
      <c r="A75" s="795"/>
      <c r="D75" s="796"/>
      <c r="K75" s="797"/>
      <c r="N75" s="797"/>
      <c r="P75" s="797"/>
      <c r="R75" s="797"/>
      <c r="S75" s="798"/>
      <c r="T75" s="798"/>
      <c r="U75" s="798"/>
      <c r="V75" s="798"/>
      <c r="W75" s="798"/>
      <c r="X75" s="798"/>
      <c r="Y75" s="798"/>
    </row>
    <row r="76" spans="1:69">
      <c r="A76" s="795"/>
      <c r="D76" s="796"/>
      <c r="K76" s="797"/>
      <c r="N76" s="797"/>
      <c r="P76" s="797"/>
      <c r="R76" s="797"/>
      <c r="S76" s="798"/>
      <c r="T76" s="798"/>
      <c r="U76" s="798"/>
      <c r="V76" s="798"/>
      <c r="W76" s="798"/>
      <c r="X76" s="798"/>
      <c r="Y76" s="798"/>
    </row>
    <row r="77" spans="1:69">
      <c r="A77" s="795"/>
      <c r="D77" s="796"/>
      <c r="K77" s="797"/>
      <c r="N77" s="797"/>
      <c r="P77" s="797"/>
      <c r="R77" s="797"/>
      <c r="S77" s="798"/>
      <c r="T77" s="798"/>
      <c r="U77" s="798"/>
      <c r="V77" s="798"/>
      <c r="W77" s="798"/>
      <c r="X77" s="798"/>
      <c r="Y77" s="798"/>
    </row>
    <row r="78" spans="1:69">
      <c r="A78" s="795"/>
      <c r="D78" s="796"/>
      <c r="K78" s="797"/>
      <c r="N78" s="797"/>
      <c r="P78" s="797"/>
      <c r="R78" s="797"/>
      <c r="S78" s="798"/>
      <c r="T78" s="798"/>
      <c r="U78" s="798"/>
      <c r="V78" s="798"/>
      <c r="W78" s="798"/>
      <c r="X78" s="798"/>
      <c r="Y78" s="798"/>
    </row>
    <row r="79" spans="1:69">
      <c r="A79" s="795"/>
      <c r="C79" s="798"/>
      <c r="D79" s="799"/>
      <c r="E79" s="798"/>
      <c r="F79" s="798"/>
      <c r="G79" s="798"/>
      <c r="H79" s="798"/>
      <c r="I79" s="798"/>
      <c r="J79" s="798"/>
      <c r="K79" s="800"/>
      <c r="L79" s="798"/>
      <c r="M79" s="798"/>
      <c r="N79" s="800"/>
      <c r="O79" s="798"/>
      <c r="P79" s="800"/>
      <c r="Q79" s="798"/>
      <c r="R79" s="800"/>
      <c r="S79" s="798"/>
      <c r="T79" s="798"/>
      <c r="U79" s="798"/>
      <c r="V79" s="798"/>
      <c r="W79" s="798"/>
      <c r="X79" s="798"/>
      <c r="Y79" s="798"/>
    </row>
    <row r="80" spans="1:69">
      <c r="A80" s="795"/>
      <c r="C80" s="798"/>
      <c r="D80" s="799"/>
      <c r="E80" s="798"/>
      <c r="F80" s="798"/>
      <c r="G80" s="798"/>
      <c r="H80" s="798"/>
      <c r="I80" s="798"/>
      <c r="J80" s="798"/>
      <c r="K80" s="800"/>
      <c r="L80" s="798"/>
      <c r="M80" s="798"/>
      <c r="N80" s="800"/>
      <c r="O80" s="798"/>
      <c r="P80" s="800"/>
      <c r="Q80" s="798"/>
      <c r="R80" s="800"/>
      <c r="S80" s="798"/>
      <c r="T80" s="798"/>
      <c r="U80" s="798"/>
      <c r="V80" s="798"/>
      <c r="W80" s="798"/>
      <c r="X80" s="798"/>
      <c r="Y80" s="798"/>
    </row>
    <row r="81" spans="1:25">
      <c r="A81" s="795"/>
      <c r="C81" s="798"/>
      <c r="D81" s="799"/>
      <c r="E81" s="798"/>
      <c r="F81" s="798"/>
      <c r="G81" s="798"/>
      <c r="H81" s="798"/>
      <c r="I81" s="798"/>
      <c r="J81" s="798"/>
      <c r="K81" s="800"/>
      <c r="L81" s="798"/>
      <c r="M81" s="798"/>
      <c r="N81" s="800"/>
      <c r="O81" s="798"/>
      <c r="P81" s="800"/>
      <c r="Q81" s="798"/>
      <c r="R81" s="800"/>
      <c r="S81" s="798"/>
      <c r="T81" s="798"/>
      <c r="U81" s="798"/>
      <c r="V81" s="798"/>
      <c r="W81" s="798"/>
      <c r="X81" s="798"/>
      <c r="Y81" s="798"/>
    </row>
    <row r="82" spans="1:25">
      <c r="A82" s="795"/>
      <c r="C82" s="798"/>
      <c r="D82" s="799"/>
      <c r="E82" s="798"/>
      <c r="F82" s="798"/>
      <c r="G82" s="798"/>
      <c r="H82" s="798"/>
      <c r="I82" s="798"/>
      <c r="J82" s="798"/>
      <c r="K82" s="800"/>
      <c r="L82" s="798"/>
      <c r="M82" s="798"/>
      <c r="N82" s="800"/>
      <c r="O82" s="798"/>
      <c r="P82" s="800"/>
      <c r="Q82" s="798"/>
      <c r="R82" s="800"/>
      <c r="S82" s="798"/>
      <c r="T82" s="798"/>
      <c r="U82" s="798"/>
      <c r="V82" s="798"/>
      <c r="W82" s="798"/>
      <c r="X82" s="798"/>
      <c r="Y82" s="798"/>
    </row>
    <row r="83" spans="1:25">
      <c r="A83" s="795"/>
      <c r="C83" s="798"/>
      <c r="D83" s="799"/>
      <c r="E83" s="798"/>
      <c r="F83" s="798"/>
      <c r="G83" s="798"/>
      <c r="H83" s="798"/>
      <c r="I83" s="798"/>
      <c r="J83" s="798"/>
      <c r="K83" s="800"/>
      <c r="L83" s="798"/>
      <c r="M83" s="798"/>
      <c r="N83" s="800"/>
      <c r="O83" s="798"/>
      <c r="P83" s="800"/>
      <c r="Q83" s="798"/>
      <c r="R83" s="800"/>
      <c r="S83" s="798"/>
      <c r="T83" s="798"/>
      <c r="U83" s="798"/>
      <c r="V83" s="798"/>
      <c r="W83" s="798"/>
      <c r="X83" s="798"/>
      <c r="Y83" s="798"/>
    </row>
    <row r="84" spans="1:25">
      <c r="A84" s="795"/>
      <c r="C84" s="798"/>
      <c r="D84" s="799"/>
      <c r="E84" s="798"/>
      <c r="F84" s="798"/>
      <c r="G84" s="798"/>
      <c r="H84" s="798"/>
      <c r="I84" s="798"/>
      <c r="J84" s="798"/>
      <c r="K84" s="800"/>
      <c r="L84" s="798"/>
      <c r="M84" s="798"/>
      <c r="N84" s="800"/>
      <c r="O84" s="798"/>
      <c r="P84" s="800"/>
      <c r="Q84" s="798"/>
      <c r="R84" s="800"/>
      <c r="S84" s="798"/>
      <c r="T84" s="798"/>
      <c r="U84" s="798"/>
      <c r="V84" s="798"/>
      <c r="W84" s="798"/>
      <c r="X84" s="798"/>
      <c r="Y84" s="798"/>
    </row>
    <row r="85" spans="1:25">
      <c r="A85" s="795"/>
      <c r="C85" s="798"/>
      <c r="D85" s="799"/>
      <c r="E85" s="798"/>
      <c r="F85" s="798"/>
      <c r="G85" s="798"/>
      <c r="H85" s="798"/>
      <c r="I85" s="798"/>
      <c r="J85" s="798"/>
      <c r="K85" s="800"/>
      <c r="L85" s="798"/>
      <c r="M85" s="798"/>
      <c r="N85" s="800"/>
      <c r="O85" s="798"/>
      <c r="P85" s="800"/>
      <c r="Q85" s="798"/>
      <c r="R85" s="800"/>
      <c r="S85" s="798"/>
      <c r="T85" s="798"/>
      <c r="U85" s="798"/>
      <c r="V85" s="798"/>
      <c r="W85" s="798"/>
      <c r="X85" s="798"/>
      <c r="Y85" s="798"/>
    </row>
    <row r="86" spans="1:25">
      <c r="A86" s="795"/>
      <c r="C86" s="798"/>
      <c r="D86" s="799"/>
      <c r="E86" s="798"/>
      <c r="F86" s="798"/>
      <c r="G86" s="798"/>
      <c r="H86" s="798"/>
      <c r="I86" s="798"/>
      <c r="J86" s="798"/>
      <c r="K86" s="800"/>
      <c r="L86" s="798"/>
      <c r="M86" s="798"/>
      <c r="N86" s="800"/>
      <c r="O86" s="798"/>
      <c r="P86" s="800"/>
      <c r="Q86" s="798"/>
      <c r="R86" s="800"/>
      <c r="S86" s="798"/>
      <c r="T86" s="798"/>
      <c r="U86" s="798"/>
      <c r="V86" s="798"/>
      <c r="W86" s="798"/>
      <c r="X86" s="798"/>
      <c r="Y86" s="798"/>
    </row>
    <row r="87" spans="1:25">
      <c r="A87" s="795"/>
      <c r="C87" s="798"/>
      <c r="D87" s="799"/>
      <c r="E87" s="798"/>
      <c r="F87" s="798"/>
      <c r="G87" s="798"/>
      <c r="H87" s="798"/>
      <c r="I87" s="798"/>
      <c r="J87" s="798"/>
      <c r="K87" s="800"/>
      <c r="L87" s="798"/>
      <c r="M87" s="798"/>
      <c r="N87" s="800"/>
      <c r="O87" s="798"/>
      <c r="P87" s="800"/>
      <c r="Q87" s="798"/>
      <c r="R87" s="800"/>
      <c r="S87" s="798"/>
      <c r="T87" s="798"/>
      <c r="U87" s="798"/>
      <c r="V87" s="798"/>
      <c r="W87" s="798"/>
      <c r="X87" s="798"/>
      <c r="Y87" s="798"/>
    </row>
    <row r="88" spans="1:25">
      <c r="A88" s="795"/>
      <c r="C88" s="798"/>
      <c r="D88" s="799"/>
      <c r="E88" s="798"/>
      <c r="F88" s="798"/>
      <c r="G88" s="798"/>
      <c r="H88" s="798"/>
      <c r="I88" s="798"/>
      <c r="J88" s="798"/>
      <c r="K88" s="800"/>
      <c r="L88" s="798"/>
      <c r="M88" s="798"/>
      <c r="N88" s="800"/>
      <c r="O88" s="798"/>
      <c r="P88" s="800"/>
      <c r="Q88" s="798"/>
      <c r="R88" s="800"/>
      <c r="S88" s="798"/>
      <c r="T88" s="798"/>
      <c r="U88" s="798"/>
      <c r="V88" s="798"/>
      <c r="W88" s="798"/>
      <c r="X88" s="798"/>
      <c r="Y88" s="798"/>
    </row>
    <row r="89" spans="1:25">
      <c r="A89" s="795"/>
      <c r="C89" s="798"/>
      <c r="D89" s="799"/>
      <c r="E89" s="798"/>
      <c r="F89" s="798"/>
      <c r="G89" s="798"/>
      <c r="H89" s="798"/>
      <c r="I89" s="798"/>
      <c r="J89" s="798"/>
      <c r="K89" s="800"/>
      <c r="L89" s="798"/>
      <c r="M89" s="798"/>
      <c r="N89" s="800"/>
      <c r="O89" s="798"/>
      <c r="P89" s="800"/>
      <c r="Q89" s="798"/>
      <c r="R89" s="800"/>
      <c r="S89" s="798"/>
      <c r="T89" s="798"/>
      <c r="U89" s="798"/>
      <c r="V89" s="798"/>
      <c r="W89" s="798"/>
      <c r="X89" s="798"/>
      <c r="Y89" s="798"/>
    </row>
    <row r="90" spans="1:25">
      <c r="A90" s="801"/>
      <c r="B90" s="802"/>
      <c r="C90" s="803"/>
      <c r="D90" s="803"/>
      <c r="E90" s="803"/>
      <c r="F90" s="803"/>
      <c r="G90" s="803"/>
      <c r="H90" s="803"/>
      <c r="I90" s="803"/>
      <c r="J90" s="803"/>
      <c r="K90" s="804"/>
      <c r="L90" s="803"/>
      <c r="M90" s="803"/>
      <c r="N90" s="804"/>
      <c r="O90" s="803"/>
      <c r="P90" s="804"/>
      <c r="Q90" s="803"/>
      <c r="R90" s="804"/>
      <c r="S90" s="798"/>
      <c r="T90" s="798"/>
      <c r="U90" s="798"/>
      <c r="V90" s="798"/>
      <c r="W90" s="798"/>
      <c r="X90" s="798"/>
      <c r="Y90" s="798"/>
    </row>
    <row r="91" spans="1:25" ht="15">
      <c r="A91" s="639" t="s">
        <v>711</v>
      </c>
      <c r="B91" s="783"/>
      <c r="C91" s="640" t="s">
        <v>832</v>
      </c>
      <c r="D91" s="640"/>
      <c r="E91" s="1069">
        <f>SUM(E72:E90)</f>
        <v>526042980.15497702</v>
      </c>
      <c r="F91" s="1069">
        <f>SUM(F72:F90)</f>
        <v>35326397.298937179</v>
      </c>
      <c r="G91" s="640"/>
      <c r="H91" s="655"/>
      <c r="I91" s="655"/>
      <c r="J91" s="631"/>
      <c r="K91" s="631"/>
      <c r="L91" s="1069">
        <f>SUM(L72:L90)</f>
        <v>490716582.85603982</v>
      </c>
      <c r="M91" s="631"/>
      <c r="N91" s="631"/>
      <c r="O91" s="1069">
        <f>SUM(O72:O90)</f>
        <v>10166652.404830324</v>
      </c>
      <c r="P91" s="663">
        <f>SUM(P72:P90)</f>
        <v>67602184.009921059</v>
      </c>
      <c r="Q91" s="859">
        <f>SUM(Q72:Q90)</f>
        <v>2636474.406020686</v>
      </c>
      <c r="R91" s="663">
        <f>SUM(R72:R90)</f>
        <v>70238658.415941745</v>
      </c>
      <c r="S91" s="798"/>
      <c r="T91" s="798"/>
      <c r="U91" s="798"/>
      <c r="V91" s="798"/>
      <c r="W91" s="798"/>
      <c r="X91" s="798"/>
      <c r="Y91" s="798"/>
    </row>
    <row r="92" spans="1:25">
      <c r="A92" s="688"/>
      <c r="B92" s="798"/>
      <c r="C92" s="798"/>
      <c r="D92" s="798"/>
      <c r="E92" s="798"/>
      <c r="F92" s="798"/>
      <c r="G92" s="798"/>
      <c r="H92" s="798"/>
      <c r="I92" s="798"/>
      <c r="J92" s="798"/>
      <c r="K92" s="798"/>
      <c r="L92" s="798"/>
      <c r="M92" s="798"/>
      <c r="N92" s="798"/>
      <c r="O92" s="798"/>
      <c r="P92" s="798"/>
      <c r="Q92" s="798"/>
      <c r="R92" s="798"/>
      <c r="S92" s="798"/>
      <c r="T92" s="798"/>
      <c r="U92" s="798"/>
      <c r="V92" s="798"/>
      <c r="W92" s="798"/>
      <c r="X92" s="798"/>
      <c r="Y92" s="798"/>
    </row>
    <row r="93" spans="1:25" ht="15">
      <c r="A93" s="695">
        <v>3</v>
      </c>
      <c r="B93" s="798"/>
      <c r="C93" s="624" t="s">
        <v>713</v>
      </c>
      <c r="D93" s="624"/>
      <c r="E93" s="624"/>
      <c r="F93" s="624"/>
      <c r="G93" s="798"/>
      <c r="H93" s="798"/>
      <c r="I93" s="798"/>
      <c r="J93" s="798"/>
      <c r="K93" s="798"/>
      <c r="L93" s="798"/>
      <c r="M93" s="798"/>
      <c r="N93" s="798"/>
      <c r="O93" s="798"/>
      <c r="P93" s="663">
        <f>P91</f>
        <v>67602184.009921059</v>
      </c>
      <c r="Q93" s="798"/>
      <c r="R93" s="798"/>
      <c r="S93" s="798"/>
      <c r="T93" s="798"/>
      <c r="U93" s="798"/>
      <c r="V93" s="798"/>
      <c r="W93" s="798"/>
      <c r="X93" s="798"/>
      <c r="Y93" s="798"/>
    </row>
    <row r="94" spans="1:25">
      <c r="A94" s="798"/>
      <c r="B94" s="798"/>
      <c r="C94" s="798"/>
      <c r="D94" s="798"/>
      <c r="E94" s="798"/>
      <c r="F94" s="798"/>
      <c r="G94" s="798"/>
      <c r="H94" s="798"/>
      <c r="I94" s="798"/>
      <c r="J94" s="798"/>
      <c r="K94" s="798"/>
      <c r="L94" s="798"/>
      <c r="M94" s="798"/>
      <c r="N94" s="798"/>
      <c r="O94" s="798"/>
      <c r="P94" s="798"/>
      <c r="Q94" s="798"/>
      <c r="R94" s="798"/>
      <c r="S94" s="798"/>
      <c r="T94" s="798"/>
      <c r="U94" s="798"/>
      <c r="V94" s="798"/>
      <c r="W94" s="798"/>
      <c r="X94" s="798"/>
      <c r="Y94" s="798"/>
    </row>
    <row r="95" spans="1:25" ht="15">
      <c r="A95" s="798"/>
      <c r="B95" s="798"/>
      <c r="C95" s="798"/>
      <c r="D95" s="798"/>
      <c r="E95" s="798"/>
      <c r="F95" s="798"/>
      <c r="G95" s="798"/>
      <c r="H95" s="798"/>
      <c r="I95" s="798"/>
      <c r="J95" s="798"/>
      <c r="K95" s="798"/>
      <c r="L95" s="798"/>
      <c r="M95" s="798"/>
      <c r="N95" s="798"/>
      <c r="O95" s="798"/>
      <c r="P95" s="1155"/>
      <c r="Q95" s="1156"/>
      <c r="R95" s="1155"/>
      <c r="S95" s="798"/>
      <c r="T95" s="798"/>
      <c r="U95" s="798"/>
      <c r="V95" s="798"/>
      <c r="W95" s="798"/>
      <c r="X95" s="798"/>
      <c r="Y95" s="798"/>
    </row>
    <row r="96" spans="1:25" ht="15">
      <c r="A96" s="624" t="s">
        <v>566</v>
      </c>
      <c r="B96" s="798"/>
      <c r="C96" s="798"/>
      <c r="D96" s="798"/>
      <c r="E96" s="798"/>
      <c r="F96" s="798"/>
      <c r="G96" s="798"/>
      <c r="H96" s="798"/>
      <c r="I96" s="798"/>
      <c r="J96" s="798"/>
      <c r="K96" s="798"/>
      <c r="L96" s="798"/>
      <c r="M96" s="798"/>
      <c r="N96" s="798"/>
      <c r="O96" s="798"/>
      <c r="P96" s="663"/>
      <c r="Q96" s="663"/>
      <c r="R96" s="663"/>
      <c r="S96" s="798"/>
      <c r="T96" s="798"/>
      <c r="U96" s="798"/>
      <c r="V96" s="798"/>
      <c r="W96" s="798"/>
      <c r="X96" s="798"/>
      <c r="Y96" s="798"/>
    </row>
    <row r="97" spans="1:25" ht="15.75" thickBot="1">
      <c r="A97" s="696" t="s">
        <v>567</v>
      </c>
      <c r="B97" s="798"/>
      <c r="C97" s="798"/>
      <c r="D97" s="798"/>
      <c r="E97" s="798"/>
      <c r="F97" s="798"/>
      <c r="G97" s="798"/>
      <c r="H97" s="798"/>
      <c r="I97" s="798"/>
      <c r="J97" s="798"/>
      <c r="K97" s="798"/>
      <c r="L97" s="798"/>
      <c r="M97" s="798"/>
      <c r="N97" s="798"/>
      <c r="O97" s="798"/>
      <c r="P97" s="663"/>
      <c r="Q97" s="859"/>
      <c r="R97" s="950"/>
      <c r="S97" s="798"/>
      <c r="T97" s="798"/>
      <c r="U97" s="798"/>
      <c r="V97" s="798"/>
      <c r="W97" s="798"/>
      <c r="X97" s="798"/>
      <c r="Y97" s="798"/>
    </row>
    <row r="98" spans="1:25" ht="31.5" customHeight="1">
      <c r="A98" s="805" t="s">
        <v>247</v>
      </c>
      <c r="B98" s="806"/>
      <c r="C98" s="1199" t="s">
        <v>1061</v>
      </c>
      <c r="D98" s="1200"/>
      <c r="E98" s="1200"/>
      <c r="F98" s="1200"/>
      <c r="G98" s="1193"/>
      <c r="H98" s="1193"/>
      <c r="I98" s="1193"/>
      <c r="J98" s="1193"/>
      <c r="K98" s="1193"/>
      <c r="L98" s="1193"/>
      <c r="M98" s="1193"/>
      <c r="N98" s="1193"/>
      <c r="O98" s="1193"/>
      <c r="P98" s="1193"/>
      <c r="Q98" s="1193"/>
      <c r="R98" s="1193"/>
      <c r="S98" s="798"/>
      <c r="T98" s="798"/>
      <c r="U98" s="798"/>
      <c r="V98" s="798"/>
      <c r="W98" s="798"/>
      <c r="X98" s="798"/>
      <c r="Y98" s="798"/>
    </row>
    <row r="99" spans="1:25" ht="17.100000000000001" customHeight="1">
      <c r="A99" s="805" t="s">
        <v>248</v>
      </c>
      <c r="B99" s="806"/>
      <c r="C99" s="1200" t="s">
        <v>833</v>
      </c>
      <c r="D99" s="1200"/>
      <c r="E99" s="1200"/>
      <c r="F99" s="1200"/>
      <c r="G99" s="1193"/>
      <c r="H99" s="1193"/>
      <c r="I99" s="1193"/>
      <c r="J99" s="1193"/>
      <c r="K99" s="1193"/>
      <c r="L99" s="1193"/>
      <c r="M99" s="1193"/>
      <c r="N99" s="1193"/>
      <c r="O99" s="1193"/>
      <c r="P99" s="1193"/>
      <c r="Q99" s="1193"/>
      <c r="R99" s="1193"/>
      <c r="S99" s="798"/>
      <c r="T99" s="798"/>
      <c r="U99" s="798"/>
      <c r="V99" s="798"/>
      <c r="W99" s="798"/>
      <c r="X99" s="798"/>
      <c r="Y99" s="798"/>
    </row>
    <row r="100" spans="1:25" ht="15" customHeight="1">
      <c r="A100" s="805" t="s">
        <v>570</v>
      </c>
      <c r="B100" s="806"/>
      <c r="C100" s="1200" t="s">
        <v>834</v>
      </c>
      <c r="D100" s="1200"/>
      <c r="E100" s="1200"/>
      <c r="F100" s="1200"/>
      <c r="G100" s="1193"/>
      <c r="H100" s="1193"/>
      <c r="I100" s="1193"/>
      <c r="J100" s="1193"/>
      <c r="K100" s="1193"/>
      <c r="L100" s="1193"/>
      <c r="M100" s="1193"/>
      <c r="N100" s="1193"/>
      <c r="O100" s="1193"/>
      <c r="P100" s="1193"/>
      <c r="Q100" s="1193"/>
      <c r="R100" s="1193"/>
      <c r="S100" s="798"/>
      <c r="T100" s="798"/>
      <c r="U100" s="798"/>
      <c r="V100" s="798"/>
      <c r="W100" s="798"/>
      <c r="X100" s="798"/>
      <c r="Y100" s="798"/>
    </row>
    <row r="101" spans="1:25" ht="17.100000000000001" customHeight="1">
      <c r="A101" s="805"/>
      <c r="B101" s="806"/>
      <c r="C101" s="1200" t="s">
        <v>835</v>
      </c>
      <c r="D101" s="1200"/>
      <c r="E101" s="1200"/>
      <c r="F101" s="1200"/>
      <c r="G101" s="1193"/>
      <c r="H101" s="1193"/>
      <c r="I101" s="1193"/>
      <c r="J101" s="1193"/>
      <c r="K101" s="1193"/>
      <c r="L101" s="1193"/>
      <c r="M101" s="1193"/>
      <c r="N101" s="1193"/>
      <c r="O101" s="1193"/>
      <c r="P101" s="1193"/>
      <c r="Q101" s="1193"/>
      <c r="R101" s="1193"/>
      <c r="S101" s="798"/>
      <c r="T101" s="798"/>
      <c r="U101" s="798"/>
      <c r="V101" s="798"/>
      <c r="W101" s="798"/>
      <c r="X101" s="798"/>
      <c r="Y101" s="798"/>
    </row>
    <row r="102" spans="1:25" ht="17.100000000000001" customHeight="1">
      <c r="A102" s="805" t="s">
        <v>572</v>
      </c>
      <c r="B102" s="806"/>
      <c r="C102" s="1200" t="s">
        <v>836</v>
      </c>
      <c r="D102" s="1200"/>
      <c r="E102" s="1200"/>
      <c r="F102" s="1200"/>
      <c r="G102" s="1193"/>
      <c r="H102" s="1193"/>
      <c r="I102" s="1193"/>
      <c r="J102" s="1193"/>
      <c r="K102" s="1193"/>
      <c r="L102" s="1193"/>
      <c r="M102" s="1193"/>
      <c r="N102" s="1193"/>
      <c r="O102" s="1193"/>
      <c r="P102" s="1193"/>
      <c r="Q102" s="1193"/>
      <c r="R102" s="1193"/>
      <c r="S102" s="798"/>
      <c r="T102" s="798"/>
      <c r="U102" s="798"/>
      <c r="V102" s="798"/>
      <c r="W102" s="798"/>
      <c r="X102" s="798"/>
      <c r="Y102" s="798"/>
    </row>
    <row r="103" spans="1:25" ht="17.100000000000001" customHeight="1">
      <c r="A103" s="807" t="s">
        <v>574</v>
      </c>
      <c r="B103" s="806"/>
      <c r="C103" s="1197" t="s">
        <v>1062</v>
      </c>
      <c r="D103" s="1197"/>
      <c r="E103" s="1197"/>
      <c r="F103" s="1197"/>
      <c r="G103" s="1198"/>
      <c r="H103" s="1198"/>
      <c r="I103" s="1198"/>
      <c r="J103" s="1198"/>
      <c r="K103" s="1198"/>
      <c r="L103" s="1198"/>
      <c r="M103" s="1198"/>
      <c r="N103" s="1198"/>
      <c r="O103" s="1198"/>
      <c r="P103" s="1198"/>
      <c r="Q103" s="1198"/>
      <c r="R103" s="1198"/>
      <c r="S103" s="798"/>
      <c r="T103" s="798"/>
      <c r="U103" s="798"/>
      <c r="V103" s="798"/>
      <c r="W103" s="798"/>
      <c r="X103" s="798"/>
      <c r="Y103" s="798"/>
    </row>
    <row r="104" spans="1:25" ht="17.100000000000001" customHeight="1">
      <c r="A104" s="807" t="s">
        <v>575</v>
      </c>
      <c r="B104" s="806"/>
      <c r="C104" s="1200" t="s">
        <v>719</v>
      </c>
      <c r="D104" s="1200"/>
      <c r="E104" s="1200"/>
      <c r="F104" s="1200"/>
      <c r="G104" s="1193"/>
      <c r="H104" s="1193"/>
      <c r="I104" s="1193"/>
      <c r="J104" s="1193"/>
      <c r="K104" s="1193"/>
      <c r="L104" s="1193"/>
      <c r="M104" s="1193"/>
      <c r="N104" s="1193"/>
      <c r="O104" s="1193"/>
      <c r="P104" s="1193"/>
      <c r="Q104" s="1193"/>
      <c r="R104" s="1193"/>
      <c r="S104" s="798"/>
      <c r="T104" s="798"/>
      <c r="U104" s="798"/>
      <c r="V104" s="798"/>
      <c r="W104" s="798"/>
      <c r="X104" s="798"/>
      <c r="Y104" s="798"/>
    </row>
    <row r="105" spans="1:25" ht="17.100000000000001" customHeight="1">
      <c r="A105" s="807" t="s">
        <v>576</v>
      </c>
      <c r="B105" s="806"/>
      <c r="C105" s="1200" t="s">
        <v>837</v>
      </c>
      <c r="D105" s="1200"/>
      <c r="E105" s="1200"/>
      <c r="F105" s="1200"/>
      <c r="G105" s="1193"/>
      <c r="H105" s="1193"/>
      <c r="I105" s="1193"/>
      <c r="J105" s="1193"/>
      <c r="K105" s="1193"/>
      <c r="L105" s="1193"/>
      <c r="M105" s="1193"/>
      <c r="N105" s="1193"/>
      <c r="O105" s="1193"/>
      <c r="P105" s="1193"/>
      <c r="Q105" s="1193"/>
      <c r="R105" s="1193"/>
      <c r="S105" s="798"/>
      <c r="T105" s="798"/>
      <c r="U105" s="798"/>
      <c r="V105" s="798"/>
      <c r="W105" s="798"/>
      <c r="X105" s="798"/>
      <c r="Y105" s="798"/>
    </row>
    <row r="106" spans="1:25" ht="17.100000000000001" customHeight="1">
      <c r="A106" s="808" t="s">
        <v>578</v>
      </c>
      <c r="B106" s="761"/>
      <c r="C106" s="1200" t="s">
        <v>838</v>
      </c>
      <c r="D106" s="1200"/>
      <c r="E106" s="1200"/>
      <c r="F106" s="1200"/>
      <c r="G106" s="1193"/>
      <c r="H106" s="1193"/>
      <c r="I106" s="1193"/>
      <c r="J106" s="1193"/>
      <c r="K106" s="1193"/>
      <c r="L106" s="1193"/>
      <c r="M106" s="1193"/>
      <c r="N106" s="1193"/>
      <c r="O106" s="1193"/>
      <c r="P106" s="1193"/>
      <c r="Q106" s="1193"/>
      <c r="R106" s="1193"/>
      <c r="S106" s="798"/>
      <c r="T106" s="798"/>
      <c r="U106" s="798"/>
      <c r="V106" s="798"/>
      <c r="W106" s="798"/>
      <c r="X106" s="798"/>
      <c r="Y106" s="798"/>
    </row>
    <row r="107" spans="1:25" ht="17.100000000000001" customHeight="1">
      <c r="A107" s="1017" t="s">
        <v>580</v>
      </c>
      <c r="B107" s="964"/>
      <c r="C107" s="1197" t="s">
        <v>993</v>
      </c>
      <c r="D107" s="1197"/>
      <c r="E107" s="1197"/>
      <c r="F107" s="1197"/>
      <c r="G107" s="1198"/>
      <c r="H107" s="1198"/>
      <c r="I107" s="1198"/>
      <c r="J107" s="1198"/>
      <c r="K107" s="1198"/>
      <c r="L107" s="1198"/>
      <c r="M107" s="1198"/>
      <c r="N107" s="1198"/>
      <c r="O107" s="1198"/>
      <c r="P107" s="1198"/>
      <c r="Q107" s="1198"/>
      <c r="R107" s="1198"/>
      <c r="S107" s="798"/>
      <c r="T107" s="798"/>
      <c r="U107" s="798"/>
      <c r="V107" s="798"/>
      <c r="W107" s="798"/>
      <c r="X107" s="798"/>
      <c r="Y107" s="798"/>
    </row>
    <row r="108" spans="1:25" ht="17.100000000000001" customHeight="1">
      <c r="A108" s="1017" t="s">
        <v>581</v>
      </c>
      <c r="B108" s="954"/>
      <c r="C108" s="1197" t="s">
        <v>994</v>
      </c>
      <c r="D108" s="1197"/>
      <c r="E108" s="1197"/>
      <c r="F108" s="1197"/>
      <c r="G108" s="1198"/>
      <c r="H108" s="1198"/>
      <c r="I108" s="1198"/>
      <c r="J108" s="1198"/>
      <c r="K108" s="1198"/>
      <c r="L108" s="1198"/>
      <c r="M108" s="1198"/>
      <c r="N108" s="1198"/>
      <c r="O108" s="1198"/>
      <c r="P108" s="1198"/>
      <c r="Q108" s="1198"/>
      <c r="R108" s="1198"/>
      <c r="S108" s="798"/>
      <c r="T108" s="798"/>
      <c r="U108" s="798"/>
      <c r="V108" s="798"/>
      <c r="W108" s="798"/>
      <c r="X108" s="798"/>
      <c r="Y108" s="798"/>
    </row>
    <row r="109" spans="1:25">
      <c r="C109" s="798"/>
      <c r="D109" s="798"/>
      <c r="E109" s="798"/>
      <c r="F109" s="798"/>
      <c r="G109" s="798"/>
      <c r="H109" s="798"/>
      <c r="I109" s="798"/>
      <c r="J109" s="798"/>
      <c r="K109" s="798"/>
      <c r="L109" s="798"/>
      <c r="M109" s="798"/>
      <c r="N109" s="798"/>
      <c r="O109" s="798"/>
      <c r="P109" s="798"/>
      <c r="Q109" s="798"/>
      <c r="R109" s="798"/>
      <c r="S109" s="798"/>
      <c r="T109" s="798"/>
      <c r="U109" s="798"/>
      <c r="V109" s="798"/>
      <c r="W109" s="798"/>
      <c r="X109" s="798"/>
      <c r="Y109" s="798"/>
    </row>
    <row r="110" spans="1:25">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row>
    <row r="111" spans="1:25">
      <c r="C111" s="798"/>
      <c r="D111" s="798"/>
      <c r="E111" s="798"/>
      <c r="F111" s="798"/>
      <c r="G111" s="798"/>
      <c r="H111" s="798"/>
      <c r="I111" s="798"/>
      <c r="J111" s="798"/>
      <c r="K111" s="798"/>
      <c r="L111" s="798"/>
      <c r="M111" s="798"/>
      <c r="N111" s="798"/>
      <c r="O111" s="798"/>
      <c r="P111" s="798"/>
      <c r="Q111" s="798"/>
      <c r="R111" s="798"/>
      <c r="S111" s="798"/>
      <c r="T111" s="798"/>
      <c r="U111" s="798"/>
      <c r="V111" s="798"/>
      <c r="W111" s="798"/>
      <c r="X111" s="798"/>
      <c r="Y111" s="798"/>
    </row>
    <row r="112" spans="1:25">
      <c r="C112" s="798"/>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row>
    <row r="113" spans="3:25">
      <c r="C113" s="798"/>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row>
    <row r="114" spans="3:25" ht="15">
      <c r="C114" s="1194"/>
      <c r="D114" s="1194"/>
      <c r="E114" s="1194"/>
      <c r="F114" s="1194"/>
      <c r="G114" s="1193"/>
      <c r="H114" s="1193"/>
      <c r="I114" s="1193"/>
      <c r="J114" s="1193"/>
      <c r="K114" s="1193"/>
      <c r="L114" s="1193"/>
      <c r="M114" s="1193"/>
      <c r="N114" s="1193"/>
      <c r="O114" s="1193"/>
      <c r="P114" s="1193"/>
      <c r="Q114" s="1193"/>
      <c r="R114" s="1193"/>
      <c r="S114" s="798"/>
      <c r="T114" s="798"/>
      <c r="U114" s="798"/>
      <c r="V114" s="798"/>
      <c r="W114" s="798"/>
      <c r="X114" s="798"/>
      <c r="Y114" s="798"/>
    </row>
    <row r="115" spans="3:25" ht="15">
      <c r="C115" s="1194"/>
      <c r="D115" s="1194"/>
      <c r="E115" s="1194"/>
      <c r="F115" s="1194"/>
      <c r="G115" s="1193"/>
      <c r="H115" s="1193"/>
      <c r="I115" s="1193"/>
      <c r="J115" s="1193"/>
      <c r="K115" s="1193"/>
      <c r="L115" s="1193"/>
      <c r="M115" s="1193"/>
      <c r="N115" s="1193"/>
      <c r="O115" s="1193"/>
      <c r="P115" s="1193"/>
      <c r="Q115" s="1193"/>
      <c r="R115" s="1193"/>
      <c r="S115" s="798"/>
      <c r="T115" s="798"/>
      <c r="U115" s="798"/>
      <c r="V115" s="798"/>
      <c r="W115" s="798"/>
      <c r="X115" s="798"/>
      <c r="Y115" s="798"/>
    </row>
    <row r="116" spans="3:25" ht="15">
      <c r="C116" s="1194"/>
      <c r="D116" s="1194"/>
      <c r="E116" s="1194"/>
      <c r="F116" s="1194"/>
      <c r="G116" s="1193"/>
      <c r="H116" s="1193"/>
      <c r="I116" s="1193"/>
      <c r="J116" s="1193"/>
      <c r="K116" s="1193"/>
      <c r="L116" s="1193"/>
      <c r="M116" s="1193"/>
      <c r="N116" s="1193"/>
      <c r="O116" s="1193"/>
      <c r="P116" s="1193"/>
      <c r="Q116" s="1193"/>
      <c r="R116" s="1193"/>
      <c r="S116" s="798"/>
      <c r="T116" s="798"/>
      <c r="U116" s="798"/>
      <c r="V116" s="798"/>
      <c r="W116" s="798"/>
      <c r="X116" s="798"/>
      <c r="Y116" s="798"/>
    </row>
    <row r="117" spans="3:25" ht="15">
      <c r="C117" s="1194"/>
      <c r="D117" s="1194"/>
      <c r="E117" s="1194"/>
      <c r="F117" s="1194"/>
      <c r="G117" s="1193"/>
      <c r="H117" s="1193"/>
      <c r="I117" s="1193"/>
      <c r="J117" s="1193"/>
      <c r="K117" s="1193"/>
      <c r="L117" s="1193"/>
      <c r="M117" s="1193"/>
      <c r="N117" s="1193"/>
      <c r="O117" s="1193"/>
      <c r="P117" s="1193"/>
      <c r="Q117" s="1193"/>
      <c r="R117" s="1193"/>
      <c r="S117" s="798"/>
      <c r="T117" s="798"/>
      <c r="U117" s="798"/>
      <c r="V117" s="798"/>
      <c r="W117" s="798"/>
      <c r="X117" s="798"/>
      <c r="Y117" s="798"/>
    </row>
    <row r="118" spans="3:25" ht="15">
      <c r="C118" s="1194"/>
      <c r="D118" s="1194"/>
      <c r="E118" s="1194"/>
      <c r="F118" s="1194"/>
      <c r="G118" s="1193"/>
      <c r="H118" s="1193"/>
      <c r="I118" s="1193"/>
      <c r="J118" s="1193"/>
      <c r="K118" s="1193"/>
      <c r="L118" s="1193"/>
      <c r="M118" s="1193"/>
      <c r="N118" s="1193"/>
      <c r="O118" s="1193"/>
      <c r="P118" s="1193"/>
      <c r="Q118" s="1193"/>
      <c r="R118" s="1193"/>
      <c r="S118" s="798"/>
      <c r="T118" s="798"/>
      <c r="U118" s="798"/>
      <c r="V118" s="798"/>
      <c r="W118" s="798"/>
      <c r="X118" s="798"/>
      <c r="Y118" s="798"/>
    </row>
    <row r="119" spans="3:25" ht="15">
      <c r="C119" s="1194"/>
      <c r="D119" s="1194"/>
      <c r="E119" s="1194"/>
      <c r="F119" s="1194"/>
      <c r="G119" s="1193"/>
      <c r="H119" s="1193"/>
      <c r="I119" s="1193"/>
      <c r="J119" s="1193"/>
      <c r="K119" s="1193"/>
      <c r="L119" s="1193"/>
      <c r="M119" s="1193"/>
      <c r="N119" s="1193"/>
      <c r="O119" s="1193"/>
      <c r="P119" s="1193"/>
      <c r="Q119" s="1193"/>
      <c r="R119" s="1193"/>
      <c r="S119" s="798"/>
      <c r="T119" s="798"/>
      <c r="U119" s="798"/>
      <c r="V119" s="798"/>
      <c r="W119" s="798"/>
      <c r="X119" s="798"/>
      <c r="Y119" s="798"/>
    </row>
    <row r="120" spans="3:25" ht="15">
      <c r="C120" s="1194"/>
      <c r="D120" s="1194"/>
      <c r="E120" s="1194"/>
      <c r="F120" s="1194"/>
      <c r="G120" s="1193"/>
      <c r="H120" s="1193"/>
      <c r="I120" s="1193"/>
      <c r="J120" s="1193"/>
      <c r="K120" s="1193"/>
      <c r="L120" s="1193"/>
      <c r="M120" s="1193"/>
      <c r="N120" s="1193"/>
      <c r="O120" s="1193"/>
      <c r="P120" s="1193"/>
      <c r="Q120" s="1193"/>
      <c r="R120" s="1193"/>
      <c r="S120" s="798"/>
      <c r="T120" s="798"/>
      <c r="U120" s="798"/>
      <c r="V120" s="798"/>
      <c r="W120" s="798"/>
      <c r="X120" s="798"/>
      <c r="Y120" s="798"/>
    </row>
    <row r="121" spans="3:25" ht="15">
      <c r="C121" s="1194"/>
      <c r="D121" s="1194"/>
      <c r="E121" s="1194"/>
      <c r="F121" s="1194"/>
      <c r="G121" s="1193"/>
      <c r="H121" s="1193"/>
      <c r="I121" s="1193"/>
      <c r="J121" s="1193"/>
      <c r="K121" s="1193"/>
      <c r="L121" s="1193"/>
      <c r="M121" s="1193"/>
      <c r="N121" s="1193"/>
      <c r="O121" s="1193"/>
      <c r="P121" s="1193"/>
      <c r="Q121" s="1193"/>
      <c r="R121" s="1193"/>
      <c r="S121" s="798"/>
      <c r="T121" s="798"/>
      <c r="U121" s="798"/>
      <c r="V121" s="798"/>
      <c r="W121" s="798"/>
      <c r="X121" s="798"/>
      <c r="Y121" s="798"/>
    </row>
    <row r="122" spans="3:25" ht="15">
      <c r="C122" s="1194"/>
      <c r="D122" s="1194"/>
      <c r="E122" s="1194"/>
      <c r="F122" s="1194"/>
      <c r="G122" s="1193"/>
      <c r="H122" s="1193"/>
      <c r="I122" s="1193"/>
      <c r="J122" s="1193"/>
      <c r="K122" s="1193"/>
      <c r="L122" s="1193"/>
      <c r="M122" s="1193"/>
      <c r="N122" s="1193"/>
      <c r="O122" s="1193"/>
      <c r="P122" s="1193"/>
      <c r="Q122" s="1193"/>
      <c r="R122" s="1193"/>
      <c r="S122" s="798"/>
      <c r="T122" s="798"/>
      <c r="U122" s="798"/>
      <c r="V122" s="798"/>
      <c r="W122" s="798"/>
      <c r="X122" s="798"/>
      <c r="Y122" s="798"/>
    </row>
    <row r="123" spans="3:25" ht="15">
      <c r="C123" s="1194"/>
      <c r="D123" s="1194"/>
      <c r="E123" s="1194"/>
      <c r="F123" s="1194"/>
      <c r="G123" s="1193"/>
      <c r="H123" s="1193"/>
      <c r="I123" s="1193"/>
      <c r="J123" s="1193"/>
      <c r="K123" s="1193"/>
      <c r="L123" s="1193"/>
      <c r="M123" s="1193"/>
      <c r="N123" s="1193"/>
      <c r="O123" s="1193"/>
      <c r="P123" s="1193"/>
      <c r="Q123" s="1193"/>
      <c r="R123" s="1193"/>
      <c r="S123" s="798"/>
      <c r="T123" s="798"/>
      <c r="U123" s="798"/>
      <c r="V123" s="798"/>
      <c r="W123" s="798"/>
      <c r="X123" s="798"/>
      <c r="Y123" s="798"/>
    </row>
    <row r="124" spans="3:25" ht="15">
      <c r="C124" s="1194"/>
      <c r="D124" s="1194"/>
      <c r="E124" s="1194"/>
      <c r="F124" s="1194"/>
      <c r="G124" s="1193"/>
      <c r="H124" s="1193"/>
      <c r="I124" s="1193"/>
      <c r="J124" s="1193"/>
      <c r="K124" s="1193"/>
      <c r="L124" s="1193"/>
      <c r="M124" s="1193"/>
      <c r="N124" s="1193"/>
      <c r="O124" s="1193"/>
      <c r="P124" s="1193"/>
      <c r="Q124" s="1193"/>
      <c r="R124" s="1193"/>
      <c r="S124" s="798"/>
      <c r="T124" s="798"/>
      <c r="U124" s="798"/>
      <c r="V124" s="798"/>
      <c r="W124" s="798"/>
      <c r="X124" s="798"/>
      <c r="Y124" s="798"/>
    </row>
    <row r="125" spans="3:25">
      <c r="C125" s="798"/>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row>
    <row r="126" spans="3:25">
      <c r="C126" s="798"/>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row>
    <row r="127" spans="3:25">
      <c r="C127" s="798"/>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row>
    <row r="128" spans="3:25">
      <c r="C128" s="798"/>
      <c r="D128" s="798"/>
      <c r="E128" s="798"/>
      <c r="F128" s="798"/>
      <c r="G128" s="798"/>
      <c r="H128" s="798"/>
      <c r="I128" s="798"/>
      <c r="J128" s="798"/>
      <c r="K128" s="798"/>
      <c r="L128" s="798"/>
      <c r="M128" s="798"/>
      <c r="N128" s="798"/>
      <c r="O128" s="798"/>
      <c r="P128" s="798"/>
      <c r="Q128" s="798"/>
      <c r="R128" s="798"/>
      <c r="S128" s="798"/>
      <c r="T128" s="798"/>
      <c r="U128" s="798"/>
      <c r="V128" s="798"/>
      <c r="W128" s="798"/>
      <c r="X128" s="798"/>
      <c r="Y128" s="798"/>
    </row>
    <row r="129" spans="3:25">
      <c r="C129" s="798"/>
      <c r="D129" s="798"/>
      <c r="E129" s="798"/>
      <c r="F129" s="798"/>
      <c r="G129" s="798"/>
      <c r="H129" s="798"/>
      <c r="I129" s="798"/>
      <c r="J129" s="798"/>
      <c r="K129" s="798"/>
      <c r="L129" s="798"/>
      <c r="M129" s="798"/>
      <c r="N129" s="798"/>
      <c r="O129" s="798"/>
      <c r="P129" s="798"/>
      <c r="Q129" s="798"/>
      <c r="R129" s="798"/>
      <c r="S129" s="798"/>
      <c r="T129" s="798"/>
      <c r="U129" s="798"/>
      <c r="V129" s="798"/>
      <c r="W129" s="798"/>
      <c r="X129" s="798"/>
      <c r="Y129" s="798"/>
    </row>
    <row r="130" spans="3:25">
      <c r="C130" s="798"/>
      <c r="D130" s="798"/>
      <c r="E130" s="798"/>
      <c r="F130" s="798"/>
      <c r="G130" s="798"/>
      <c r="H130" s="798"/>
      <c r="I130" s="798"/>
      <c r="J130" s="798"/>
      <c r="K130" s="798"/>
      <c r="L130" s="798"/>
      <c r="M130" s="798"/>
      <c r="N130" s="798"/>
      <c r="O130" s="798"/>
      <c r="P130" s="798"/>
      <c r="Q130" s="798"/>
      <c r="R130" s="798"/>
      <c r="S130" s="798"/>
      <c r="T130" s="798"/>
      <c r="U130" s="798"/>
      <c r="V130" s="798"/>
      <c r="W130" s="798"/>
      <c r="X130" s="798"/>
      <c r="Y130" s="798"/>
    </row>
    <row r="131" spans="3:25">
      <c r="C131" s="798"/>
      <c r="D131" s="798"/>
      <c r="E131" s="798"/>
      <c r="F131" s="798"/>
      <c r="G131" s="798"/>
      <c r="H131" s="798"/>
      <c r="I131" s="798"/>
      <c r="J131" s="798"/>
      <c r="K131" s="798"/>
      <c r="L131" s="798"/>
      <c r="M131" s="798"/>
      <c r="N131" s="798"/>
      <c r="O131" s="798"/>
      <c r="P131" s="798"/>
      <c r="Q131" s="798"/>
      <c r="R131" s="798"/>
      <c r="S131" s="798"/>
      <c r="T131" s="798"/>
      <c r="U131" s="798"/>
      <c r="V131" s="798"/>
      <c r="W131" s="798"/>
      <c r="X131" s="798"/>
      <c r="Y131" s="798"/>
    </row>
    <row r="132" spans="3:25">
      <c r="C132" s="798"/>
      <c r="D132" s="798"/>
      <c r="E132" s="798"/>
      <c r="F132" s="798"/>
      <c r="G132" s="798"/>
      <c r="H132" s="798"/>
      <c r="I132" s="798"/>
      <c r="J132" s="798"/>
      <c r="K132" s="798"/>
      <c r="L132" s="798"/>
      <c r="M132" s="798"/>
      <c r="N132" s="798"/>
      <c r="O132" s="798"/>
      <c r="P132" s="798"/>
      <c r="Q132" s="798"/>
      <c r="R132" s="798"/>
      <c r="S132" s="798"/>
      <c r="T132" s="798"/>
      <c r="U132" s="798"/>
      <c r="V132" s="798"/>
      <c r="W132" s="798"/>
      <c r="X132" s="798"/>
      <c r="Y132" s="798"/>
    </row>
    <row r="133" spans="3:25">
      <c r="C133" s="798"/>
      <c r="D133" s="798"/>
      <c r="E133" s="798"/>
      <c r="F133" s="798"/>
      <c r="G133" s="798"/>
      <c r="H133" s="798"/>
      <c r="I133" s="798"/>
      <c r="J133" s="798"/>
      <c r="K133" s="798"/>
      <c r="L133" s="798"/>
      <c r="M133" s="798"/>
      <c r="N133" s="798"/>
      <c r="O133" s="798"/>
      <c r="P133" s="798"/>
      <c r="Q133" s="798"/>
      <c r="R133" s="798"/>
      <c r="S133" s="798"/>
      <c r="T133" s="798"/>
      <c r="U133" s="798"/>
      <c r="V133" s="798"/>
      <c r="W133" s="798"/>
      <c r="X133" s="798"/>
      <c r="Y133" s="798"/>
    </row>
    <row r="134" spans="3:25">
      <c r="C134" s="798"/>
      <c r="D134" s="798"/>
      <c r="E134" s="798"/>
      <c r="F134" s="798"/>
      <c r="G134" s="798"/>
      <c r="H134" s="798"/>
      <c r="I134" s="798"/>
      <c r="J134" s="798"/>
      <c r="K134" s="798"/>
      <c r="L134" s="798"/>
      <c r="M134" s="798"/>
      <c r="N134" s="798"/>
      <c r="O134" s="798"/>
      <c r="P134" s="798"/>
      <c r="Q134" s="798"/>
      <c r="R134" s="798"/>
      <c r="S134" s="798"/>
      <c r="T134" s="798"/>
      <c r="U134" s="798"/>
      <c r="V134" s="798"/>
      <c r="W134" s="798"/>
      <c r="X134" s="798"/>
      <c r="Y134" s="798"/>
    </row>
    <row r="135" spans="3:25">
      <c r="C135" s="798"/>
      <c r="D135" s="798"/>
      <c r="E135" s="798"/>
      <c r="F135" s="798"/>
      <c r="G135" s="798"/>
      <c r="H135" s="798"/>
      <c r="I135" s="798"/>
      <c r="J135" s="798"/>
      <c r="K135" s="798"/>
      <c r="L135" s="798"/>
      <c r="M135" s="798"/>
      <c r="N135" s="798"/>
      <c r="O135" s="798"/>
      <c r="P135" s="798"/>
      <c r="Q135" s="798"/>
      <c r="R135" s="798"/>
      <c r="S135" s="798"/>
      <c r="T135" s="798"/>
      <c r="U135" s="798"/>
      <c r="V135" s="798"/>
      <c r="W135" s="798"/>
      <c r="X135" s="798"/>
      <c r="Y135" s="798"/>
    </row>
    <row r="136" spans="3:25">
      <c r="C136" s="798"/>
      <c r="D136" s="798"/>
      <c r="E136" s="798"/>
      <c r="F136" s="798"/>
      <c r="G136" s="798"/>
      <c r="H136" s="798"/>
      <c r="I136" s="798"/>
      <c r="J136" s="798"/>
      <c r="K136" s="798"/>
      <c r="L136" s="798"/>
      <c r="M136" s="798"/>
      <c r="N136" s="798"/>
      <c r="O136" s="798"/>
      <c r="P136" s="798"/>
      <c r="Q136" s="798"/>
      <c r="R136" s="798"/>
      <c r="S136" s="798"/>
      <c r="T136" s="798"/>
      <c r="U136" s="798"/>
      <c r="V136" s="798"/>
      <c r="W136" s="798"/>
      <c r="X136" s="798"/>
      <c r="Y136" s="798"/>
    </row>
    <row r="137" spans="3:25">
      <c r="C137" s="798"/>
      <c r="D137" s="798"/>
      <c r="E137" s="798"/>
      <c r="F137" s="798"/>
      <c r="G137" s="798"/>
      <c r="H137" s="798"/>
      <c r="I137" s="798"/>
      <c r="J137" s="798"/>
      <c r="K137" s="798"/>
      <c r="L137" s="798"/>
      <c r="M137" s="798"/>
      <c r="N137" s="798"/>
      <c r="O137" s="798"/>
      <c r="P137" s="798"/>
      <c r="Q137" s="798"/>
      <c r="R137" s="798"/>
      <c r="S137" s="798"/>
      <c r="T137" s="798"/>
      <c r="U137" s="798"/>
      <c r="V137" s="798"/>
      <c r="W137" s="798"/>
      <c r="X137" s="798"/>
      <c r="Y137" s="798"/>
    </row>
    <row r="138" spans="3:25">
      <c r="C138" s="798"/>
      <c r="D138" s="798"/>
      <c r="E138" s="798"/>
      <c r="F138" s="798"/>
      <c r="G138" s="798"/>
      <c r="H138" s="798"/>
      <c r="I138" s="798"/>
      <c r="J138" s="798"/>
      <c r="K138" s="798"/>
      <c r="L138" s="798"/>
      <c r="M138" s="798"/>
      <c r="N138" s="798"/>
      <c r="O138" s="798"/>
      <c r="P138" s="798"/>
      <c r="Q138" s="798"/>
      <c r="R138" s="798"/>
      <c r="S138" s="798"/>
      <c r="T138" s="798"/>
      <c r="U138" s="798"/>
      <c r="V138" s="798"/>
      <c r="W138" s="798"/>
      <c r="X138" s="798"/>
      <c r="Y138" s="798"/>
    </row>
    <row r="139" spans="3:25">
      <c r="C139" s="798"/>
      <c r="D139" s="798"/>
      <c r="E139" s="798"/>
      <c r="F139" s="798"/>
      <c r="G139" s="798"/>
      <c r="H139" s="798"/>
      <c r="I139" s="798"/>
      <c r="J139" s="798"/>
      <c r="K139" s="798"/>
      <c r="L139" s="798"/>
      <c r="M139" s="798"/>
      <c r="N139" s="798"/>
      <c r="O139" s="798"/>
      <c r="P139" s="798"/>
      <c r="Q139" s="798"/>
      <c r="R139" s="798"/>
      <c r="S139" s="798"/>
      <c r="T139" s="798"/>
      <c r="U139" s="798"/>
      <c r="V139" s="798"/>
      <c r="W139" s="798"/>
      <c r="X139" s="798"/>
      <c r="Y139" s="798"/>
    </row>
    <row r="140" spans="3:25">
      <c r="C140" s="798"/>
      <c r="D140" s="798"/>
      <c r="E140" s="798"/>
      <c r="F140" s="798"/>
      <c r="G140" s="798"/>
      <c r="H140" s="798"/>
      <c r="I140" s="798"/>
      <c r="J140" s="798"/>
      <c r="K140" s="798"/>
      <c r="L140" s="798"/>
      <c r="M140" s="798"/>
      <c r="N140" s="798"/>
      <c r="O140" s="798"/>
      <c r="P140" s="798"/>
      <c r="Q140" s="798"/>
      <c r="R140" s="798"/>
      <c r="S140" s="798"/>
      <c r="T140" s="798"/>
      <c r="U140" s="798"/>
      <c r="V140" s="798"/>
      <c r="W140" s="798"/>
      <c r="X140" s="798"/>
      <c r="Y140" s="798"/>
    </row>
    <row r="141" spans="3:25">
      <c r="C141" s="798"/>
      <c r="D141" s="798"/>
      <c r="E141" s="798"/>
      <c r="F141" s="798"/>
      <c r="G141" s="798"/>
      <c r="H141" s="798"/>
      <c r="I141" s="798"/>
      <c r="J141" s="798"/>
      <c r="K141" s="798"/>
      <c r="L141" s="798"/>
      <c r="M141" s="798"/>
      <c r="N141" s="798"/>
      <c r="O141" s="798"/>
      <c r="P141" s="798"/>
      <c r="Q141" s="798"/>
      <c r="R141" s="798"/>
      <c r="S141" s="798"/>
      <c r="T141" s="798"/>
      <c r="U141" s="798"/>
      <c r="V141" s="798"/>
      <c r="W141" s="798"/>
      <c r="X141" s="798"/>
      <c r="Y141" s="798"/>
    </row>
    <row r="142" spans="3:25">
      <c r="C142" s="798"/>
      <c r="D142" s="798"/>
      <c r="E142" s="798"/>
      <c r="F142" s="798"/>
      <c r="G142" s="798"/>
      <c r="H142" s="798"/>
      <c r="I142" s="798"/>
      <c r="J142" s="798"/>
      <c r="K142" s="798"/>
      <c r="L142" s="798"/>
      <c r="M142" s="798"/>
      <c r="N142" s="798"/>
      <c r="O142" s="798"/>
      <c r="P142" s="798"/>
      <c r="Q142" s="798"/>
      <c r="R142" s="798"/>
      <c r="S142" s="798"/>
      <c r="T142" s="798"/>
      <c r="U142" s="798"/>
      <c r="V142" s="798"/>
      <c r="W142" s="798"/>
      <c r="X142" s="798"/>
      <c r="Y142" s="798"/>
    </row>
    <row r="143" spans="3:25">
      <c r="C143" s="798"/>
      <c r="D143" s="798"/>
      <c r="E143" s="798"/>
      <c r="F143" s="798"/>
      <c r="G143" s="798"/>
      <c r="H143" s="798"/>
      <c r="I143" s="798"/>
      <c r="J143" s="798"/>
      <c r="K143" s="798"/>
      <c r="L143" s="798"/>
      <c r="M143" s="798"/>
      <c r="N143" s="798"/>
      <c r="O143" s="798"/>
      <c r="P143" s="798"/>
      <c r="Q143" s="798"/>
      <c r="R143" s="798"/>
      <c r="S143" s="798"/>
      <c r="T143" s="798"/>
      <c r="U143" s="798"/>
      <c r="V143" s="798"/>
      <c r="W143" s="798"/>
      <c r="X143" s="798"/>
      <c r="Y143" s="798"/>
    </row>
    <row r="144" spans="3:25">
      <c r="C144" s="798"/>
      <c r="D144" s="798"/>
      <c r="E144" s="798"/>
      <c r="F144" s="798"/>
      <c r="G144" s="798"/>
      <c r="H144" s="798"/>
      <c r="I144" s="798"/>
      <c r="J144" s="798"/>
      <c r="K144" s="798"/>
      <c r="L144" s="798"/>
      <c r="M144" s="798"/>
      <c r="N144" s="798"/>
      <c r="O144" s="798"/>
      <c r="P144" s="798"/>
      <c r="Q144" s="798"/>
      <c r="R144" s="798"/>
      <c r="S144" s="798"/>
      <c r="T144" s="798"/>
      <c r="U144" s="798"/>
      <c r="V144" s="798"/>
      <c r="W144" s="798"/>
      <c r="X144" s="798"/>
      <c r="Y144" s="798"/>
    </row>
    <row r="145" spans="3:25">
      <c r="C145" s="798"/>
      <c r="D145" s="798"/>
      <c r="E145" s="798"/>
      <c r="F145" s="798"/>
      <c r="G145" s="798"/>
      <c r="H145" s="798"/>
      <c r="I145" s="798"/>
      <c r="J145" s="798"/>
      <c r="K145" s="798"/>
      <c r="L145" s="798"/>
      <c r="M145" s="798"/>
      <c r="N145" s="798"/>
      <c r="O145" s="798"/>
      <c r="P145" s="798"/>
      <c r="Q145" s="798"/>
      <c r="R145" s="798"/>
      <c r="S145" s="798"/>
      <c r="T145" s="798"/>
      <c r="U145" s="798"/>
      <c r="V145" s="798"/>
      <c r="W145" s="798"/>
      <c r="X145" s="798"/>
      <c r="Y145" s="798"/>
    </row>
    <row r="146" spans="3:25">
      <c r="C146" s="798"/>
      <c r="D146" s="798"/>
      <c r="E146" s="798"/>
      <c r="F146" s="798"/>
      <c r="G146" s="798"/>
      <c r="H146" s="798"/>
      <c r="I146" s="798"/>
      <c r="J146" s="798"/>
      <c r="K146" s="798"/>
      <c r="L146" s="798"/>
      <c r="M146" s="798"/>
      <c r="N146" s="798"/>
      <c r="O146" s="798"/>
      <c r="P146" s="798"/>
      <c r="Q146" s="798"/>
      <c r="R146" s="798"/>
      <c r="S146" s="798"/>
      <c r="T146" s="798"/>
      <c r="U146" s="798"/>
      <c r="V146" s="798"/>
      <c r="W146" s="798"/>
      <c r="X146" s="798"/>
      <c r="Y146" s="798"/>
    </row>
    <row r="147" spans="3:25">
      <c r="C147" s="798"/>
      <c r="D147" s="798"/>
      <c r="E147" s="798"/>
      <c r="F147" s="798"/>
      <c r="G147" s="798"/>
      <c r="H147" s="798"/>
      <c r="I147" s="798"/>
      <c r="J147" s="798"/>
      <c r="K147" s="798"/>
      <c r="L147" s="798"/>
      <c r="M147" s="798"/>
      <c r="N147" s="798"/>
      <c r="O147" s="798"/>
      <c r="P147" s="798"/>
      <c r="Q147" s="798"/>
      <c r="R147" s="798"/>
      <c r="S147" s="798"/>
      <c r="T147" s="798"/>
      <c r="U147" s="798"/>
      <c r="V147" s="798"/>
      <c r="W147" s="798"/>
      <c r="X147" s="798"/>
      <c r="Y147" s="798"/>
    </row>
    <row r="148" spans="3:25">
      <c r="C148" s="798"/>
      <c r="D148" s="798"/>
      <c r="E148" s="798"/>
      <c r="F148" s="798"/>
      <c r="G148" s="798"/>
      <c r="H148" s="798"/>
      <c r="I148" s="798"/>
      <c r="J148" s="798"/>
      <c r="K148" s="798"/>
      <c r="L148" s="798"/>
      <c r="M148" s="798"/>
      <c r="N148" s="798"/>
      <c r="O148" s="798"/>
      <c r="P148" s="798"/>
      <c r="Q148" s="798"/>
      <c r="R148" s="798"/>
      <c r="S148" s="798"/>
      <c r="T148" s="798"/>
      <c r="U148" s="798"/>
      <c r="V148" s="798"/>
      <c r="W148" s="798"/>
      <c r="X148" s="798"/>
      <c r="Y148" s="798"/>
    </row>
    <row r="149" spans="3:25">
      <c r="C149" s="798"/>
      <c r="D149" s="798"/>
      <c r="E149" s="798"/>
      <c r="F149" s="798"/>
      <c r="G149" s="798"/>
      <c r="H149" s="798"/>
      <c r="I149" s="798"/>
      <c r="J149" s="798"/>
      <c r="K149" s="798"/>
      <c r="L149" s="798"/>
      <c r="M149" s="798"/>
      <c r="N149" s="798"/>
      <c r="O149" s="798"/>
      <c r="P149" s="798"/>
      <c r="Q149" s="798"/>
      <c r="R149" s="798"/>
      <c r="S149" s="798"/>
      <c r="T149" s="798"/>
      <c r="U149" s="798"/>
      <c r="V149" s="798"/>
      <c r="W149" s="798"/>
      <c r="X149" s="798"/>
      <c r="Y149" s="798"/>
    </row>
    <row r="150" spans="3:25">
      <c r="C150" s="798"/>
      <c r="D150" s="798"/>
      <c r="E150" s="798"/>
      <c r="F150" s="798"/>
      <c r="G150" s="798"/>
      <c r="H150" s="798"/>
      <c r="I150" s="798"/>
      <c r="J150" s="798"/>
      <c r="K150" s="798"/>
      <c r="L150" s="798"/>
      <c r="M150" s="798"/>
      <c r="N150" s="798"/>
      <c r="O150" s="798"/>
      <c r="P150" s="798"/>
      <c r="Q150" s="798"/>
      <c r="R150" s="798"/>
      <c r="S150" s="798"/>
      <c r="T150" s="798"/>
      <c r="U150" s="798"/>
      <c r="V150" s="798"/>
      <c r="W150" s="798"/>
      <c r="X150" s="798"/>
      <c r="Y150" s="798"/>
    </row>
    <row r="151" spans="3:25">
      <c r="C151" s="798"/>
      <c r="D151" s="798"/>
      <c r="E151" s="798"/>
      <c r="F151" s="798"/>
      <c r="G151" s="798"/>
      <c r="H151" s="798"/>
      <c r="I151" s="798"/>
      <c r="J151" s="798"/>
      <c r="K151" s="798"/>
      <c r="L151" s="798"/>
      <c r="M151" s="798"/>
      <c r="N151" s="798"/>
      <c r="O151" s="798"/>
      <c r="P151" s="798"/>
      <c r="Q151" s="798"/>
      <c r="R151" s="798"/>
      <c r="S151" s="798"/>
      <c r="T151" s="798"/>
      <c r="U151" s="798"/>
      <c r="V151" s="798"/>
      <c r="W151" s="798"/>
      <c r="X151" s="798"/>
      <c r="Y151" s="798"/>
    </row>
    <row r="152" spans="3:25">
      <c r="C152" s="798"/>
      <c r="D152" s="798"/>
      <c r="E152" s="798"/>
      <c r="F152" s="798"/>
      <c r="G152" s="798"/>
      <c r="H152" s="798"/>
      <c r="I152" s="798"/>
      <c r="J152" s="798"/>
      <c r="K152" s="798"/>
      <c r="L152" s="798"/>
      <c r="M152" s="798"/>
      <c r="N152" s="798"/>
      <c r="O152" s="798"/>
      <c r="P152" s="798"/>
      <c r="Q152" s="798"/>
      <c r="R152" s="798"/>
      <c r="S152" s="798"/>
      <c r="T152" s="798"/>
      <c r="U152" s="798"/>
      <c r="V152" s="798"/>
      <c r="W152" s="798"/>
      <c r="X152" s="798"/>
      <c r="Y152" s="798"/>
    </row>
    <row r="153" spans="3:25">
      <c r="C153" s="798"/>
      <c r="D153" s="798"/>
      <c r="E153" s="798"/>
      <c r="F153" s="798"/>
      <c r="G153" s="798"/>
      <c r="H153" s="798"/>
      <c r="I153" s="798"/>
      <c r="J153" s="798"/>
      <c r="K153" s="798"/>
      <c r="L153" s="798"/>
      <c r="M153" s="798"/>
      <c r="N153" s="798"/>
      <c r="O153" s="798"/>
      <c r="P153" s="798"/>
      <c r="Q153" s="798"/>
      <c r="R153" s="798"/>
      <c r="S153" s="798"/>
      <c r="T153" s="798"/>
      <c r="U153" s="798"/>
      <c r="V153" s="798"/>
      <c r="W153" s="798"/>
      <c r="X153" s="798"/>
      <c r="Y153" s="798"/>
    </row>
    <row r="154" spans="3:25">
      <c r="C154" s="798"/>
      <c r="D154" s="798"/>
      <c r="E154" s="798"/>
      <c r="F154" s="798"/>
      <c r="G154" s="798"/>
      <c r="H154" s="798"/>
      <c r="I154" s="798"/>
      <c r="J154" s="798"/>
      <c r="K154" s="798"/>
      <c r="L154" s="798"/>
      <c r="M154" s="798"/>
      <c r="N154" s="798"/>
      <c r="O154" s="798"/>
      <c r="P154" s="798"/>
      <c r="Q154" s="798"/>
      <c r="R154" s="798"/>
      <c r="S154" s="798"/>
      <c r="T154" s="798"/>
      <c r="U154" s="798"/>
      <c r="V154" s="798"/>
      <c r="W154" s="798"/>
      <c r="X154" s="798"/>
      <c r="Y154" s="798"/>
    </row>
    <row r="155" spans="3:25">
      <c r="C155" s="798"/>
      <c r="D155" s="798"/>
      <c r="E155" s="798"/>
      <c r="F155" s="798"/>
      <c r="G155" s="798"/>
      <c r="H155" s="798"/>
      <c r="I155" s="798"/>
      <c r="J155" s="798"/>
      <c r="K155" s="798"/>
      <c r="L155" s="798"/>
      <c r="M155" s="798"/>
      <c r="N155" s="798"/>
      <c r="O155" s="798"/>
      <c r="P155" s="798"/>
      <c r="Q155" s="798"/>
      <c r="R155" s="798"/>
      <c r="S155" s="798"/>
      <c r="T155" s="798"/>
      <c r="U155" s="798"/>
      <c r="V155" s="798"/>
      <c r="W155" s="798"/>
      <c r="X155" s="798"/>
      <c r="Y155" s="798"/>
    </row>
    <row r="156" spans="3:25">
      <c r="C156" s="798"/>
      <c r="D156" s="798"/>
      <c r="E156" s="798"/>
      <c r="F156" s="798"/>
      <c r="G156" s="798"/>
      <c r="H156" s="798"/>
      <c r="I156" s="798"/>
      <c r="J156" s="798"/>
      <c r="K156" s="798"/>
      <c r="L156" s="798"/>
      <c r="M156" s="798"/>
      <c r="N156" s="798"/>
      <c r="O156" s="798"/>
      <c r="P156" s="798"/>
      <c r="Q156" s="798"/>
      <c r="R156" s="798"/>
      <c r="S156" s="798"/>
      <c r="T156" s="798"/>
      <c r="U156" s="798"/>
      <c r="V156" s="798"/>
      <c r="W156" s="798"/>
      <c r="X156" s="798"/>
      <c r="Y156" s="798"/>
    </row>
    <row r="157" spans="3:25">
      <c r="C157" s="798"/>
      <c r="D157" s="798"/>
      <c r="E157" s="798"/>
      <c r="F157" s="798"/>
      <c r="G157" s="798"/>
      <c r="H157" s="798"/>
      <c r="I157" s="798"/>
      <c r="J157" s="798"/>
      <c r="K157" s="798"/>
      <c r="L157" s="798"/>
      <c r="M157" s="798"/>
      <c r="N157" s="798"/>
      <c r="O157" s="798"/>
      <c r="P157" s="798"/>
      <c r="Q157" s="798"/>
      <c r="R157" s="798"/>
      <c r="S157" s="798"/>
      <c r="T157" s="798"/>
      <c r="U157" s="798"/>
      <c r="V157" s="798"/>
      <c r="W157" s="798"/>
      <c r="X157" s="798"/>
      <c r="Y157" s="798"/>
    </row>
    <row r="158" spans="3:25">
      <c r="C158" s="798"/>
      <c r="D158" s="798"/>
      <c r="E158" s="798"/>
      <c r="F158" s="798"/>
      <c r="G158" s="798"/>
      <c r="H158" s="798"/>
      <c r="I158" s="798"/>
      <c r="J158" s="798"/>
      <c r="K158" s="798"/>
      <c r="L158" s="798"/>
      <c r="M158" s="798"/>
      <c r="N158" s="798"/>
      <c r="O158" s="798"/>
      <c r="P158" s="798"/>
      <c r="Q158" s="798"/>
      <c r="R158" s="798"/>
      <c r="S158" s="798"/>
      <c r="T158" s="798"/>
      <c r="U158" s="798"/>
      <c r="V158" s="798"/>
      <c r="W158" s="798"/>
      <c r="X158" s="798"/>
      <c r="Y158" s="798"/>
    </row>
    <row r="159" spans="3:25">
      <c r="C159" s="798"/>
      <c r="D159" s="798"/>
      <c r="E159" s="798"/>
      <c r="F159" s="798"/>
      <c r="G159" s="798"/>
      <c r="H159" s="798"/>
      <c r="I159" s="798"/>
      <c r="J159" s="798"/>
      <c r="K159" s="798"/>
      <c r="L159" s="798"/>
      <c r="M159" s="798"/>
      <c r="N159" s="798"/>
      <c r="O159" s="798"/>
      <c r="P159" s="798"/>
      <c r="Q159" s="798"/>
      <c r="R159" s="798"/>
      <c r="S159" s="798"/>
      <c r="T159" s="798"/>
      <c r="U159" s="798"/>
      <c r="V159" s="798"/>
      <c r="W159" s="798"/>
      <c r="X159" s="798"/>
      <c r="Y159" s="798"/>
    </row>
    <row r="160" spans="3:25">
      <c r="C160" s="798"/>
      <c r="D160" s="798"/>
      <c r="E160" s="798"/>
      <c r="F160" s="798"/>
      <c r="G160" s="798"/>
      <c r="H160" s="798"/>
      <c r="I160" s="798"/>
      <c r="J160" s="798"/>
      <c r="K160" s="798"/>
      <c r="L160" s="798"/>
      <c r="M160" s="798"/>
      <c r="N160" s="798"/>
      <c r="O160" s="798"/>
      <c r="P160" s="798"/>
      <c r="Q160" s="798"/>
      <c r="R160" s="798"/>
      <c r="S160" s="798"/>
      <c r="T160" s="798"/>
      <c r="U160" s="798"/>
      <c r="V160" s="798"/>
      <c r="W160" s="798"/>
      <c r="X160" s="798"/>
      <c r="Y160" s="798"/>
    </row>
    <row r="161" spans="3:25">
      <c r="C161" s="798"/>
      <c r="D161" s="798"/>
      <c r="E161" s="798"/>
      <c r="F161" s="798"/>
      <c r="G161" s="798"/>
      <c r="H161" s="798"/>
      <c r="I161" s="798"/>
      <c r="J161" s="798"/>
      <c r="K161" s="798"/>
      <c r="L161" s="798"/>
      <c r="M161" s="798"/>
      <c r="N161" s="798"/>
      <c r="O161" s="798"/>
      <c r="P161" s="798"/>
      <c r="Q161" s="798"/>
      <c r="R161" s="798"/>
      <c r="S161" s="798"/>
      <c r="T161" s="798"/>
      <c r="U161" s="798"/>
      <c r="V161" s="798"/>
      <c r="W161" s="798"/>
      <c r="X161" s="798"/>
      <c r="Y161" s="798"/>
    </row>
    <row r="162" spans="3:25">
      <c r="C162" s="798"/>
      <c r="D162" s="798"/>
      <c r="E162" s="798"/>
      <c r="F162" s="798"/>
      <c r="G162" s="798"/>
      <c r="H162" s="798"/>
      <c r="I162" s="798"/>
      <c r="J162" s="798"/>
      <c r="K162" s="798"/>
      <c r="L162" s="798"/>
      <c r="M162" s="798"/>
      <c r="N162" s="798"/>
      <c r="O162" s="798"/>
      <c r="P162" s="798"/>
      <c r="Q162" s="798"/>
      <c r="R162" s="798"/>
      <c r="S162" s="798"/>
      <c r="T162" s="798"/>
      <c r="U162" s="798"/>
      <c r="V162" s="798"/>
      <c r="W162" s="798"/>
      <c r="X162" s="798"/>
      <c r="Y162" s="798"/>
    </row>
    <row r="163" spans="3:25">
      <c r="C163" s="798"/>
      <c r="D163" s="798"/>
      <c r="E163" s="798"/>
      <c r="F163" s="798"/>
      <c r="G163" s="798"/>
      <c r="H163" s="798"/>
      <c r="I163" s="798"/>
      <c r="J163" s="798"/>
      <c r="K163" s="798"/>
      <c r="L163" s="798"/>
      <c r="M163" s="798"/>
      <c r="N163" s="798"/>
      <c r="O163" s="798"/>
      <c r="P163" s="798"/>
      <c r="Q163" s="798"/>
      <c r="R163" s="798"/>
      <c r="S163" s="798"/>
      <c r="T163" s="798"/>
      <c r="U163" s="798"/>
      <c r="V163" s="798"/>
      <c r="W163" s="798"/>
      <c r="X163" s="798"/>
      <c r="Y163" s="798"/>
    </row>
    <row r="164" spans="3:25">
      <c r="C164" s="798"/>
      <c r="D164" s="798"/>
      <c r="E164" s="798"/>
      <c r="F164" s="798"/>
      <c r="G164" s="798"/>
      <c r="H164" s="798"/>
      <c r="I164" s="798"/>
      <c r="J164" s="798"/>
      <c r="K164" s="798"/>
      <c r="L164" s="798"/>
      <c r="M164" s="798"/>
      <c r="N164" s="798"/>
      <c r="O164" s="798"/>
      <c r="P164" s="798"/>
      <c r="Q164" s="798"/>
      <c r="R164" s="798"/>
      <c r="S164" s="798"/>
      <c r="T164" s="798"/>
      <c r="U164" s="798"/>
      <c r="V164" s="798"/>
      <c r="W164" s="798"/>
      <c r="X164" s="798"/>
      <c r="Y164" s="798"/>
    </row>
    <row r="165" spans="3:25">
      <c r="C165" s="798"/>
      <c r="D165" s="798"/>
      <c r="E165" s="798"/>
      <c r="F165" s="798"/>
      <c r="G165" s="798"/>
      <c r="H165" s="798"/>
      <c r="I165" s="798"/>
      <c r="J165" s="798"/>
      <c r="K165" s="798"/>
      <c r="L165" s="798"/>
      <c r="M165" s="798"/>
      <c r="N165" s="798"/>
      <c r="O165" s="798"/>
      <c r="P165" s="798"/>
      <c r="Q165" s="798"/>
      <c r="R165" s="798"/>
      <c r="S165" s="798"/>
      <c r="T165" s="798"/>
      <c r="U165" s="798"/>
      <c r="V165" s="798"/>
      <c r="W165" s="798"/>
      <c r="X165" s="798"/>
      <c r="Y165" s="798"/>
    </row>
    <row r="166" spans="3:25">
      <c r="C166" s="798"/>
      <c r="D166" s="798"/>
      <c r="E166" s="798"/>
      <c r="F166" s="798"/>
      <c r="G166" s="798"/>
      <c r="H166" s="798"/>
      <c r="I166" s="798"/>
      <c r="J166" s="798"/>
      <c r="K166" s="798"/>
      <c r="L166" s="798"/>
      <c r="M166" s="798"/>
      <c r="N166" s="798"/>
      <c r="O166" s="798"/>
      <c r="P166" s="798"/>
      <c r="Q166" s="798"/>
      <c r="R166" s="798"/>
      <c r="S166" s="798"/>
      <c r="T166" s="798"/>
      <c r="U166" s="798"/>
      <c r="V166" s="798"/>
      <c r="W166" s="798"/>
      <c r="X166" s="798"/>
      <c r="Y166" s="798"/>
    </row>
    <row r="167" spans="3:25">
      <c r="C167" s="798"/>
      <c r="D167" s="798"/>
      <c r="E167" s="798"/>
      <c r="F167" s="798"/>
      <c r="G167" s="798"/>
      <c r="H167" s="798"/>
      <c r="I167" s="798"/>
      <c r="J167" s="798"/>
      <c r="K167" s="798"/>
      <c r="L167" s="798"/>
      <c r="M167" s="798"/>
      <c r="N167" s="798"/>
      <c r="O167" s="798"/>
      <c r="P167" s="798"/>
      <c r="Q167" s="798"/>
      <c r="R167" s="798"/>
      <c r="S167" s="798"/>
      <c r="T167" s="798"/>
      <c r="U167" s="798"/>
      <c r="V167" s="798"/>
      <c r="W167" s="798"/>
      <c r="X167" s="798"/>
      <c r="Y167" s="798"/>
    </row>
    <row r="168" spans="3:25">
      <c r="C168" s="798"/>
      <c r="D168" s="798"/>
      <c r="E168" s="798"/>
      <c r="F168" s="798"/>
      <c r="G168" s="798"/>
      <c r="H168" s="798"/>
      <c r="I168" s="798"/>
      <c r="J168" s="798"/>
      <c r="K168" s="798"/>
      <c r="L168" s="798"/>
      <c r="M168" s="798"/>
      <c r="N168" s="798"/>
      <c r="O168" s="798"/>
      <c r="P168" s="798"/>
      <c r="Q168" s="798"/>
      <c r="R168" s="798"/>
      <c r="S168" s="798"/>
      <c r="T168" s="798"/>
      <c r="U168" s="798"/>
      <c r="V168" s="798"/>
      <c r="W168" s="798"/>
      <c r="X168" s="798"/>
      <c r="Y168" s="798"/>
    </row>
    <row r="169" spans="3:25">
      <c r="C169" s="798"/>
      <c r="D169" s="798"/>
      <c r="E169" s="798"/>
      <c r="F169" s="798"/>
      <c r="G169" s="798"/>
      <c r="H169" s="798"/>
      <c r="I169" s="798"/>
      <c r="J169" s="798"/>
      <c r="K169" s="798"/>
      <c r="L169" s="798"/>
      <c r="M169" s="798"/>
      <c r="N169" s="798"/>
      <c r="O169" s="798"/>
      <c r="P169" s="798"/>
      <c r="Q169" s="798"/>
      <c r="R169" s="798"/>
      <c r="S169" s="798"/>
      <c r="T169" s="798"/>
      <c r="U169" s="798"/>
      <c r="V169" s="798"/>
      <c r="W169" s="798"/>
      <c r="X169" s="798"/>
      <c r="Y169" s="798"/>
    </row>
    <row r="170" spans="3:25">
      <c r="C170" s="798"/>
      <c r="D170" s="798"/>
      <c r="E170" s="798"/>
      <c r="F170" s="798"/>
      <c r="G170" s="798"/>
      <c r="H170" s="798"/>
      <c r="I170" s="798"/>
      <c r="J170" s="798"/>
      <c r="K170" s="798"/>
      <c r="L170" s="798"/>
      <c r="M170" s="798"/>
      <c r="N170" s="798"/>
      <c r="O170" s="798"/>
      <c r="P170" s="798"/>
      <c r="Q170" s="798"/>
      <c r="R170" s="798"/>
      <c r="S170" s="798"/>
      <c r="T170" s="798"/>
      <c r="U170" s="798"/>
      <c r="V170" s="798"/>
      <c r="W170" s="798"/>
      <c r="X170" s="798"/>
      <c r="Y170" s="798"/>
    </row>
    <row r="171" spans="3:25">
      <c r="C171" s="798"/>
      <c r="D171" s="798"/>
      <c r="E171" s="798"/>
      <c r="F171" s="798"/>
      <c r="G171" s="798"/>
      <c r="H171" s="798"/>
      <c r="I171" s="798"/>
      <c r="J171" s="798"/>
      <c r="K171" s="798"/>
      <c r="L171" s="798"/>
      <c r="M171" s="798"/>
      <c r="N171" s="798"/>
      <c r="O171" s="798"/>
      <c r="P171" s="798"/>
      <c r="Q171" s="798"/>
      <c r="R171" s="798"/>
      <c r="S171" s="798"/>
      <c r="T171" s="798"/>
      <c r="U171" s="798"/>
      <c r="V171" s="798"/>
      <c r="W171" s="798"/>
      <c r="X171" s="798"/>
      <c r="Y171" s="798"/>
    </row>
    <row r="172" spans="3:25">
      <c r="C172" s="798"/>
      <c r="D172" s="798"/>
      <c r="E172" s="798"/>
      <c r="F172" s="798"/>
      <c r="G172" s="798"/>
      <c r="H172" s="798"/>
      <c r="I172" s="798"/>
      <c r="J172" s="798"/>
      <c r="K172" s="798"/>
      <c r="L172" s="798"/>
      <c r="M172" s="798"/>
      <c r="N172" s="798"/>
      <c r="O172" s="798"/>
      <c r="P172" s="798"/>
      <c r="Q172" s="798"/>
      <c r="R172" s="798"/>
      <c r="S172" s="798"/>
      <c r="T172" s="798"/>
      <c r="U172" s="798"/>
      <c r="V172" s="798"/>
      <c r="W172" s="798"/>
      <c r="X172" s="798"/>
      <c r="Y172" s="798"/>
    </row>
    <row r="173" spans="3:25">
      <c r="C173" s="798"/>
      <c r="D173" s="798"/>
      <c r="E173" s="798"/>
      <c r="F173" s="798"/>
      <c r="G173" s="798"/>
      <c r="H173" s="798"/>
      <c r="I173" s="798"/>
      <c r="J173" s="798"/>
      <c r="K173" s="798"/>
      <c r="L173" s="798"/>
      <c r="M173" s="798"/>
      <c r="N173" s="798"/>
      <c r="O173" s="798"/>
      <c r="P173" s="798"/>
      <c r="Q173" s="798"/>
      <c r="R173" s="798"/>
      <c r="S173" s="798"/>
      <c r="T173" s="798"/>
      <c r="U173" s="798"/>
      <c r="V173" s="798"/>
      <c r="W173" s="798"/>
      <c r="X173" s="798"/>
      <c r="Y173" s="798"/>
    </row>
    <row r="174" spans="3:25">
      <c r="C174" s="798"/>
      <c r="D174" s="798"/>
      <c r="E174" s="798"/>
      <c r="F174" s="798"/>
      <c r="G174" s="798"/>
      <c r="H174" s="798"/>
      <c r="I174" s="798"/>
      <c r="J174" s="798"/>
      <c r="K174" s="798"/>
      <c r="L174" s="798"/>
      <c r="M174" s="798"/>
      <c r="N174" s="798"/>
      <c r="O174" s="798"/>
      <c r="P174" s="798"/>
      <c r="Q174" s="798"/>
      <c r="R174" s="798"/>
      <c r="S174" s="798"/>
      <c r="T174" s="798"/>
      <c r="U174" s="798"/>
      <c r="V174" s="798"/>
      <c r="W174" s="798"/>
      <c r="X174" s="798"/>
      <c r="Y174" s="798"/>
    </row>
    <row r="175" spans="3:25">
      <c r="C175" s="798"/>
      <c r="D175" s="798"/>
      <c r="E175" s="798"/>
      <c r="F175" s="798"/>
      <c r="G175" s="798"/>
      <c r="H175" s="798"/>
      <c r="I175" s="798"/>
      <c r="J175" s="798"/>
      <c r="K175" s="798"/>
      <c r="L175" s="798"/>
      <c r="M175" s="798"/>
      <c r="N175" s="798"/>
      <c r="O175" s="798"/>
      <c r="P175" s="798"/>
      <c r="Q175" s="798"/>
      <c r="R175" s="798"/>
      <c r="S175" s="798"/>
      <c r="T175" s="798"/>
      <c r="U175" s="798"/>
      <c r="V175" s="798"/>
      <c r="W175" s="798"/>
      <c r="X175" s="798"/>
      <c r="Y175" s="798"/>
    </row>
    <row r="176" spans="3:25">
      <c r="C176" s="798"/>
      <c r="D176" s="798"/>
      <c r="E176" s="798"/>
      <c r="F176" s="798"/>
      <c r="G176" s="798"/>
      <c r="H176" s="798"/>
      <c r="I176" s="798"/>
      <c r="J176" s="798"/>
      <c r="K176" s="798"/>
      <c r="L176" s="798"/>
      <c r="M176" s="798"/>
      <c r="N176" s="798"/>
      <c r="O176" s="798"/>
      <c r="P176" s="798"/>
      <c r="Q176" s="798"/>
      <c r="R176" s="798"/>
      <c r="S176" s="798"/>
      <c r="T176" s="798"/>
      <c r="U176" s="798"/>
      <c r="V176" s="798"/>
      <c r="W176" s="798"/>
      <c r="X176" s="798"/>
      <c r="Y176" s="798"/>
    </row>
    <row r="177" spans="3:25">
      <c r="C177" s="798"/>
      <c r="D177" s="798"/>
      <c r="E177" s="798"/>
      <c r="F177" s="798"/>
      <c r="G177" s="798"/>
      <c r="H177" s="798"/>
      <c r="I177" s="798"/>
      <c r="J177" s="798"/>
      <c r="K177" s="798"/>
      <c r="L177" s="798"/>
      <c r="M177" s="798"/>
      <c r="N177" s="798"/>
      <c r="O177" s="798"/>
      <c r="P177" s="798"/>
      <c r="Q177" s="798"/>
      <c r="R177" s="798"/>
      <c r="S177" s="798"/>
      <c r="T177" s="798"/>
      <c r="U177" s="798"/>
      <c r="V177" s="798"/>
      <c r="W177" s="798"/>
      <c r="X177" s="798"/>
      <c r="Y177" s="798"/>
    </row>
    <row r="178" spans="3:25">
      <c r="C178" s="798"/>
      <c r="D178" s="798"/>
      <c r="E178" s="798"/>
      <c r="F178" s="798"/>
      <c r="G178" s="798"/>
      <c r="H178" s="798"/>
      <c r="I178" s="798"/>
      <c r="J178" s="798"/>
      <c r="K178" s="798"/>
      <c r="L178" s="798"/>
      <c r="M178" s="798"/>
      <c r="N178" s="798"/>
      <c r="O178" s="798"/>
      <c r="P178" s="798"/>
      <c r="Q178" s="798"/>
      <c r="R178" s="798"/>
      <c r="S178" s="798"/>
      <c r="T178" s="798"/>
      <c r="U178" s="798"/>
      <c r="V178" s="798"/>
      <c r="W178" s="798"/>
      <c r="X178" s="798"/>
      <c r="Y178" s="798"/>
    </row>
    <row r="179" spans="3:25">
      <c r="C179" s="798"/>
      <c r="D179" s="798"/>
      <c r="E179" s="798"/>
      <c r="F179" s="798"/>
      <c r="G179" s="798"/>
      <c r="H179" s="798"/>
      <c r="I179" s="798"/>
      <c r="J179" s="798"/>
      <c r="K179" s="798"/>
      <c r="L179" s="798"/>
      <c r="M179" s="798"/>
      <c r="N179" s="798"/>
      <c r="O179" s="798"/>
      <c r="P179" s="798"/>
      <c r="Q179" s="798"/>
      <c r="R179" s="798"/>
      <c r="S179" s="798"/>
      <c r="T179" s="798"/>
      <c r="U179" s="798"/>
      <c r="V179" s="798"/>
      <c r="W179" s="798"/>
      <c r="X179" s="798"/>
      <c r="Y179" s="798"/>
    </row>
    <row r="180" spans="3:25">
      <c r="C180" s="798"/>
      <c r="D180" s="798"/>
      <c r="E180" s="798"/>
      <c r="F180" s="798"/>
      <c r="G180" s="798"/>
      <c r="H180" s="798"/>
      <c r="I180" s="798"/>
      <c r="J180" s="798"/>
      <c r="K180" s="798"/>
      <c r="L180" s="798"/>
      <c r="M180" s="798"/>
      <c r="N180" s="798"/>
      <c r="O180" s="798"/>
      <c r="P180" s="798"/>
      <c r="Q180" s="798"/>
      <c r="R180" s="798"/>
      <c r="S180" s="798"/>
      <c r="T180" s="798"/>
      <c r="U180" s="798"/>
      <c r="V180" s="798"/>
      <c r="W180" s="798"/>
      <c r="X180" s="798"/>
      <c r="Y180" s="798"/>
    </row>
    <row r="181" spans="3:25">
      <c r="C181" s="798"/>
      <c r="D181" s="798"/>
      <c r="E181" s="798"/>
      <c r="F181" s="798"/>
      <c r="G181" s="798"/>
      <c r="H181" s="798"/>
      <c r="I181" s="798"/>
      <c r="J181" s="798"/>
      <c r="K181" s="798"/>
      <c r="L181" s="798"/>
      <c r="M181" s="798"/>
      <c r="N181" s="798"/>
      <c r="O181" s="798"/>
      <c r="P181" s="798"/>
      <c r="Q181" s="798"/>
      <c r="R181" s="798"/>
      <c r="S181" s="798"/>
      <c r="T181" s="798"/>
      <c r="U181" s="798"/>
      <c r="V181" s="798"/>
      <c r="W181" s="798"/>
      <c r="X181" s="798"/>
      <c r="Y181" s="798"/>
    </row>
    <row r="182" spans="3:25">
      <c r="C182" s="798"/>
      <c r="D182" s="798"/>
      <c r="E182" s="798"/>
      <c r="F182" s="798"/>
      <c r="G182" s="798"/>
      <c r="H182" s="798"/>
      <c r="I182" s="798"/>
      <c r="J182" s="798"/>
      <c r="K182" s="798"/>
      <c r="L182" s="798"/>
      <c r="M182" s="798"/>
      <c r="N182" s="798"/>
      <c r="O182" s="798"/>
      <c r="P182" s="798"/>
      <c r="Q182" s="798"/>
      <c r="R182" s="798"/>
      <c r="S182" s="798"/>
      <c r="T182" s="798"/>
      <c r="U182" s="798"/>
      <c r="V182" s="798"/>
      <c r="W182" s="798"/>
      <c r="X182" s="798"/>
      <c r="Y182" s="798"/>
    </row>
    <row r="183" spans="3:25">
      <c r="C183" s="798"/>
      <c r="D183" s="798"/>
      <c r="E183" s="798"/>
      <c r="F183" s="798"/>
      <c r="G183" s="798"/>
      <c r="H183" s="798"/>
      <c r="I183" s="798"/>
      <c r="J183" s="798"/>
      <c r="K183" s="798"/>
      <c r="L183" s="798"/>
      <c r="M183" s="798"/>
      <c r="N183" s="798"/>
      <c r="O183" s="798"/>
      <c r="P183" s="798"/>
      <c r="Q183" s="798"/>
      <c r="R183" s="798"/>
      <c r="S183" s="798"/>
      <c r="T183" s="798"/>
      <c r="U183" s="798"/>
      <c r="V183" s="798"/>
      <c r="W183" s="798"/>
      <c r="X183" s="798"/>
      <c r="Y183" s="798"/>
    </row>
    <row r="184" spans="3:25">
      <c r="C184" s="798"/>
      <c r="D184" s="798"/>
      <c r="E184" s="798"/>
      <c r="F184" s="798"/>
      <c r="G184" s="798"/>
      <c r="H184" s="798"/>
      <c r="I184" s="798"/>
      <c r="J184" s="798"/>
      <c r="K184" s="798"/>
      <c r="L184" s="798"/>
      <c r="M184" s="798"/>
      <c r="N184" s="798"/>
      <c r="O184" s="798"/>
      <c r="P184" s="798"/>
      <c r="Q184" s="798"/>
      <c r="R184" s="798"/>
      <c r="S184" s="798"/>
      <c r="T184" s="798"/>
      <c r="U184" s="798"/>
      <c r="V184" s="798"/>
      <c r="W184" s="798"/>
      <c r="X184" s="798"/>
      <c r="Y184" s="798"/>
    </row>
    <row r="185" spans="3:25">
      <c r="C185" s="798"/>
      <c r="D185" s="798"/>
      <c r="E185" s="798"/>
      <c r="F185" s="798"/>
      <c r="G185" s="798"/>
      <c r="H185" s="798"/>
      <c r="I185" s="798"/>
      <c r="J185" s="798"/>
      <c r="K185" s="798"/>
      <c r="L185" s="798"/>
      <c r="M185" s="798"/>
      <c r="N185" s="798"/>
      <c r="O185" s="798"/>
      <c r="P185" s="798"/>
      <c r="Q185" s="798"/>
      <c r="R185" s="798"/>
      <c r="S185" s="798"/>
      <c r="T185" s="798"/>
      <c r="U185" s="798"/>
      <c r="V185" s="798"/>
      <c r="W185" s="798"/>
      <c r="X185" s="798"/>
      <c r="Y185" s="798"/>
    </row>
    <row r="186" spans="3:25">
      <c r="C186" s="798"/>
      <c r="D186" s="798"/>
      <c r="E186" s="798"/>
      <c r="F186" s="798"/>
      <c r="G186" s="798"/>
      <c r="H186" s="798"/>
      <c r="I186" s="798"/>
      <c r="J186" s="798"/>
      <c r="K186" s="798"/>
      <c r="L186" s="798"/>
      <c r="M186" s="798"/>
      <c r="N186" s="798"/>
      <c r="O186" s="798"/>
      <c r="P186" s="798"/>
      <c r="Q186" s="798"/>
      <c r="R186" s="798"/>
      <c r="S186" s="798"/>
      <c r="T186" s="798"/>
      <c r="U186" s="798"/>
      <c r="V186" s="798"/>
      <c r="W186" s="798"/>
      <c r="X186" s="798"/>
      <c r="Y186" s="798"/>
    </row>
    <row r="187" spans="3:25">
      <c r="C187" s="798"/>
      <c r="D187" s="798"/>
      <c r="E187" s="798"/>
      <c r="F187" s="798"/>
      <c r="G187" s="798"/>
      <c r="H187" s="798"/>
      <c r="I187" s="798"/>
      <c r="J187" s="798"/>
      <c r="K187" s="798"/>
      <c r="L187" s="798"/>
      <c r="M187" s="798"/>
      <c r="N187" s="798"/>
      <c r="O187" s="798"/>
      <c r="P187" s="798"/>
      <c r="Q187" s="798"/>
      <c r="R187" s="798"/>
      <c r="S187" s="798"/>
      <c r="T187" s="798"/>
      <c r="U187" s="798"/>
      <c r="V187" s="798"/>
      <c r="W187" s="798"/>
      <c r="X187" s="798"/>
      <c r="Y187" s="798"/>
    </row>
    <row r="188" spans="3:25">
      <c r="C188" s="798"/>
      <c r="D188" s="798"/>
      <c r="E188" s="798"/>
      <c r="F188" s="798"/>
      <c r="G188" s="798"/>
      <c r="H188" s="798"/>
      <c r="I188" s="798"/>
      <c r="J188" s="798"/>
      <c r="K188" s="798"/>
      <c r="L188" s="798"/>
      <c r="M188" s="798"/>
      <c r="N188" s="798"/>
      <c r="O188" s="798"/>
      <c r="P188" s="798"/>
      <c r="Q188" s="798"/>
      <c r="R188" s="798"/>
      <c r="S188" s="798"/>
      <c r="T188" s="798"/>
      <c r="U188" s="798"/>
      <c r="V188" s="798"/>
      <c r="W188" s="798"/>
      <c r="X188" s="798"/>
      <c r="Y188" s="798"/>
    </row>
    <row r="189" spans="3:25">
      <c r="C189" s="798"/>
      <c r="D189" s="798"/>
      <c r="E189" s="798"/>
      <c r="F189" s="798"/>
      <c r="G189" s="798"/>
      <c r="H189" s="798"/>
      <c r="I189" s="798"/>
      <c r="J189" s="798"/>
      <c r="K189" s="798"/>
      <c r="L189" s="798"/>
      <c r="M189" s="798"/>
      <c r="N189" s="798"/>
      <c r="O189" s="798"/>
      <c r="P189" s="798"/>
      <c r="Q189" s="798"/>
      <c r="R189" s="798"/>
      <c r="S189" s="798"/>
      <c r="T189" s="798"/>
      <c r="U189" s="798"/>
      <c r="V189" s="798"/>
      <c r="W189" s="798"/>
      <c r="X189" s="798"/>
      <c r="Y189" s="798"/>
    </row>
    <row r="190" spans="3:25">
      <c r="C190" s="798"/>
      <c r="D190" s="798"/>
      <c r="E190" s="798"/>
      <c r="F190" s="798"/>
      <c r="G190" s="798"/>
      <c r="H190" s="798"/>
      <c r="I190" s="798"/>
      <c r="J190" s="798"/>
      <c r="K190" s="798"/>
      <c r="L190" s="798"/>
      <c r="M190" s="798"/>
      <c r="N190" s="798"/>
      <c r="O190" s="798"/>
      <c r="P190" s="798"/>
      <c r="Q190" s="798"/>
      <c r="R190" s="798"/>
      <c r="S190" s="798"/>
      <c r="T190" s="798"/>
      <c r="U190" s="798"/>
      <c r="V190" s="798"/>
      <c r="W190" s="798"/>
      <c r="X190" s="798"/>
      <c r="Y190" s="798"/>
    </row>
    <row r="191" spans="3:25">
      <c r="C191" s="798"/>
      <c r="D191" s="798"/>
      <c r="E191" s="798"/>
      <c r="F191" s="798"/>
      <c r="G191" s="798"/>
      <c r="H191" s="798"/>
      <c r="I191" s="798"/>
      <c r="J191" s="798"/>
      <c r="K191" s="798"/>
      <c r="L191" s="798"/>
      <c r="M191" s="798"/>
      <c r="N191" s="798"/>
      <c r="O191" s="798"/>
      <c r="P191" s="798"/>
      <c r="Q191" s="798"/>
      <c r="R191" s="798"/>
      <c r="S191" s="798"/>
      <c r="T191" s="798"/>
      <c r="U191" s="798"/>
      <c r="V191" s="798"/>
      <c r="W191" s="798"/>
      <c r="X191" s="798"/>
      <c r="Y191" s="798"/>
    </row>
    <row r="192" spans="3:25">
      <c r="C192" s="798"/>
      <c r="D192" s="798"/>
      <c r="E192" s="798"/>
      <c r="F192" s="798"/>
      <c r="G192" s="798"/>
      <c r="H192" s="798"/>
      <c r="I192" s="798"/>
      <c r="J192" s="798"/>
      <c r="K192" s="798"/>
      <c r="L192" s="798"/>
      <c r="M192" s="798"/>
      <c r="N192" s="798"/>
      <c r="O192" s="798"/>
      <c r="P192" s="798"/>
      <c r="Q192" s="798"/>
      <c r="R192" s="798"/>
      <c r="S192" s="798"/>
      <c r="T192" s="798"/>
      <c r="U192" s="798"/>
      <c r="V192" s="798"/>
      <c r="W192" s="798"/>
      <c r="X192" s="798"/>
      <c r="Y192" s="798"/>
    </row>
    <row r="193" spans="3:25">
      <c r="C193" s="798"/>
      <c r="D193" s="798"/>
      <c r="E193" s="798"/>
      <c r="F193" s="798"/>
      <c r="G193" s="798"/>
      <c r="H193" s="798"/>
      <c r="I193" s="798"/>
      <c r="J193" s="798"/>
      <c r="K193" s="798"/>
      <c r="L193" s="798"/>
      <c r="M193" s="798"/>
      <c r="N193" s="798"/>
      <c r="O193" s="798"/>
      <c r="P193" s="798"/>
      <c r="Q193" s="798"/>
      <c r="R193" s="798"/>
      <c r="S193" s="798"/>
      <c r="T193" s="798"/>
      <c r="U193" s="798"/>
      <c r="V193" s="798"/>
      <c r="W193" s="798"/>
      <c r="X193" s="798"/>
      <c r="Y193" s="798"/>
    </row>
    <row r="194" spans="3:25">
      <c r="C194" s="798"/>
      <c r="D194" s="798"/>
      <c r="E194" s="798"/>
      <c r="F194" s="798"/>
      <c r="G194" s="798"/>
      <c r="H194" s="798"/>
      <c r="I194" s="798"/>
      <c r="J194" s="798"/>
      <c r="K194" s="798"/>
      <c r="L194" s="798"/>
      <c r="M194" s="798"/>
      <c r="N194" s="798"/>
      <c r="O194" s="798"/>
      <c r="P194" s="798"/>
      <c r="Q194" s="798"/>
      <c r="R194" s="798"/>
      <c r="S194" s="798"/>
      <c r="T194" s="798"/>
      <c r="U194" s="798"/>
      <c r="V194" s="798"/>
      <c r="W194" s="798"/>
      <c r="X194" s="798"/>
      <c r="Y194" s="798"/>
    </row>
    <row r="195" spans="3:25">
      <c r="C195" s="798"/>
      <c r="D195" s="798"/>
      <c r="E195" s="798"/>
      <c r="F195" s="798"/>
      <c r="G195" s="798"/>
      <c r="H195" s="798"/>
      <c r="I195" s="798"/>
      <c r="J195" s="798"/>
      <c r="K195" s="798"/>
      <c r="L195" s="798"/>
      <c r="M195" s="798"/>
      <c r="N195" s="798"/>
      <c r="O195" s="798"/>
      <c r="P195" s="798"/>
      <c r="Q195" s="798"/>
      <c r="R195" s="798"/>
      <c r="S195" s="798"/>
      <c r="T195" s="798"/>
      <c r="U195" s="798"/>
      <c r="V195" s="798"/>
      <c r="W195" s="798"/>
      <c r="X195" s="798"/>
      <c r="Y195" s="798"/>
    </row>
    <row r="196" spans="3:25">
      <c r="C196" s="798"/>
      <c r="D196" s="798"/>
      <c r="E196" s="798"/>
      <c r="F196" s="798"/>
      <c r="G196" s="798"/>
      <c r="H196" s="798"/>
      <c r="I196" s="798"/>
      <c r="J196" s="798"/>
      <c r="K196" s="798"/>
      <c r="L196" s="798"/>
      <c r="M196" s="798"/>
      <c r="N196" s="798"/>
      <c r="O196" s="798"/>
      <c r="P196" s="798"/>
      <c r="Q196" s="798"/>
      <c r="R196" s="798"/>
      <c r="S196" s="798"/>
      <c r="T196" s="798"/>
      <c r="U196" s="798"/>
      <c r="V196" s="798"/>
      <c r="W196" s="798"/>
      <c r="X196" s="798"/>
      <c r="Y196" s="798"/>
    </row>
    <row r="197" spans="3:25">
      <c r="C197" s="798"/>
      <c r="D197" s="798"/>
      <c r="E197" s="798"/>
      <c r="F197" s="798"/>
      <c r="G197" s="798"/>
      <c r="H197" s="798"/>
      <c r="I197" s="798"/>
      <c r="J197" s="798"/>
      <c r="K197" s="798"/>
      <c r="L197" s="798"/>
      <c r="M197" s="798"/>
      <c r="N197" s="798"/>
      <c r="O197" s="798"/>
      <c r="P197" s="798"/>
      <c r="Q197" s="798"/>
      <c r="R197" s="798"/>
      <c r="S197" s="798"/>
      <c r="T197" s="798"/>
      <c r="U197" s="798"/>
      <c r="V197" s="798"/>
      <c r="W197" s="798"/>
      <c r="X197" s="798"/>
      <c r="Y197" s="798"/>
    </row>
    <row r="198" spans="3:25">
      <c r="C198" s="798"/>
      <c r="D198" s="798"/>
      <c r="E198" s="798"/>
      <c r="F198" s="798"/>
      <c r="G198" s="798"/>
      <c r="H198" s="798"/>
      <c r="I198" s="798"/>
      <c r="J198" s="798"/>
      <c r="K198" s="798"/>
      <c r="L198" s="798"/>
      <c r="M198" s="798"/>
      <c r="N198" s="798"/>
      <c r="O198" s="798"/>
      <c r="P198" s="798"/>
      <c r="Q198" s="798"/>
      <c r="R198" s="798"/>
      <c r="S198" s="798"/>
      <c r="T198" s="798"/>
      <c r="U198" s="798"/>
      <c r="V198" s="798"/>
      <c r="W198" s="798"/>
      <c r="X198" s="798"/>
      <c r="Y198" s="798"/>
    </row>
    <row r="199" spans="3:25">
      <c r="C199" s="798"/>
      <c r="D199" s="798"/>
      <c r="E199" s="798"/>
      <c r="F199" s="798"/>
      <c r="G199" s="798"/>
      <c r="H199" s="798"/>
      <c r="I199" s="798"/>
      <c r="J199" s="798"/>
      <c r="K199" s="798"/>
      <c r="L199" s="798"/>
      <c r="M199" s="798"/>
      <c r="N199" s="798"/>
      <c r="O199" s="798"/>
      <c r="P199" s="798"/>
      <c r="Q199" s="798"/>
      <c r="R199" s="798"/>
      <c r="S199" s="798"/>
      <c r="T199" s="798"/>
      <c r="U199" s="798"/>
      <c r="V199" s="798"/>
      <c r="W199" s="798"/>
      <c r="X199" s="798"/>
      <c r="Y199" s="798"/>
    </row>
    <row r="200" spans="3:25">
      <c r="C200" s="798"/>
      <c r="D200" s="798"/>
      <c r="E200" s="798"/>
      <c r="F200" s="798"/>
      <c r="G200" s="798"/>
      <c r="H200" s="798"/>
      <c r="I200" s="798"/>
      <c r="J200" s="798"/>
      <c r="K200" s="798"/>
      <c r="L200" s="798"/>
      <c r="M200" s="798"/>
      <c r="N200" s="798"/>
      <c r="O200" s="798"/>
      <c r="P200" s="798"/>
      <c r="Q200" s="798"/>
      <c r="R200" s="798"/>
      <c r="S200" s="798"/>
      <c r="T200" s="798"/>
      <c r="U200" s="798"/>
      <c r="V200" s="798"/>
      <c r="W200" s="798"/>
      <c r="X200" s="798"/>
      <c r="Y200" s="798"/>
    </row>
    <row r="201" spans="3:25">
      <c r="C201" s="798"/>
      <c r="D201" s="798"/>
      <c r="E201" s="798"/>
      <c r="F201" s="798"/>
      <c r="G201" s="798"/>
      <c r="H201" s="798"/>
      <c r="I201" s="798"/>
      <c r="J201" s="798"/>
      <c r="K201" s="798"/>
      <c r="L201" s="798"/>
      <c r="M201" s="798"/>
      <c r="N201" s="798"/>
      <c r="O201" s="798"/>
      <c r="P201" s="798"/>
      <c r="Q201" s="798"/>
      <c r="R201" s="798"/>
      <c r="S201" s="798"/>
      <c r="T201" s="798"/>
      <c r="U201" s="798"/>
      <c r="V201" s="798"/>
      <c r="W201" s="798"/>
      <c r="X201" s="798"/>
      <c r="Y201" s="798"/>
    </row>
    <row r="202" spans="3:25">
      <c r="C202" s="798"/>
      <c r="D202" s="798"/>
      <c r="E202" s="798"/>
      <c r="F202" s="798"/>
      <c r="G202" s="798"/>
      <c r="H202" s="798"/>
      <c r="I202" s="798"/>
      <c r="J202" s="798"/>
      <c r="K202" s="798"/>
      <c r="L202" s="798"/>
      <c r="M202" s="798"/>
      <c r="N202" s="798"/>
      <c r="O202" s="798"/>
      <c r="P202" s="798"/>
      <c r="Q202" s="798"/>
      <c r="R202" s="798"/>
      <c r="S202" s="798"/>
      <c r="T202" s="798"/>
      <c r="U202" s="798"/>
      <c r="V202" s="798"/>
      <c r="W202" s="798"/>
      <c r="X202" s="798"/>
      <c r="Y202" s="798"/>
    </row>
    <row r="203" spans="3:25">
      <c r="C203" s="798"/>
      <c r="D203" s="798"/>
      <c r="E203" s="798"/>
      <c r="F203" s="798"/>
      <c r="G203" s="798"/>
      <c r="H203" s="798"/>
      <c r="I203" s="798"/>
      <c r="J203" s="798"/>
      <c r="K203" s="798"/>
      <c r="L203" s="798"/>
      <c r="M203" s="798"/>
      <c r="N203" s="798"/>
      <c r="O203" s="798"/>
      <c r="P203" s="798"/>
      <c r="Q203" s="798"/>
      <c r="R203" s="798"/>
      <c r="S203" s="798"/>
      <c r="T203" s="798"/>
      <c r="U203" s="798"/>
      <c r="V203" s="798"/>
      <c r="W203" s="798"/>
      <c r="X203" s="798"/>
      <c r="Y203" s="798"/>
    </row>
    <row r="204" spans="3:25">
      <c r="C204" s="798"/>
      <c r="D204" s="798"/>
      <c r="E204" s="798"/>
      <c r="F204" s="798"/>
      <c r="G204" s="798"/>
      <c r="H204" s="798"/>
      <c r="I204" s="798"/>
      <c r="J204" s="798"/>
      <c r="K204" s="798"/>
      <c r="L204" s="798"/>
      <c r="M204" s="798"/>
      <c r="N204" s="798"/>
      <c r="O204" s="798"/>
      <c r="P204" s="798"/>
      <c r="Q204" s="798"/>
      <c r="R204" s="798"/>
      <c r="S204" s="798"/>
      <c r="T204" s="798"/>
      <c r="U204" s="798"/>
      <c r="V204" s="798"/>
      <c r="W204" s="798"/>
      <c r="X204" s="798"/>
      <c r="Y204" s="798"/>
    </row>
    <row r="205" spans="3:25">
      <c r="C205" s="798"/>
      <c r="D205" s="798"/>
      <c r="E205" s="798"/>
      <c r="F205" s="798"/>
      <c r="G205" s="798"/>
      <c r="H205" s="798"/>
      <c r="I205" s="798"/>
      <c r="J205" s="798"/>
      <c r="K205" s="798"/>
      <c r="L205" s="798"/>
      <c r="M205" s="798"/>
      <c r="N205" s="798"/>
      <c r="O205" s="798"/>
      <c r="P205" s="798"/>
      <c r="Q205" s="798"/>
      <c r="R205" s="798"/>
      <c r="S205" s="798"/>
      <c r="T205" s="798"/>
      <c r="U205" s="798"/>
      <c r="V205" s="798"/>
      <c r="W205" s="798"/>
      <c r="X205" s="798"/>
      <c r="Y205" s="798"/>
    </row>
    <row r="206" spans="3:25">
      <c r="C206" s="798"/>
      <c r="D206" s="798"/>
      <c r="E206" s="798"/>
      <c r="F206" s="798"/>
      <c r="G206" s="798"/>
      <c r="H206" s="798"/>
      <c r="I206" s="798"/>
      <c r="J206" s="798"/>
      <c r="K206" s="798"/>
      <c r="L206" s="798"/>
      <c r="M206" s="798"/>
      <c r="N206" s="798"/>
      <c r="O206" s="798"/>
      <c r="P206" s="798"/>
      <c r="Q206" s="798"/>
      <c r="R206" s="798"/>
      <c r="S206" s="798"/>
      <c r="T206" s="798"/>
      <c r="U206" s="798"/>
      <c r="V206" s="798"/>
      <c r="W206" s="798"/>
      <c r="X206" s="798"/>
      <c r="Y206" s="798"/>
    </row>
    <row r="207" spans="3:25">
      <c r="C207" s="798"/>
      <c r="D207" s="798"/>
      <c r="E207" s="798"/>
      <c r="F207" s="798"/>
      <c r="G207" s="798"/>
      <c r="H207" s="798"/>
      <c r="I207" s="798"/>
      <c r="J207" s="798"/>
      <c r="K207" s="798"/>
      <c r="L207" s="798"/>
      <c r="M207" s="798"/>
      <c r="N207" s="798"/>
      <c r="O207" s="798"/>
      <c r="P207" s="798"/>
      <c r="Q207" s="798"/>
      <c r="R207" s="798"/>
      <c r="S207" s="798"/>
      <c r="T207" s="798"/>
      <c r="U207" s="798"/>
      <c r="V207" s="798"/>
      <c r="W207" s="798"/>
      <c r="X207" s="798"/>
      <c r="Y207" s="798"/>
    </row>
    <row r="208" spans="3:25">
      <c r="C208" s="798"/>
      <c r="D208" s="798"/>
      <c r="E208" s="798"/>
      <c r="F208" s="798"/>
      <c r="G208" s="798"/>
      <c r="H208" s="798"/>
      <c r="I208" s="798"/>
      <c r="J208" s="798"/>
      <c r="K208" s="798"/>
      <c r="L208" s="798"/>
      <c r="M208" s="798"/>
      <c r="N208" s="798"/>
      <c r="O208" s="798"/>
      <c r="P208" s="798"/>
      <c r="Q208" s="798"/>
      <c r="R208" s="798"/>
      <c r="S208" s="798"/>
      <c r="T208" s="798"/>
      <c r="U208" s="798"/>
      <c r="V208" s="798"/>
      <c r="W208" s="798"/>
      <c r="X208" s="798"/>
      <c r="Y208" s="798"/>
    </row>
    <row r="209" spans="3:25">
      <c r="C209" s="798"/>
      <c r="D209" s="798"/>
      <c r="E209" s="798"/>
      <c r="F209" s="798"/>
      <c r="G209" s="798"/>
      <c r="H209" s="798"/>
      <c r="I209" s="798"/>
      <c r="J209" s="798"/>
      <c r="K209" s="798"/>
      <c r="L209" s="798"/>
      <c r="M209" s="798"/>
      <c r="N209" s="798"/>
      <c r="O209" s="798"/>
      <c r="P209" s="798"/>
      <c r="Q209" s="798"/>
      <c r="R209" s="798"/>
      <c r="S209" s="798"/>
      <c r="T209" s="798"/>
      <c r="U209" s="798"/>
      <c r="V209" s="798"/>
      <c r="W209" s="798"/>
      <c r="X209" s="798"/>
      <c r="Y209" s="798"/>
    </row>
    <row r="210" spans="3:25">
      <c r="C210" s="798"/>
      <c r="D210" s="798"/>
      <c r="E210" s="798"/>
      <c r="F210" s="798"/>
      <c r="G210" s="798"/>
      <c r="H210" s="798"/>
      <c r="I210" s="798"/>
      <c r="J210" s="798"/>
      <c r="K210" s="798"/>
      <c r="L210" s="798"/>
      <c r="M210" s="798"/>
      <c r="N210" s="798"/>
      <c r="O210" s="798"/>
      <c r="P210" s="798"/>
      <c r="Q210" s="798"/>
      <c r="R210" s="798"/>
      <c r="S210" s="798"/>
      <c r="T210" s="798"/>
      <c r="U210" s="798"/>
      <c r="V210" s="798"/>
      <c r="W210" s="798"/>
      <c r="X210" s="798"/>
      <c r="Y210" s="798"/>
    </row>
    <row r="211" spans="3:25">
      <c r="C211" s="798"/>
      <c r="D211" s="798"/>
      <c r="E211" s="798"/>
      <c r="F211" s="798"/>
      <c r="G211" s="798"/>
      <c r="H211" s="798"/>
      <c r="I211" s="798"/>
      <c r="J211" s="798"/>
      <c r="K211" s="798"/>
      <c r="L211" s="798"/>
      <c r="M211" s="798"/>
      <c r="N211" s="798"/>
      <c r="O211" s="798"/>
      <c r="P211" s="798"/>
      <c r="Q211" s="798"/>
      <c r="R211" s="798"/>
      <c r="S211" s="798"/>
      <c r="T211" s="798"/>
      <c r="U211" s="798"/>
      <c r="V211" s="798"/>
      <c r="W211" s="798"/>
      <c r="X211" s="798"/>
      <c r="Y211" s="798"/>
    </row>
    <row r="212" spans="3:25">
      <c r="C212" s="798"/>
      <c r="D212" s="798"/>
      <c r="E212" s="798"/>
      <c r="F212" s="798"/>
      <c r="G212" s="798"/>
      <c r="H212" s="798"/>
      <c r="I212" s="798"/>
      <c r="J212" s="798"/>
      <c r="K212" s="798"/>
      <c r="L212" s="798"/>
      <c r="M212" s="798"/>
      <c r="N212" s="798"/>
      <c r="O212" s="798"/>
      <c r="P212" s="798"/>
      <c r="Q212" s="798"/>
      <c r="R212" s="798"/>
      <c r="S212" s="798"/>
      <c r="T212" s="798"/>
      <c r="U212" s="798"/>
      <c r="V212" s="798"/>
      <c r="W212" s="798"/>
      <c r="X212" s="798"/>
      <c r="Y212" s="798"/>
    </row>
    <row r="213" spans="3:25">
      <c r="C213" s="798"/>
      <c r="D213" s="798"/>
      <c r="E213" s="798"/>
      <c r="F213" s="798"/>
      <c r="G213" s="798"/>
      <c r="H213" s="798"/>
      <c r="I213" s="798"/>
      <c r="J213" s="798"/>
      <c r="K213" s="798"/>
      <c r="L213" s="798"/>
      <c r="M213" s="798"/>
      <c r="N213" s="798"/>
      <c r="O213" s="798"/>
      <c r="P213" s="798"/>
      <c r="Q213" s="798"/>
      <c r="R213" s="798"/>
      <c r="S213" s="798"/>
      <c r="T213" s="798"/>
      <c r="U213" s="798"/>
      <c r="V213" s="798"/>
      <c r="W213" s="798"/>
      <c r="X213" s="798"/>
      <c r="Y213" s="798"/>
    </row>
    <row r="214" spans="3:25">
      <c r="C214" s="798"/>
      <c r="D214" s="798"/>
      <c r="E214" s="798"/>
      <c r="F214" s="798"/>
      <c r="G214" s="798"/>
      <c r="H214" s="798"/>
      <c r="I214" s="798"/>
      <c r="J214" s="798"/>
      <c r="K214" s="798"/>
      <c r="L214" s="798"/>
      <c r="M214" s="798"/>
      <c r="N214" s="798"/>
      <c r="O214" s="798"/>
      <c r="P214" s="798"/>
      <c r="Q214" s="798"/>
      <c r="R214" s="798"/>
      <c r="S214" s="798"/>
      <c r="T214" s="798"/>
      <c r="U214" s="798"/>
      <c r="V214" s="798"/>
      <c r="W214" s="798"/>
      <c r="X214" s="798"/>
      <c r="Y214" s="798"/>
    </row>
    <row r="215" spans="3:25">
      <c r="C215" s="798"/>
      <c r="D215" s="798"/>
      <c r="E215" s="798"/>
      <c r="F215" s="798"/>
      <c r="G215" s="798"/>
      <c r="H215" s="798"/>
      <c r="I215" s="798"/>
      <c r="J215" s="798"/>
      <c r="K215" s="798"/>
      <c r="L215" s="798"/>
      <c r="M215" s="798"/>
      <c r="N215" s="798"/>
      <c r="O215" s="798"/>
      <c r="P215" s="798"/>
      <c r="Q215" s="798"/>
      <c r="R215" s="798"/>
      <c r="S215" s="798"/>
      <c r="T215" s="798"/>
      <c r="U215" s="798"/>
      <c r="V215" s="798"/>
      <c r="W215" s="798"/>
      <c r="X215" s="798"/>
      <c r="Y215" s="798"/>
    </row>
    <row r="216" spans="3:25">
      <c r="C216" s="798"/>
      <c r="D216" s="798"/>
      <c r="E216" s="798"/>
      <c r="F216" s="798"/>
      <c r="G216" s="798"/>
      <c r="H216" s="798"/>
      <c r="I216" s="798"/>
      <c r="J216" s="798"/>
      <c r="K216" s="798"/>
      <c r="L216" s="798"/>
      <c r="M216" s="798"/>
      <c r="N216" s="798"/>
      <c r="O216" s="798"/>
      <c r="P216" s="798"/>
      <c r="Q216" s="798"/>
      <c r="R216" s="798"/>
      <c r="S216" s="798"/>
      <c r="T216" s="798"/>
      <c r="U216" s="798"/>
      <c r="V216" s="798"/>
      <c r="W216" s="798"/>
      <c r="X216" s="798"/>
      <c r="Y216" s="798"/>
    </row>
    <row r="217" spans="3:25">
      <c r="C217" s="798"/>
      <c r="D217" s="798"/>
      <c r="E217" s="798"/>
      <c r="F217" s="798"/>
      <c r="G217" s="798"/>
      <c r="H217" s="798"/>
      <c r="I217" s="798"/>
      <c r="J217" s="798"/>
      <c r="K217" s="798"/>
      <c r="L217" s="798"/>
      <c r="M217" s="798"/>
      <c r="N217" s="798"/>
      <c r="O217" s="798"/>
      <c r="P217" s="798"/>
      <c r="Q217" s="798"/>
      <c r="R217" s="798"/>
      <c r="S217" s="798"/>
      <c r="T217" s="798"/>
      <c r="U217" s="798"/>
      <c r="V217" s="798"/>
      <c r="W217" s="798"/>
      <c r="X217" s="798"/>
      <c r="Y217" s="798"/>
    </row>
    <row r="218" spans="3:25">
      <c r="C218" s="798"/>
      <c r="D218" s="798"/>
      <c r="E218" s="798"/>
      <c r="F218" s="798"/>
      <c r="G218" s="798"/>
      <c r="H218" s="798"/>
      <c r="I218" s="798"/>
      <c r="J218" s="798"/>
      <c r="K218" s="798"/>
      <c r="L218" s="798"/>
      <c r="M218" s="798"/>
      <c r="N218" s="798"/>
      <c r="O218" s="798"/>
      <c r="P218" s="798"/>
      <c r="Q218" s="798"/>
      <c r="R218" s="798"/>
      <c r="S218" s="798"/>
      <c r="T218" s="798"/>
      <c r="U218" s="798"/>
      <c r="V218" s="798"/>
      <c r="W218" s="798"/>
      <c r="X218" s="798"/>
      <c r="Y218" s="798"/>
    </row>
    <row r="219" spans="3:25">
      <c r="C219" s="798"/>
      <c r="D219" s="798"/>
      <c r="E219" s="798"/>
      <c r="F219" s="798"/>
      <c r="G219" s="798"/>
      <c r="H219" s="798"/>
      <c r="I219" s="798"/>
      <c r="J219" s="798"/>
      <c r="K219" s="798"/>
      <c r="L219" s="798"/>
      <c r="M219" s="798"/>
      <c r="N219" s="798"/>
      <c r="O219" s="798"/>
      <c r="P219" s="798"/>
      <c r="Q219" s="798"/>
      <c r="R219" s="798"/>
      <c r="S219" s="798"/>
      <c r="T219" s="798"/>
      <c r="U219" s="798"/>
      <c r="V219" s="798"/>
      <c r="W219" s="798"/>
      <c r="X219" s="798"/>
      <c r="Y219" s="798"/>
    </row>
    <row r="220" spans="3:25">
      <c r="C220" s="798"/>
      <c r="D220" s="798"/>
      <c r="E220" s="798"/>
      <c r="F220" s="798"/>
      <c r="G220" s="798"/>
      <c r="H220" s="798"/>
      <c r="I220" s="798"/>
      <c r="J220" s="798"/>
      <c r="K220" s="798"/>
      <c r="L220" s="798"/>
      <c r="M220" s="798"/>
      <c r="N220" s="798"/>
      <c r="O220" s="798"/>
      <c r="P220" s="798"/>
      <c r="Q220" s="798"/>
      <c r="R220" s="798"/>
      <c r="S220" s="798"/>
      <c r="T220" s="798"/>
      <c r="U220" s="798"/>
      <c r="V220" s="798"/>
      <c r="W220" s="798"/>
      <c r="X220" s="798"/>
      <c r="Y220" s="798"/>
    </row>
    <row r="221" spans="3:25">
      <c r="C221" s="798"/>
      <c r="D221" s="798"/>
      <c r="E221" s="798"/>
      <c r="F221" s="798"/>
      <c r="G221" s="798"/>
      <c r="H221" s="798"/>
      <c r="I221" s="798"/>
      <c r="J221" s="798"/>
      <c r="K221" s="798"/>
      <c r="L221" s="798"/>
      <c r="M221" s="798"/>
      <c r="N221" s="798"/>
      <c r="O221" s="798"/>
      <c r="P221" s="798"/>
      <c r="Q221" s="798"/>
      <c r="R221" s="798"/>
      <c r="S221" s="798"/>
      <c r="T221" s="798"/>
      <c r="U221" s="798"/>
      <c r="V221" s="798"/>
      <c r="W221" s="798"/>
      <c r="X221" s="798"/>
      <c r="Y221" s="798"/>
    </row>
    <row r="222" spans="3:25">
      <c r="C222" s="798"/>
      <c r="D222" s="798"/>
      <c r="E222" s="798"/>
      <c r="F222" s="798"/>
      <c r="G222" s="798"/>
      <c r="H222" s="798"/>
      <c r="I222" s="798"/>
      <c r="J222" s="798"/>
      <c r="K222" s="798"/>
      <c r="L222" s="798"/>
      <c r="M222" s="798"/>
      <c r="N222" s="798"/>
      <c r="O222" s="798"/>
      <c r="P222" s="798"/>
      <c r="Q222" s="798"/>
      <c r="R222" s="798"/>
      <c r="S222" s="798"/>
      <c r="T222" s="798"/>
      <c r="U222" s="798"/>
      <c r="V222" s="798"/>
      <c r="W222" s="798"/>
      <c r="X222" s="798"/>
      <c r="Y222" s="798"/>
    </row>
    <row r="223" spans="3:25">
      <c r="C223" s="798"/>
      <c r="D223" s="798"/>
      <c r="E223" s="798"/>
      <c r="F223" s="798"/>
      <c r="G223" s="798"/>
      <c r="H223" s="798"/>
      <c r="I223" s="798"/>
      <c r="J223" s="798"/>
      <c r="K223" s="798"/>
      <c r="L223" s="798"/>
      <c r="M223" s="798"/>
      <c r="N223" s="798"/>
      <c r="O223" s="798"/>
      <c r="P223" s="798"/>
      <c r="Q223" s="798"/>
      <c r="R223" s="798"/>
      <c r="S223" s="798"/>
      <c r="T223" s="798"/>
      <c r="U223" s="798"/>
      <c r="V223" s="798"/>
      <c r="W223" s="798"/>
      <c r="X223" s="798"/>
      <c r="Y223" s="798"/>
    </row>
    <row r="224" spans="3:25">
      <c r="C224" s="798"/>
      <c r="D224" s="798"/>
      <c r="E224" s="798"/>
      <c r="F224" s="798"/>
      <c r="G224" s="798"/>
      <c r="H224" s="798"/>
      <c r="I224" s="798"/>
      <c r="J224" s="798"/>
      <c r="K224" s="798"/>
      <c r="L224" s="798"/>
      <c r="M224" s="798"/>
      <c r="N224" s="798"/>
      <c r="O224" s="798"/>
      <c r="P224" s="798"/>
      <c r="Q224" s="798"/>
      <c r="R224" s="798"/>
      <c r="S224" s="798"/>
      <c r="T224" s="798"/>
      <c r="U224" s="798"/>
      <c r="V224" s="798"/>
      <c r="W224" s="798"/>
      <c r="X224" s="798"/>
      <c r="Y224" s="798"/>
    </row>
    <row r="225" spans="3:25">
      <c r="C225" s="798"/>
      <c r="D225" s="798"/>
      <c r="E225" s="798"/>
      <c r="F225" s="798"/>
      <c r="G225" s="798"/>
      <c r="H225" s="798"/>
      <c r="I225" s="798"/>
      <c r="J225" s="798"/>
      <c r="K225" s="798"/>
      <c r="L225" s="798"/>
      <c r="M225" s="798"/>
      <c r="N225" s="798"/>
      <c r="O225" s="798"/>
      <c r="P225" s="798"/>
      <c r="Q225" s="798"/>
      <c r="R225" s="798"/>
      <c r="S225" s="798"/>
      <c r="T225" s="798"/>
      <c r="U225" s="798"/>
      <c r="V225" s="798"/>
      <c r="W225" s="798"/>
      <c r="X225" s="798"/>
      <c r="Y225" s="798"/>
    </row>
    <row r="226" spans="3:25">
      <c r="C226" s="798"/>
      <c r="D226" s="798"/>
      <c r="E226" s="798"/>
      <c r="F226" s="798"/>
      <c r="G226" s="798"/>
      <c r="H226" s="798"/>
      <c r="I226" s="798"/>
      <c r="J226" s="798"/>
      <c r="K226" s="798"/>
      <c r="L226" s="798"/>
      <c r="M226" s="798"/>
      <c r="N226" s="798"/>
      <c r="O226" s="798"/>
      <c r="P226" s="798"/>
      <c r="Q226" s="798"/>
      <c r="R226" s="798"/>
      <c r="S226" s="798"/>
      <c r="T226" s="798"/>
      <c r="U226" s="798"/>
      <c r="V226" s="798"/>
      <c r="W226" s="798"/>
      <c r="X226" s="798"/>
      <c r="Y226" s="798"/>
    </row>
    <row r="227" spans="3:25">
      <c r="C227" s="798"/>
      <c r="D227" s="798"/>
      <c r="E227" s="798"/>
      <c r="F227" s="798"/>
      <c r="G227" s="798"/>
      <c r="H227" s="798"/>
      <c r="I227" s="798"/>
      <c r="J227" s="798"/>
      <c r="K227" s="798"/>
      <c r="L227" s="798"/>
      <c r="M227" s="798"/>
      <c r="N227" s="798"/>
      <c r="O227" s="798"/>
      <c r="P227" s="798"/>
      <c r="Q227" s="798"/>
      <c r="R227" s="798"/>
      <c r="S227" s="798"/>
      <c r="T227" s="798"/>
      <c r="U227" s="798"/>
      <c r="V227" s="798"/>
      <c r="W227" s="798"/>
      <c r="X227" s="798"/>
      <c r="Y227" s="798"/>
    </row>
    <row r="228" spans="3:25">
      <c r="C228" s="798"/>
      <c r="D228" s="798"/>
      <c r="E228" s="798"/>
      <c r="F228" s="798"/>
      <c r="G228" s="798"/>
      <c r="H228" s="798"/>
      <c r="I228" s="798"/>
      <c r="J228" s="798"/>
      <c r="K228" s="798"/>
      <c r="L228" s="798"/>
      <c r="M228" s="798"/>
      <c r="N228" s="798"/>
      <c r="O228" s="798"/>
      <c r="P228" s="798"/>
      <c r="Q228" s="798"/>
      <c r="R228" s="798"/>
      <c r="S228" s="798"/>
      <c r="T228" s="798"/>
      <c r="U228" s="798"/>
      <c r="V228" s="798"/>
      <c r="W228" s="798"/>
      <c r="X228" s="798"/>
      <c r="Y228" s="798"/>
    </row>
    <row r="229" spans="3:25">
      <c r="C229" s="798"/>
      <c r="D229" s="798"/>
      <c r="E229" s="798"/>
      <c r="F229" s="798"/>
      <c r="G229" s="798"/>
      <c r="H229" s="798"/>
      <c r="I229" s="798"/>
      <c r="J229" s="798"/>
      <c r="K229" s="798"/>
      <c r="L229" s="798"/>
      <c r="M229" s="798"/>
      <c r="N229" s="798"/>
      <c r="O229" s="798"/>
      <c r="P229" s="798"/>
      <c r="Q229" s="798"/>
      <c r="R229" s="798"/>
      <c r="S229" s="798"/>
      <c r="T229" s="798"/>
      <c r="U229" s="798"/>
      <c r="V229" s="798"/>
      <c r="W229" s="798"/>
      <c r="X229" s="798"/>
      <c r="Y229" s="798"/>
    </row>
    <row r="230" spans="3:25">
      <c r="C230" s="798"/>
      <c r="D230" s="798"/>
      <c r="E230" s="798"/>
      <c r="F230" s="798"/>
      <c r="G230" s="798"/>
      <c r="H230" s="798"/>
      <c r="I230" s="798"/>
      <c r="J230" s="798"/>
      <c r="K230" s="798"/>
      <c r="L230" s="798"/>
      <c r="M230" s="798"/>
      <c r="N230" s="798"/>
      <c r="O230" s="798"/>
      <c r="P230" s="798"/>
      <c r="Q230" s="798"/>
      <c r="R230" s="798"/>
      <c r="S230" s="798"/>
      <c r="T230" s="798"/>
      <c r="U230" s="798"/>
      <c r="V230" s="798"/>
      <c r="W230" s="798"/>
      <c r="X230" s="798"/>
      <c r="Y230" s="798"/>
    </row>
    <row r="231" spans="3:25">
      <c r="C231" s="798"/>
      <c r="D231" s="798"/>
      <c r="E231" s="798"/>
      <c r="F231" s="798"/>
      <c r="G231" s="798"/>
      <c r="H231" s="798"/>
      <c r="I231" s="798"/>
      <c r="J231" s="798"/>
      <c r="K231" s="798"/>
      <c r="L231" s="798"/>
      <c r="M231" s="798"/>
      <c r="N231" s="798"/>
      <c r="O231" s="798"/>
      <c r="P231" s="798"/>
      <c r="Q231" s="798"/>
      <c r="R231" s="798"/>
      <c r="S231" s="798"/>
      <c r="T231" s="798"/>
      <c r="U231" s="798"/>
      <c r="V231" s="798"/>
      <c r="W231" s="798"/>
      <c r="X231" s="798"/>
      <c r="Y231" s="798"/>
    </row>
    <row r="232" spans="3:25">
      <c r="C232" s="798"/>
      <c r="D232" s="798"/>
      <c r="E232" s="798"/>
      <c r="F232" s="798"/>
      <c r="G232" s="798"/>
      <c r="H232" s="798"/>
      <c r="I232" s="798"/>
      <c r="J232" s="798"/>
      <c r="K232" s="798"/>
      <c r="L232" s="798"/>
      <c r="M232" s="798"/>
      <c r="N232" s="798"/>
      <c r="O232" s="798"/>
      <c r="P232" s="798"/>
      <c r="Q232" s="798"/>
      <c r="R232" s="798"/>
      <c r="S232" s="798"/>
      <c r="T232" s="798"/>
      <c r="U232" s="798"/>
      <c r="V232" s="798"/>
      <c r="W232" s="798"/>
      <c r="X232" s="798"/>
      <c r="Y232" s="798"/>
    </row>
    <row r="233" spans="3:25">
      <c r="C233" s="798"/>
      <c r="D233" s="798"/>
      <c r="E233" s="798"/>
      <c r="F233" s="798"/>
      <c r="G233" s="798"/>
      <c r="H233" s="798"/>
      <c r="I233" s="798"/>
      <c r="J233" s="798"/>
      <c r="K233" s="798"/>
      <c r="L233" s="798"/>
      <c r="M233" s="798"/>
      <c r="N233" s="798"/>
      <c r="O233" s="798"/>
      <c r="P233" s="798"/>
      <c r="Q233" s="798"/>
      <c r="R233" s="798"/>
      <c r="S233" s="798"/>
      <c r="T233" s="798"/>
      <c r="U233" s="798"/>
      <c r="V233" s="798"/>
      <c r="W233" s="798"/>
      <c r="X233" s="798"/>
      <c r="Y233" s="798"/>
    </row>
    <row r="234" spans="3:25">
      <c r="C234" s="798"/>
      <c r="D234" s="798"/>
      <c r="E234" s="798"/>
      <c r="F234" s="798"/>
      <c r="G234" s="798"/>
      <c r="H234" s="798"/>
      <c r="I234" s="798"/>
      <c r="J234" s="798"/>
      <c r="K234" s="798"/>
      <c r="L234" s="798"/>
      <c r="M234" s="798"/>
      <c r="N234" s="798"/>
      <c r="O234" s="798"/>
      <c r="P234" s="798"/>
      <c r="Q234" s="798"/>
      <c r="R234" s="798"/>
      <c r="S234" s="798"/>
      <c r="T234" s="798"/>
      <c r="U234" s="798"/>
      <c r="V234" s="798"/>
      <c r="W234" s="798"/>
      <c r="X234" s="798"/>
      <c r="Y234" s="798"/>
    </row>
    <row r="235" spans="3:25">
      <c r="C235" s="798"/>
      <c r="D235" s="798"/>
      <c r="E235" s="798"/>
      <c r="F235" s="798"/>
      <c r="G235" s="798"/>
      <c r="H235" s="798"/>
      <c r="I235" s="798"/>
      <c r="J235" s="798"/>
      <c r="K235" s="798"/>
      <c r="L235" s="798"/>
      <c r="M235" s="798"/>
      <c r="N235" s="798"/>
      <c r="O235" s="798"/>
      <c r="P235" s="798"/>
      <c r="Q235" s="798"/>
      <c r="R235" s="798"/>
      <c r="S235" s="798"/>
      <c r="T235" s="798"/>
      <c r="U235" s="798"/>
      <c r="V235" s="798"/>
      <c r="W235" s="798"/>
      <c r="X235" s="798"/>
      <c r="Y235" s="798"/>
    </row>
    <row r="236" spans="3:25">
      <c r="C236" s="798"/>
      <c r="D236" s="798"/>
      <c r="E236" s="798"/>
      <c r="F236" s="798"/>
      <c r="G236" s="798"/>
      <c r="H236" s="798"/>
      <c r="I236" s="798"/>
      <c r="J236" s="798"/>
      <c r="K236" s="798"/>
      <c r="L236" s="798"/>
      <c r="M236" s="798"/>
      <c r="N236" s="798"/>
      <c r="O236" s="798"/>
      <c r="P236" s="798"/>
      <c r="Q236" s="798"/>
      <c r="R236" s="798"/>
      <c r="S236" s="798"/>
      <c r="T236" s="798"/>
      <c r="U236" s="798"/>
      <c r="V236" s="798"/>
      <c r="W236" s="798"/>
      <c r="X236" s="798"/>
      <c r="Y236" s="798"/>
    </row>
    <row r="237" spans="3:25">
      <c r="C237" s="798"/>
      <c r="D237" s="798"/>
      <c r="E237" s="798"/>
      <c r="F237" s="798"/>
      <c r="G237" s="798"/>
      <c r="H237" s="798"/>
      <c r="I237" s="798"/>
      <c r="J237" s="798"/>
      <c r="K237" s="798"/>
      <c r="L237" s="798"/>
      <c r="M237" s="798"/>
      <c r="N237" s="798"/>
      <c r="O237" s="798"/>
      <c r="P237" s="798"/>
      <c r="Q237" s="798"/>
      <c r="R237" s="798"/>
      <c r="S237" s="798"/>
      <c r="T237" s="798"/>
      <c r="U237" s="798"/>
      <c r="V237" s="798"/>
      <c r="W237" s="798"/>
      <c r="X237" s="798"/>
      <c r="Y237" s="798"/>
    </row>
    <row r="238" spans="3:25">
      <c r="C238" s="798"/>
      <c r="D238" s="798"/>
      <c r="E238" s="798"/>
      <c r="F238" s="798"/>
      <c r="G238" s="798"/>
      <c r="H238" s="798"/>
      <c r="I238" s="798"/>
      <c r="J238" s="798"/>
      <c r="K238" s="798"/>
      <c r="L238" s="798"/>
      <c r="M238" s="798"/>
      <c r="N238" s="798"/>
      <c r="O238" s="798"/>
      <c r="P238" s="798"/>
      <c r="Q238" s="798"/>
      <c r="R238" s="798"/>
      <c r="S238" s="798"/>
      <c r="T238" s="798"/>
      <c r="U238" s="798"/>
      <c r="V238" s="798"/>
      <c r="W238" s="798"/>
      <c r="X238" s="798"/>
      <c r="Y238" s="798"/>
    </row>
    <row r="239" spans="3:25">
      <c r="C239" s="798"/>
      <c r="D239" s="798"/>
      <c r="E239" s="798"/>
      <c r="F239" s="798"/>
      <c r="G239" s="798"/>
      <c r="H239" s="798"/>
      <c r="I239" s="798"/>
      <c r="J239" s="798"/>
      <c r="K239" s="798"/>
      <c r="L239" s="798"/>
      <c r="M239" s="798"/>
      <c r="N239" s="798"/>
      <c r="O239" s="798"/>
      <c r="P239" s="798"/>
      <c r="Q239" s="798"/>
      <c r="R239" s="798"/>
      <c r="S239" s="798"/>
      <c r="T239" s="798"/>
      <c r="U239" s="798"/>
      <c r="V239" s="798"/>
      <c r="W239" s="798"/>
      <c r="X239" s="798"/>
      <c r="Y239" s="798"/>
    </row>
    <row r="240" spans="3:25">
      <c r="C240" s="798"/>
      <c r="D240" s="798"/>
      <c r="E240" s="798"/>
      <c r="F240" s="798"/>
      <c r="G240" s="798"/>
      <c r="H240" s="798"/>
      <c r="I240" s="798"/>
      <c r="J240" s="798"/>
      <c r="K240" s="798"/>
      <c r="L240" s="798"/>
      <c r="M240" s="798"/>
      <c r="N240" s="798"/>
      <c r="O240" s="798"/>
      <c r="P240" s="798"/>
      <c r="Q240" s="798"/>
      <c r="R240" s="798"/>
      <c r="S240" s="798"/>
      <c r="T240" s="798"/>
      <c r="U240" s="798"/>
      <c r="V240" s="798"/>
      <c r="W240" s="798"/>
      <c r="X240" s="798"/>
      <c r="Y240" s="798"/>
    </row>
    <row r="241" spans="3:25">
      <c r="C241" s="798"/>
      <c r="D241" s="798"/>
      <c r="E241" s="798"/>
      <c r="F241" s="798"/>
      <c r="G241" s="798"/>
      <c r="H241" s="798"/>
      <c r="I241" s="798"/>
      <c r="J241" s="798"/>
      <c r="K241" s="798"/>
      <c r="L241" s="798"/>
      <c r="M241" s="798"/>
      <c r="N241" s="798"/>
      <c r="O241" s="798"/>
      <c r="P241" s="798"/>
      <c r="Q241" s="798"/>
      <c r="R241" s="798"/>
      <c r="S241" s="798"/>
      <c r="T241" s="798"/>
      <c r="U241" s="798"/>
      <c r="V241" s="798"/>
      <c r="W241" s="798"/>
      <c r="X241" s="798"/>
      <c r="Y241" s="798"/>
    </row>
    <row r="242" spans="3:25">
      <c r="C242" s="798"/>
      <c r="D242" s="798"/>
      <c r="E242" s="798"/>
      <c r="F242" s="798"/>
      <c r="G242" s="798"/>
      <c r="H242" s="798"/>
      <c r="I242" s="798"/>
      <c r="J242" s="798"/>
      <c r="K242" s="798"/>
      <c r="L242" s="798"/>
      <c r="M242" s="798"/>
      <c r="N242" s="798"/>
      <c r="O242" s="798"/>
      <c r="P242" s="798"/>
      <c r="Q242" s="798"/>
      <c r="R242" s="798"/>
      <c r="S242" s="798"/>
      <c r="T242" s="798"/>
      <c r="U242" s="798"/>
      <c r="V242" s="798"/>
      <c r="W242" s="798"/>
      <c r="X242" s="798"/>
      <c r="Y242" s="798"/>
    </row>
    <row r="243" spans="3:25">
      <c r="C243" s="798"/>
      <c r="D243" s="798"/>
      <c r="E243" s="798"/>
      <c r="F243" s="798"/>
      <c r="G243" s="798"/>
      <c r="H243" s="798"/>
      <c r="I243" s="798"/>
      <c r="J243" s="798"/>
      <c r="K243" s="798"/>
      <c r="L243" s="798"/>
      <c r="M243" s="798"/>
      <c r="N243" s="798"/>
      <c r="O243" s="798"/>
      <c r="P243" s="798"/>
      <c r="Q243" s="798"/>
      <c r="R243" s="798"/>
      <c r="S243" s="798"/>
      <c r="T243" s="798"/>
      <c r="U243" s="798"/>
      <c r="V243" s="798"/>
      <c r="W243" s="798"/>
      <c r="X243" s="798"/>
      <c r="Y243" s="798"/>
    </row>
    <row r="244" spans="3:25">
      <c r="C244" s="798"/>
      <c r="D244" s="798"/>
      <c r="E244" s="798"/>
      <c r="F244" s="798"/>
      <c r="G244" s="798"/>
      <c r="H244" s="798"/>
      <c r="I244" s="798"/>
      <c r="J244" s="798"/>
      <c r="K244" s="798"/>
      <c r="L244" s="798"/>
      <c r="M244" s="798"/>
      <c r="N244" s="798"/>
      <c r="O244" s="798"/>
      <c r="P244" s="798"/>
      <c r="Q244" s="798"/>
      <c r="R244" s="798"/>
      <c r="S244" s="798"/>
      <c r="T244" s="798"/>
      <c r="U244" s="798"/>
      <c r="V244" s="798"/>
      <c r="W244" s="798"/>
      <c r="X244" s="798"/>
      <c r="Y244" s="798"/>
    </row>
    <row r="245" spans="3:25">
      <c r="C245" s="798"/>
      <c r="D245" s="798"/>
      <c r="E245" s="798"/>
      <c r="F245" s="798"/>
      <c r="G245" s="798"/>
      <c r="H245" s="798"/>
      <c r="I245" s="798"/>
      <c r="J245" s="798"/>
      <c r="K245" s="798"/>
      <c r="L245" s="798"/>
      <c r="M245" s="798"/>
      <c r="N245" s="798"/>
      <c r="O245" s="798"/>
      <c r="P245" s="798"/>
      <c r="Q245" s="798"/>
      <c r="R245" s="798"/>
      <c r="S245" s="798"/>
      <c r="T245" s="798"/>
      <c r="U245" s="798"/>
      <c r="V245" s="798"/>
      <c r="W245" s="798"/>
      <c r="X245" s="798"/>
      <c r="Y245" s="798"/>
    </row>
    <row r="246" spans="3:25">
      <c r="C246" s="798"/>
      <c r="D246" s="798"/>
      <c r="E246" s="798"/>
      <c r="F246" s="798"/>
      <c r="G246" s="798"/>
      <c r="H246" s="798"/>
      <c r="I246" s="798"/>
      <c r="J246" s="798"/>
      <c r="K246" s="798"/>
      <c r="L246" s="798"/>
      <c r="M246" s="798"/>
      <c r="N246" s="798"/>
      <c r="O246" s="798"/>
      <c r="P246" s="798"/>
      <c r="Q246" s="798"/>
      <c r="R246" s="798"/>
      <c r="S246" s="798"/>
      <c r="T246" s="798"/>
      <c r="U246" s="798"/>
      <c r="V246" s="798"/>
      <c r="W246" s="798"/>
      <c r="X246" s="798"/>
      <c r="Y246" s="798"/>
    </row>
    <row r="247" spans="3:25">
      <c r="C247" s="798"/>
      <c r="D247" s="798"/>
      <c r="E247" s="798"/>
      <c r="F247" s="798"/>
      <c r="G247" s="798"/>
      <c r="H247" s="798"/>
      <c r="I247" s="798"/>
      <c r="J247" s="798"/>
      <c r="K247" s="798"/>
      <c r="L247" s="798"/>
      <c r="M247" s="798"/>
      <c r="N247" s="798"/>
      <c r="O247" s="798"/>
      <c r="P247" s="798"/>
      <c r="Q247" s="798"/>
      <c r="R247" s="798"/>
      <c r="S247" s="798"/>
      <c r="T247" s="798"/>
      <c r="U247" s="798"/>
      <c r="V247" s="798"/>
      <c r="W247" s="798"/>
      <c r="X247" s="798"/>
      <c r="Y247" s="798"/>
    </row>
    <row r="248" spans="3:25">
      <c r="C248" s="798"/>
      <c r="D248" s="798"/>
      <c r="E248" s="798"/>
      <c r="F248" s="798"/>
      <c r="G248" s="798"/>
      <c r="H248" s="798"/>
      <c r="I248" s="798"/>
      <c r="J248" s="798"/>
      <c r="K248" s="798"/>
      <c r="L248" s="798"/>
      <c r="M248" s="798"/>
      <c r="N248" s="798"/>
      <c r="O248" s="798"/>
      <c r="P248" s="798"/>
      <c r="Q248" s="798"/>
      <c r="R248" s="798"/>
      <c r="S248" s="798"/>
      <c r="T248" s="798"/>
      <c r="U248" s="798"/>
      <c r="V248" s="798"/>
      <c r="W248" s="798"/>
      <c r="X248" s="798"/>
      <c r="Y248" s="798"/>
    </row>
    <row r="249" spans="3:25">
      <c r="C249" s="798"/>
      <c r="D249" s="798"/>
      <c r="E249" s="798"/>
      <c r="F249" s="798"/>
      <c r="G249" s="798"/>
      <c r="H249" s="798"/>
      <c r="I249" s="798"/>
      <c r="J249" s="798"/>
      <c r="K249" s="798"/>
      <c r="L249" s="798"/>
      <c r="M249" s="798"/>
      <c r="N249" s="798"/>
      <c r="O249" s="798"/>
      <c r="P249" s="798"/>
      <c r="Q249" s="798"/>
      <c r="R249" s="798"/>
      <c r="S249" s="798"/>
      <c r="T249" s="798"/>
      <c r="U249" s="798"/>
      <c r="V249" s="798"/>
      <c r="W249" s="798"/>
      <c r="X249" s="798"/>
      <c r="Y249" s="798"/>
    </row>
    <row r="250" spans="3:25">
      <c r="C250" s="798"/>
      <c r="D250" s="798"/>
      <c r="E250" s="798"/>
      <c r="F250" s="798"/>
      <c r="G250" s="798"/>
      <c r="H250" s="798"/>
      <c r="I250" s="798"/>
      <c r="J250" s="798"/>
      <c r="K250" s="798"/>
      <c r="L250" s="798"/>
      <c r="M250" s="798"/>
      <c r="N250" s="798"/>
      <c r="O250" s="798"/>
      <c r="P250" s="798"/>
      <c r="Q250" s="798"/>
      <c r="R250" s="798"/>
      <c r="S250" s="798"/>
      <c r="T250" s="798"/>
      <c r="U250" s="798"/>
      <c r="V250" s="798"/>
      <c r="W250" s="798"/>
      <c r="X250" s="798"/>
      <c r="Y250" s="798"/>
    </row>
    <row r="251" spans="3:25">
      <c r="C251" s="798"/>
      <c r="D251" s="798"/>
      <c r="E251" s="798"/>
      <c r="F251" s="798"/>
      <c r="G251" s="798"/>
      <c r="H251" s="798"/>
      <c r="I251" s="798"/>
      <c r="J251" s="798"/>
      <c r="K251" s="798"/>
      <c r="L251" s="798"/>
      <c r="M251" s="798"/>
      <c r="N251" s="798"/>
      <c r="O251" s="798"/>
      <c r="P251" s="798"/>
      <c r="Q251" s="798"/>
      <c r="R251" s="798"/>
      <c r="S251" s="798"/>
      <c r="T251" s="798"/>
      <c r="U251" s="798"/>
      <c r="V251" s="798"/>
      <c r="W251" s="798"/>
      <c r="X251" s="798"/>
      <c r="Y251" s="798"/>
    </row>
    <row r="252" spans="3:25">
      <c r="C252" s="798"/>
      <c r="D252" s="798"/>
      <c r="E252" s="798"/>
      <c r="F252" s="798"/>
      <c r="G252" s="798"/>
      <c r="H252" s="798"/>
      <c r="I252" s="798"/>
      <c r="J252" s="798"/>
      <c r="K252" s="798"/>
      <c r="L252" s="798"/>
      <c r="M252" s="798"/>
      <c r="N252" s="798"/>
      <c r="O252" s="798"/>
      <c r="P252" s="798"/>
      <c r="Q252" s="798"/>
      <c r="R252" s="798"/>
      <c r="S252" s="798"/>
      <c r="T252" s="798"/>
      <c r="U252" s="798"/>
      <c r="V252" s="798"/>
      <c r="W252" s="798"/>
      <c r="X252" s="798"/>
      <c r="Y252" s="798"/>
    </row>
    <row r="253" spans="3:25">
      <c r="C253" s="798"/>
      <c r="D253" s="798"/>
      <c r="E253" s="798"/>
      <c r="F253" s="798"/>
      <c r="G253" s="798"/>
      <c r="H253" s="798"/>
      <c r="I253" s="798"/>
      <c r="J253" s="798"/>
      <c r="K253" s="798"/>
      <c r="L253" s="798"/>
      <c r="M253" s="798"/>
      <c r="N253" s="798"/>
      <c r="O253" s="798"/>
      <c r="P253" s="798"/>
      <c r="Q253" s="798"/>
      <c r="R253" s="798"/>
      <c r="S253" s="798"/>
      <c r="T253" s="798"/>
      <c r="U253" s="798"/>
      <c r="V253" s="798"/>
      <c r="W253" s="798"/>
      <c r="X253" s="798"/>
      <c r="Y253" s="798"/>
    </row>
    <row r="254" spans="3:25">
      <c r="C254" s="798"/>
      <c r="D254" s="798"/>
      <c r="E254" s="798"/>
      <c r="F254" s="798"/>
      <c r="G254" s="798"/>
      <c r="H254" s="798"/>
      <c r="I254" s="798"/>
      <c r="J254" s="798"/>
      <c r="K254" s="798"/>
      <c r="L254" s="798"/>
      <c r="M254" s="798"/>
      <c r="N254" s="798"/>
      <c r="O254" s="798"/>
      <c r="P254" s="798"/>
      <c r="Q254" s="798"/>
      <c r="R254" s="798"/>
      <c r="S254" s="798"/>
      <c r="T254" s="798"/>
      <c r="U254" s="798"/>
      <c r="V254" s="798"/>
      <c r="W254" s="798"/>
      <c r="X254" s="798"/>
      <c r="Y254" s="798"/>
    </row>
    <row r="255" spans="3:25">
      <c r="C255" s="798"/>
      <c r="D255" s="798"/>
      <c r="E255" s="798"/>
      <c r="F255" s="798"/>
      <c r="G255" s="798"/>
      <c r="H255" s="798"/>
      <c r="I255" s="798"/>
      <c r="J255" s="798"/>
      <c r="K255" s="798"/>
      <c r="L255" s="798"/>
      <c r="M255" s="798"/>
      <c r="N255" s="798"/>
      <c r="O255" s="798"/>
      <c r="P255" s="798"/>
      <c r="Q255" s="798"/>
      <c r="R255" s="798"/>
      <c r="S255" s="798"/>
      <c r="T255" s="798"/>
      <c r="U255" s="798"/>
      <c r="V255" s="798"/>
      <c r="W255" s="798"/>
      <c r="X255" s="798"/>
      <c r="Y255" s="798"/>
    </row>
    <row r="256" spans="3:25">
      <c r="C256" s="798"/>
      <c r="D256" s="798"/>
      <c r="E256" s="798"/>
      <c r="F256" s="798"/>
      <c r="G256" s="798"/>
      <c r="H256" s="798"/>
      <c r="I256" s="798"/>
      <c r="J256" s="798"/>
      <c r="K256" s="798"/>
      <c r="L256" s="798"/>
      <c r="M256" s="798"/>
      <c r="N256" s="798"/>
      <c r="O256" s="798"/>
      <c r="P256" s="798"/>
      <c r="Q256" s="798"/>
      <c r="R256" s="798"/>
      <c r="S256" s="798"/>
      <c r="T256" s="798"/>
      <c r="U256" s="798"/>
      <c r="V256" s="798"/>
      <c r="W256" s="798"/>
      <c r="X256" s="798"/>
      <c r="Y256" s="798"/>
    </row>
    <row r="257" spans="3:25">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row>
    <row r="258" spans="3:25">
      <c r="C258" s="798"/>
      <c r="D258" s="798"/>
      <c r="E258" s="798"/>
      <c r="F258" s="798"/>
      <c r="G258" s="798"/>
      <c r="H258" s="798"/>
      <c r="I258" s="798"/>
      <c r="J258" s="798"/>
      <c r="K258" s="798"/>
      <c r="L258" s="798"/>
      <c r="M258" s="798"/>
      <c r="N258" s="798"/>
      <c r="O258" s="798"/>
      <c r="P258" s="798"/>
      <c r="Q258" s="798"/>
      <c r="R258" s="798"/>
      <c r="S258" s="798"/>
      <c r="T258" s="798"/>
      <c r="U258" s="798"/>
      <c r="V258" s="798"/>
      <c r="W258" s="798"/>
      <c r="X258" s="798"/>
      <c r="Y258" s="798"/>
    </row>
    <row r="259" spans="3:25">
      <c r="C259" s="798"/>
      <c r="D259" s="798"/>
      <c r="E259" s="798"/>
      <c r="F259" s="798"/>
      <c r="G259" s="798"/>
      <c r="H259" s="798"/>
      <c r="I259" s="798"/>
      <c r="J259" s="798"/>
      <c r="K259" s="798"/>
      <c r="L259" s="798"/>
      <c r="M259" s="798"/>
      <c r="N259" s="798"/>
      <c r="O259" s="798"/>
      <c r="P259" s="798"/>
      <c r="Q259" s="798"/>
      <c r="R259" s="798"/>
      <c r="S259" s="798"/>
      <c r="T259" s="798"/>
      <c r="U259" s="798"/>
      <c r="V259" s="798"/>
      <c r="W259" s="798"/>
      <c r="X259" s="798"/>
      <c r="Y259" s="798"/>
    </row>
    <row r="260" spans="3:25">
      <c r="C260" s="798"/>
      <c r="D260" s="798"/>
      <c r="E260" s="798"/>
      <c r="F260" s="798"/>
      <c r="G260" s="798"/>
      <c r="H260" s="798"/>
      <c r="I260" s="798"/>
      <c r="J260" s="798"/>
      <c r="K260" s="798"/>
      <c r="L260" s="798"/>
      <c r="M260" s="798"/>
      <c r="N260" s="798"/>
      <c r="O260" s="798"/>
      <c r="P260" s="798"/>
      <c r="Q260" s="798"/>
      <c r="R260" s="798"/>
      <c r="S260" s="798"/>
      <c r="T260" s="798"/>
      <c r="U260" s="798"/>
      <c r="V260" s="798"/>
      <c r="W260" s="798"/>
      <c r="X260" s="798"/>
      <c r="Y260" s="798"/>
    </row>
    <row r="261" spans="3:25">
      <c r="C261" s="798"/>
      <c r="D261" s="798"/>
      <c r="E261" s="798"/>
      <c r="F261" s="798"/>
      <c r="G261" s="798"/>
      <c r="H261" s="798"/>
      <c r="I261" s="798"/>
      <c r="J261" s="798"/>
      <c r="K261" s="798"/>
      <c r="L261" s="798"/>
      <c r="M261" s="798"/>
      <c r="N261" s="798"/>
      <c r="O261" s="798"/>
      <c r="P261" s="798"/>
      <c r="Q261" s="798"/>
      <c r="R261" s="798"/>
      <c r="S261" s="798"/>
      <c r="T261" s="798"/>
      <c r="U261" s="798"/>
      <c r="V261" s="798"/>
      <c r="W261" s="798"/>
      <c r="X261" s="798"/>
      <c r="Y261" s="798"/>
    </row>
    <row r="262" spans="3:25">
      <c r="C262" s="798"/>
      <c r="D262" s="798"/>
      <c r="E262" s="798"/>
      <c r="F262" s="798"/>
      <c r="G262" s="798"/>
      <c r="H262" s="798"/>
      <c r="I262" s="798"/>
      <c r="J262" s="798"/>
      <c r="K262" s="798"/>
      <c r="L262" s="798"/>
      <c r="M262" s="798"/>
      <c r="N262" s="798"/>
      <c r="O262" s="798"/>
      <c r="P262" s="798"/>
      <c r="Q262" s="798"/>
      <c r="R262" s="798"/>
      <c r="S262" s="798"/>
      <c r="T262" s="798"/>
      <c r="U262" s="798"/>
      <c r="V262" s="798"/>
      <c r="W262" s="798"/>
      <c r="X262" s="798"/>
      <c r="Y262" s="798"/>
    </row>
    <row r="263" spans="3:25">
      <c r="C263" s="798"/>
      <c r="D263" s="798"/>
      <c r="E263" s="798"/>
      <c r="F263" s="798"/>
      <c r="G263" s="798"/>
      <c r="H263" s="798"/>
      <c r="I263" s="798"/>
      <c r="J263" s="798"/>
      <c r="K263" s="798"/>
      <c r="L263" s="798"/>
      <c r="M263" s="798"/>
      <c r="N263" s="798"/>
      <c r="O263" s="798"/>
      <c r="P263" s="798"/>
      <c r="Q263" s="798"/>
      <c r="R263" s="798"/>
      <c r="S263" s="798"/>
      <c r="T263" s="798"/>
      <c r="U263" s="798"/>
      <c r="V263" s="798"/>
      <c r="W263" s="798"/>
      <c r="X263" s="798"/>
      <c r="Y263" s="798"/>
    </row>
    <row r="264" spans="3:25">
      <c r="C264" s="798"/>
      <c r="D264" s="798"/>
      <c r="E264" s="798"/>
      <c r="F264" s="798"/>
      <c r="G264" s="798"/>
      <c r="H264" s="798"/>
      <c r="I264" s="798"/>
      <c r="J264" s="798"/>
      <c r="K264" s="798"/>
      <c r="L264" s="798"/>
      <c r="M264" s="798"/>
      <c r="N264" s="798"/>
      <c r="O264" s="798"/>
      <c r="P264" s="798"/>
      <c r="Q264" s="798"/>
      <c r="R264" s="798"/>
      <c r="S264" s="798"/>
      <c r="T264" s="798"/>
      <c r="U264" s="798"/>
      <c r="V264" s="798"/>
      <c r="W264" s="798"/>
      <c r="X264" s="798"/>
      <c r="Y264" s="798"/>
    </row>
    <row r="265" spans="3:25">
      <c r="C265" s="798"/>
      <c r="D265" s="798"/>
      <c r="E265" s="798"/>
      <c r="F265" s="798"/>
      <c r="G265" s="798"/>
      <c r="H265" s="798"/>
      <c r="I265" s="798"/>
      <c r="J265" s="798"/>
      <c r="K265" s="798"/>
      <c r="L265" s="798"/>
      <c r="M265" s="798"/>
      <c r="N265" s="798"/>
      <c r="O265" s="798"/>
      <c r="P265" s="798"/>
      <c r="Q265" s="798"/>
      <c r="R265" s="798"/>
      <c r="S265" s="798"/>
      <c r="T265" s="798"/>
      <c r="U265" s="798"/>
      <c r="V265" s="798"/>
      <c r="W265" s="798"/>
      <c r="X265" s="798"/>
      <c r="Y265" s="798"/>
    </row>
    <row r="266" spans="3:25">
      <c r="C266" s="798"/>
      <c r="D266" s="798"/>
      <c r="E266" s="798"/>
      <c r="F266" s="798"/>
      <c r="G266" s="798"/>
      <c r="H266" s="798"/>
      <c r="I266" s="798"/>
      <c r="J266" s="798"/>
      <c r="K266" s="798"/>
      <c r="L266" s="798"/>
      <c r="M266" s="798"/>
      <c r="N266" s="798"/>
      <c r="O266" s="798"/>
      <c r="P266" s="798"/>
      <c r="Q266" s="798"/>
      <c r="R266" s="798"/>
      <c r="S266" s="798"/>
      <c r="T266" s="798"/>
      <c r="U266" s="798"/>
      <c r="V266" s="798"/>
      <c r="W266" s="798"/>
      <c r="X266" s="798"/>
      <c r="Y266" s="798"/>
    </row>
    <row r="267" spans="3:25">
      <c r="C267" s="798"/>
      <c r="D267" s="798"/>
      <c r="E267" s="798"/>
      <c r="F267" s="798"/>
      <c r="G267" s="798"/>
      <c r="H267" s="798"/>
      <c r="I267" s="798"/>
      <c r="J267" s="798"/>
      <c r="K267" s="798"/>
      <c r="L267" s="798"/>
      <c r="M267" s="798"/>
      <c r="N267" s="798"/>
      <c r="O267" s="798"/>
      <c r="P267" s="798"/>
      <c r="Q267" s="798"/>
      <c r="R267" s="798"/>
      <c r="S267" s="798"/>
      <c r="T267" s="798"/>
      <c r="U267" s="798"/>
      <c r="V267" s="798"/>
      <c r="W267" s="798"/>
      <c r="X267" s="798"/>
      <c r="Y267" s="798"/>
    </row>
    <row r="268" spans="3:25">
      <c r="C268" s="798"/>
      <c r="D268" s="798"/>
      <c r="E268" s="798"/>
      <c r="F268" s="798"/>
      <c r="G268" s="798"/>
      <c r="H268" s="798"/>
      <c r="I268" s="798"/>
      <c r="J268" s="798"/>
      <c r="K268" s="798"/>
      <c r="L268" s="798"/>
      <c r="M268" s="798"/>
      <c r="N268" s="798"/>
      <c r="O268" s="798"/>
      <c r="P268" s="798"/>
      <c r="Q268" s="798"/>
      <c r="R268" s="798"/>
      <c r="S268" s="798"/>
      <c r="T268" s="798"/>
      <c r="U268" s="798"/>
      <c r="V268" s="798"/>
      <c r="W268" s="798"/>
      <c r="X268" s="798"/>
      <c r="Y268" s="798"/>
    </row>
    <row r="269" spans="3:25">
      <c r="C269" s="798"/>
      <c r="D269" s="798"/>
      <c r="E269" s="798"/>
      <c r="F269" s="798"/>
      <c r="G269" s="798"/>
      <c r="H269" s="798"/>
      <c r="I269" s="798"/>
      <c r="J269" s="798"/>
      <c r="K269" s="798"/>
      <c r="L269" s="798"/>
      <c r="M269" s="798"/>
      <c r="N269" s="798"/>
      <c r="O269" s="798"/>
      <c r="P269" s="798"/>
      <c r="Q269" s="798"/>
      <c r="R269" s="798"/>
      <c r="S269" s="798"/>
      <c r="T269" s="798"/>
      <c r="U269" s="798"/>
      <c r="V269" s="798"/>
      <c r="W269" s="798"/>
      <c r="X269" s="798"/>
      <c r="Y269" s="798"/>
    </row>
    <row r="270" spans="3:25">
      <c r="C270" s="798"/>
      <c r="D270" s="798"/>
      <c r="E270" s="798"/>
      <c r="F270" s="798"/>
      <c r="G270" s="798"/>
      <c r="H270" s="798"/>
      <c r="I270" s="798"/>
      <c r="J270" s="798"/>
      <c r="K270" s="798"/>
      <c r="L270" s="798"/>
      <c r="M270" s="798"/>
      <c r="N270" s="798"/>
      <c r="O270" s="798"/>
      <c r="P270" s="798"/>
      <c r="Q270" s="798"/>
      <c r="R270" s="798"/>
      <c r="S270" s="798"/>
      <c r="T270" s="798"/>
      <c r="U270" s="798"/>
      <c r="V270" s="798"/>
      <c r="W270" s="798"/>
      <c r="X270" s="798"/>
      <c r="Y270" s="798"/>
    </row>
    <row r="271" spans="3:25">
      <c r="C271" s="798"/>
      <c r="D271" s="798"/>
      <c r="E271" s="798"/>
      <c r="F271" s="798"/>
      <c r="G271" s="798"/>
      <c r="H271" s="798"/>
      <c r="I271" s="798"/>
      <c r="J271" s="798"/>
      <c r="K271" s="798"/>
      <c r="L271" s="798"/>
      <c r="M271" s="798"/>
      <c r="N271" s="798"/>
      <c r="O271" s="798"/>
      <c r="P271" s="798"/>
      <c r="Q271" s="798"/>
      <c r="R271" s="798"/>
      <c r="S271" s="798"/>
      <c r="T271" s="798"/>
      <c r="U271" s="798"/>
      <c r="V271" s="798"/>
      <c r="W271" s="798"/>
      <c r="X271" s="798"/>
      <c r="Y271" s="798"/>
    </row>
    <row r="272" spans="3:25">
      <c r="C272" s="798"/>
      <c r="D272" s="798"/>
      <c r="E272" s="798"/>
      <c r="F272" s="798"/>
      <c r="G272" s="798"/>
      <c r="H272" s="798"/>
      <c r="I272" s="798"/>
      <c r="J272" s="798"/>
      <c r="K272" s="798"/>
      <c r="L272" s="798"/>
      <c r="M272" s="798"/>
      <c r="N272" s="798"/>
      <c r="O272" s="798"/>
      <c r="P272" s="798"/>
      <c r="Q272" s="798"/>
      <c r="R272" s="798"/>
      <c r="S272" s="798"/>
      <c r="T272" s="798"/>
      <c r="U272" s="798"/>
      <c r="V272" s="798"/>
      <c r="W272" s="798"/>
      <c r="X272" s="798"/>
      <c r="Y272" s="798"/>
    </row>
    <row r="273" spans="3:25">
      <c r="C273" s="798"/>
      <c r="D273" s="798"/>
      <c r="E273" s="798"/>
      <c r="F273" s="798"/>
      <c r="G273" s="798"/>
      <c r="H273" s="798"/>
      <c r="I273" s="798"/>
      <c r="J273" s="798"/>
      <c r="K273" s="798"/>
      <c r="L273" s="798"/>
      <c r="M273" s="798"/>
      <c r="N273" s="798"/>
      <c r="O273" s="798"/>
      <c r="P273" s="798"/>
      <c r="Q273" s="798"/>
      <c r="R273" s="798"/>
      <c r="S273" s="798"/>
      <c r="T273" s="798"/>
      <c r="U273" s="798"/>
      <c r="V273" s="798"/>
      <c r="W273" s="798"/>
      <c r="X273" s="798"/>
      <c r="Y273" s="798"/>
    </row>
    <row r="274" spans="3:25">
      <c r="C274" s="798"/>
      <c r="D274" s="798"/>
      <c r="E274" s="798"/>
      <c r="F274" s="798"/>
      <c r="G274" s="798"/>
      <c r="H274" s="798"/>
      <c r="I274" s="798"/>
      <c r="J274" s="798"/>
      <c r="K274" s="798"/>
      <c r="L274" s="798"/>
      <c r="M274" s="798"/>
      <c r="N274" s="798"/>
      <c r="O274" s="798"/>
      <c r="P274" s="798"/>
      <c r="Q274" s="798"/>
      <c r="R274" s="798"/>
      <c r="S274" s="798"/>
      <c r="T274" s="798"/>
      <c r="U274" s="798"/>
      <c r="V274" s="798"/>
      <c r="W274" s="798"/>
      <c r="X274" s="798"/>
      <c r="Y274" s="798"/>
    </row>
    <row r="275" spans="3:25">
      <c r="C275" s="798"/>
      <c r="D275" s="798"/>
      <c r="E275" s="798"/>
      <c r="F275" s="798"/>
      <c r="G275" s="798"/>
      <c r="H275" s="798"/>
      <c r="I275" s="798"/>
      <c r="J275" s="798"/>
      <c r="K275" s="798"/>
      <c r="L275" s="798"/>
      <c r="M275" s="798"/>
      <c r="N275" s="798"/>
      <c r="O275" s="798"/>
      <c r="P275" s="798"/>
      <c r="Q275" s="798"/>
      <c r="R275" s="798"/>
      <c r="S275" s="798"/>
      <c r="T275" s="798"/>
      <c r="U275" s="798"/>
      <c r="V275" s="798"/>
      <c r="W275" s="798"/>
      <c r="X275" s="798"/>
      <c r="Y275" s="798"/>
    </row>
    <row r="276" spans="3:25">
      <c r="C276" s="798"/>
      <c r="D276" s="798"/>
      <c r="E276" s="798"/>
      <c r="F276" s="798"/>
      <c r="G276" s="798"/>
      <c r="H276" s="798"/>
      <c r="I276" s="798"/>
      <c r="J276" s="798"/>
      <c r="K276" s="798"/>
      <c r="L276" s="798"/>
      <c r="M276" s="798"/>
      <c r="N276" s="798"/>
      <c r="O276" s="798"/>
      <c r="P276" s="798"/>
      <c r="Q276" s="798"/>
      <c r="R276" s="798"/>
      <c r="S276" s="798"/>
      <c r="T276" s="798"/>
      <c r="U276" s="798"/>
      <c r="V276" s="798"/>
      <c r="W276" s="798"/>
      <c r="X276" s="798"/>
      <c r="Y276" s="798"/>
    </row>
    <row r="277" spans="3:25">
      <c r="C277" s="798"/>
      <c r="D277" s="798"/>
      <c r="E277" s="798"/>
      <c r="F277" s="798"/>
      <c r="G277" s="798"/>
      <c r="H277" s="798"/>
      <c r="I277" s="798"/>
      <c r="J277" s="798"/>
      <c r="K277" s="798"/>
      <c r="L277" s="798"/>
      <c r="M277" s="798"/>
      <c r="N277" s="798"/>
      <c r="O277" s="798"/>
      <c r="P277" s="798"/>
      <c r="Q277" s="798"/>
      <c r="R277" s="798"/>
      <c r="S277" s="798"/>
      <c r="T277" s="798"/>
      <c r="U277" s="798"/>
      <c r="V277" s="798"/>
      <c r="W277" s="798"/>
      <c r="X277" s="798"/>
      <c r="Y277" s="798"/>
    </row>
    <row r="278" spans="3:25">
      <c r="C278" s="798"/>
      <c r="D278" s="798"/>
      <c r="E278" s="798"/>
      <c r="F278" s="798"/>
      <c r="G278" s="798"/>
      <c r="H278" s="798"/>
      <c r="I278" s="798"/>
      <c r="J278" s="798"/>
      <c r="K278" s="798"/>
      <c r="L278" s="798"/>
      <c r="M278" s="798"/>
      <c r="N278" s="798"/>
      <c r="O278" s="798"/>
      <c r="P278" s="798"/>
      <c r="Q278" s="798"/>
      <c r="R278" s="798"/>
      <c r="S278" s="798"/>
      <c r="T278" s="798"/>
      <c r="U278" s="798"/>
      <c r="V278" s="798"/>
      <c r="W278" s="798"/>
      <c r="X278" s="798"/>
      <c r="Y278" s="798"/>
    </row>
    <row r="279" spans="3:25">
      <c r="C279" s="798"/>
      <c r="D279" s="798"/>
      <c r="E279" s="798"/>
      <c r="F279" s="798"/>
      <c r="G279" s="798"/>
      <c r="H279" s="798"/>
      <c r="I279" s="798"/>
      <c r="J279" s="798"/>
      <c r="K279" s="798"/>
      <c r="L279" s="798"/>
      <c r="M279" s="798"/>
      <c r="N279" s="798"/>
      <c r="O279" s="798"/>
      <c r="P279" s="798"/>
      <c r="Q279" s="798"/>
      <c r="R279" s="798"/>
      <c r="S279" s="798"/>
      <c r="T279" s="798"/>
      <c r="U279" s="798"/>
      <c r="V279" s="798"/>
      <c r="W279" s="798"/>
      <c r="X279" s="798"/>
      <c r="Y279" s="798"/>
    </row>
    <row r="280" spans="3:25">
      <c r="C280" s="798"/>
      <c r="D280" s="798"/>
      <c r="E280" s="798"/>
      <c r="F280" s="798"/>
      <c r="G280" s="798"/>
      <c r="H280" s="798"/>
      <c r="I280" s="798"/>
      <c r="J280" s="798"/>
      <c r="K280" s="798"/>
      <c r="L280" s="798"/>
      <c r="M280" s="798"/>
      <c r="N280" s="798"/>
      <c r="O280" s="798"/>
      <c r="P280" s="798"/>
      <c r="Q280" s="798"/>
      <c r="R280" s="798"/>
      <c r="S280" s="798"/>
      <c r="T280" s="798"/>
      <c r="U280" s="798"/>
      <c r="V280" s="798"/>
      <c r="W280" s="798"/>
      <c r="X280" s="798"/>
      <c r="Y280" s="798"/>
    </row>
    <row r="281" spans="3:25">
      <c r="C281" s="798"/>
      <c r="D281" s="798"/>
      <c r="E281" s="798"/>
      <c r="F281" s="798"/>
      <c r="G281" s="798"/>
      <c r="H281" s="798"/>
      <c r="I281" s="798"/>
      <c r="J281" s="798"/>
      <c r="K281" s="798"/>
      <c r="L281" s="798"/>
      <c r="M281" s="798"/>
      <c r="N281" s="798"/>
      <c r="O281" s="798"/>
      <c r="P281" s="798"/>
      <c r="Q281" s="798"/>
      <c r="R281" s="798"/>
      <c r="S281" s="798"/>
      <c r="T281" s="798"/>
      <c r="U281" s="798"/>
      <c r="V281" s="798"/>
      <c r="W281" s="798"/>
      <c r="X281" s="798"/>
      <c r="Y281" s="798"/>
    </row>
    <row r="282" spans="3:25">
      <c r="C282" s="798"/>
      <c r="D282" s="798"/>
      <c r="E282" s="798"/>
      <c r="F282" s="798"/>
      <c r="G282" s="798"/>
      <c r="H282" s="798"/>
      <c r="I282" s="798"/>
      <c r="J282" s="798"/>
      <c r="K282" s="798"/>
      <c r="L282" s="798"/>
      <c r="M282" s="798"/>
      <c r="N282" s="798"/>
      <c r="O282" s="798"/>
      <c r="P282" s="798"/>
      <c r="Q282" s="798"/>
      <c r="R282" s="798"/>
      <c r="S282" s="798"/>
      <c r="T282" s="798"/>
      <c r="U282" s="798"/>
      <c r="V282" s="798"/>
      <c r="W282" s="798"/>
      <c r="X282" s="798"/>
      <c r="Y282" s="798"/>
    </row>
    <row r="283" spans="3:25">
      <c r="C283" s="798"/>
      <c r="D283" s="798"/>
      <c r="E283" s="798"/>
      <c r="F283" s="798"/>
      <c r="G283" s="798"/>
      <c r="H283" s="798"/>
      <c r="I283" s="798"/>
      <c r="J283" s="798"/>
      <c r="K283" s="798"/>
      <c r="L283" s="798"/>
      <c r="M283" s="798"/>
      <c r="N283" s="798"/>
      <c r="O283" s="798"/>
      <c r="P283" s="798"/>
      <c r="Q283" s="798"/>
      <c r="R283" s="798"/>
      <c r="S283" s="798"/>
      <c r="T283" s="798"/>
      <c r="U283" s="798"/>
      <c r="V283" s="798"/>
      <c r="W283" s="798"/>
      <c r="X283" s="798"/>
      <c r="Y283" s="798"/>
    </row>
    <row r="284" spans="3:25">
      <c r="C284" s="798"/>
      <c r="D284" s="798"/>
      <c r="E284" s="798"/>
      <c r="F284" s="798"/>
      <c r="G284" s="798"/>
      <c r="H284" s="798"/>
      <c r="I284" s="798"/>
      <c r="J284" s="798"/>
      <c r="K284" s="798"/>
      <c r="L284" s="798"/>
      <c r="M284" s="798"/>
      <c r="N284" s="798"/>
      <c r="O284" s="798"/>
      <c r="P284" s="798"/>
      <c r="Q284" s="798"/>
      <c r="R284" s="798"/>
      <c r="S284" s="798"/>
      <c r="T284" s="798"/>
      <c r="U284" s="798"/>
      <c r="V284" s="798"/>
      <c r="W284" s="798"/>
      <c r="X284" s="798"/>
      <c r="Y284" s="798"/>
    </row>
    <row r="285" spans="3:25">
      <c r="C285" s="798"/>
      <c r="D285" s="798"/>
      <c r="E285" s="798"/>
      <c r="F285" s="798"/>
      <c r="G285" s="798"/>
      <c r="H285" s="798"/>
      <c r="I285" s="798"/>
      <c r="J285" s="798"/>
      <c r="K285" s="798"/>
      <c r="L285" s="798"/>
      <c r="M285" s="798"/>
      <c r="N285" s="798"/>
      <c r="O285" s="798"/>
      <c r="P285" s="798"/>
      <c r="Q285" s="798"/>
      <c r="R285" s="798"/>
      <c r="S285" s="798"/>
      <c r="T285" s="798"/>
      <c r="U285" s="798"/>
      <c r="V285" s="798"/>
      <c r="W285" s="798"/>
      <c r="X285" s="798"/>
      <c r="Y285" s="798"/>
    </row>
    <row r="286" spans="3:25">
      <c r="C286" s="798"/>
      <c r="D286" s="798"/>
      <c r="E286" s="798"/>
      <c r="F286" s="798"/>
      <c r="G286" s="798"/>
      <c r="H286" s="798"/>
      <c r="I286" s="798"/>
      <c r="J286" s="798"/>
      <c r="K286" s="798"/>
      <c r="L286" s="798"/>
      <c r="M286" s="798"/>
      <c r="N286" s="798"/>
      <c r="O286" s="798"/>
      <c r="P286" s="798"/>
      <c r="Q286" s="798"/>
      <c r="R286" s="798"/>
      <c r="S286" s="798"/>
      <c r="T286" s="798"/>
      <c r="U286" s="798"/>
      <c r="V286" s="798"/>
      <c r="W286" s="798"/>
      <c r="X286" s="798"/>
      <c r="Y286" s="798"/>
    </row>
    <row r="287" spans="3:25">
      <c r="C287" s="798"/>
      <c r="D287" s="798"/>
      <c r="E287" s="798"/>
      <c r="F287" s="798"/>
      <c r="G287" s="798"/>
      <c r="H287" s="798"/>
      <c r="I287" s="798"/>
      <c r="J287" s="798"/>
      <c r="K287" s="798"/>
      <c r="L287" s="798"/>
      <c r="M287" s="798"/>
      <c r="N287" s="798"/>
      <c r="O287" s="798"/>
      <c r="P287" s="798"/>
      <c r="Q287" s="798"/>
      <c r="R287" s="798"/>
      <c r="S287" s="798"/>
      <c r="T287" s="798"/>
      <c r="U287" s="798"/>
      <c r="V287" s="798"/>
      <c r="W287" s="798"/>
      <c r="X287" s="798"/>
      <c r="Y287" s="798"/>
    </row>
    <row r="288" spans="3:25">
      <c r="C288" s="798"/>
      <c r="D288" s="798"/>
      <c r="E288" s="798"/>
      <c r="F288" s="798"/>
      <c r="G288" s="798"/>
      <c r="H288" s="798"/>
      <c r="I288" s="798"/>
      <c r="J288" s="798"/>
      <c r="K288" s="798"/>
      <c r="L288" s="798"/>
      <c r="M288" s="798"/>
      <c r="N288" s="798"/>
      <c r="O288" s="798"/>
      <c r="P288" s="798"/>
      <c r="Q288" s="798"/>
      <c r="R288" s="798"/>
      <c r="S288" s="798"/>
      <c r="T288" s="798"/>
      <c r="U288" s="798"/>
      <c r="V288" s="798"/>
      <c r="W288" s="798"/>
      <c r="X288" s="798"/>
      <c r="Y288" s="798"/>
    </row>
    <row r="289" spans="3:25">
      <c r="C289" s="798"/>
      <c r="D289" s="798"/>
      <c r="E289" s="798"/>
      <c r="F289" s="798"/>
      <c r="G289" s="798"/>
      <c r="H289" s="798"/>
      <c r="I289" s="798"/>
      <c r="J289" s="798"/>
      <c r="K289" s="798"/>
      <c r="L289" s="798"/>
      <c r="M289" s="798"/>
      <c r="N289" s="798"/>
      <c r="O289" s="798"/>
      <c r="P289" s="798"/>
      <c r="Q289" s="798"/>
      <c r="R289" s="798"/>
      <c r="S289" s="798"/>
      <c r="T289" s="798"/>
      <c r="U289" s="798"/>
      <c r="V289" s="798"/>
      <c r="W289" s="798"/>
      <c r="X289" s="798"/>
      <c r="Y289" s="798"/>
    </row>
    <row r="290" spans="3:25">
      <c r="C290" s="798"/>
      <c r="D290" s="798"/>
      <c r="E290" s="798"/>
      <c r="F290" s="798"/>
      <c r="G290" s="798"/>
      <c r="H290" s="798"/>
      <c r="I290" s="798"/>
      <c r="J290" s="798"/>
      <c r="K290" s="798"/>
      <c r="L290" s="798"/>
      <c r="M290" s="798"/>
      <c r="N290" s="798"/>
      <c r="O290" s="798"/>
      <c r="P290" s="798"/>
      <c r="Q290" s="798"/>
      <c r="R290" s="798"/>
      <c r="S290" s="798"/>
      <c r="T290" s="798"/>
      <c r="U290" s="798"/>
      <c r="V290" s="798"/>
      <c r="W290" s="798"/>
      <c r="X290" s="798"/>
      <c r="Y290" s="798"/>
    </row>
    <row r="291" spans="3:25">
      <c r="C291" s="798"/>
      <c r="D291" s="798"/>
      <c r="E291" s="798"/>
      <c r="F291" s="798"/>
      <c r="G291" s="798"/>
      <c r="H291" s="798"/>
      <c r="I291" s="798"/>
      <c r="J291" s="798"/>
      <c r="K291" s="798"/>
      <c r="L291" s="798"/>
      <c r="M291" s="798"/>
      <c r="N291" s="798"/>
      <c r="O291" s="798"/>
      <c r="P291" s="798"/>
      <c r="Q291" s="798"/>
      <c r="R291" s="798"/>
      <c r="S291" s="798"/>
      <c r="T291" s="798"/>
      <c r="U291" s="798"/>
      <c r="V291" s="798"/>
      <c r="W291" s="798"/>
      <c r="X291" s="798"/>
      <c r="Y291" s="798"/>
    </row>
    <row r="292" spans="3:25">
      <c r="C292" s="798"/>
      <c r="D292" s="798"/>
      <c r="E292" s="798"/>
      <c r="F292" s="798"/>
      <c r="G292" s="798"/>
      <c r="H292" s="798"/>
      <c r="I292" s="798"/>
      <c r="J292" s="798"/>
      <c r="K292" s="798"/>
      <c r="L292" s="798"/>
      <c r="M292" s="798"/>
      <c r="N292" s="798"/>
      <c r="O292" s="798"/>
      <c r="P292" s="798"/>
      <c r="Q292" s="798"/>
      <c r="R292" s="798"/>
      <c r="S292" s="798"/>
      <c r="T292" s="798"/>
      <c r="U292" s="798"/>
      <c r="V292" s="798"/>
      <c r="W292" s="798"/>
      <c r="X292" s="798"/>
      <c r="Y292" s="798"/>
    </row>
    <row r="293" spans="3:25">
      <c r="C293" s="798"/>
      <c r="D293" s="798"/>
      <c r="E293" s="798"/>
      <c r="F293" s="798"/>
      <c r="G293" s="798"/>
      <c r="H293" s="798"/>
      <c r="I293" s="798"/>
      <c r="J293" s="798"/>
      <c r="K293" s="798"/>
      <c r="L293" s="798"/>
      <c r="M293" s="798"/>
      <c r="N293" s="798"/>
      <c r="O293" s="798"/>
      <c r="P293" s="798"/>
      <c r="Q293" s="798"/>
      <c r="R293" s="798"/>
    </row>
    <row r="294" spans="3:25">
      <c r="C294" s="798"/>
      <c r="D294" s="798"/>
      <c r="E294" s="798"/>
      <c r="F294" s="798"/>
      <c r="G294" s="798"/>
      <c r="H294" s="798"/>
      <c r="I294" s="798"/>
      <c r="J294" s="798"/>
      <c r="K294" s="798"/>
      <c r="L294" s="798"/>
      <c r="M294" s="798"/>
      <c r="N294" s="798"/>
      <c r="O294" s="798"/>
      <c r="P294" s="798"/>
      <c r="Q294" s="798"/>
      <c r="R294" s="798"/>
    </row>
    <row r="295" spans="3:25">
      <c r="C295" s="798"/>
      <c r="D295" s="798"/>
      <c r="E295" s="798"/>
      <c r="F295" s="798"/>
      <c r="G295" s="798"/>
      <c r="H295" s="798"/>
      <c r="I295" s="798"/>
      <c r="J295" s="798"/>
      <c r="K295" s="798"/>
      <c r="L295" s="798"/>
      <c r="M295" s="798"/>
      <c r="N295" s="798"/>
      <c r="O295" s="798"/>
      <c r="P295" s="798"/>
      <c r="Q295" s="798"/>
      <c r="R295" s="798"/>
    </row>
    <row r="296" spans="3:25">
      <c r="C296" s="798"/>
      <c r="D296" s="798"/>
      <c r="E296" s="798"/>
      <c r="F296" s="798"/>
      <c r="G296" s="798"/>
      <c r="H296" s="798"/>
      <c r="I296" s="798"/>
      <c r="J296" s="798"/>
      <c r="K296" s="798"/>
      <c r="L296" s="798"/>
      <c r="M296" s="798"/>
      <c r="N296" s="798"/>
      <c r="O296" s="798"/>
      <c r="P296" s="798"/>
      <c r="Q296" s="798"/>
      <c r="R296" s="798"/>
    </row>
    <row r="297" spans="3:25">
      <c r="C297" s="798"/>
      <c r="D297" s="798"/>
      <c r="E297" s="798"/>
      <c r="F297" s="798"/>
      <c r="G297" s="798"/>
      <c r="H297" s="798"/>
      <c r="I297" s="798"/>
      <c r="J297" s="798"/>
      <c r="K297" s="798"/>
      <c r="L297" s="798"/>
      <c r="M297" s="798"/>
      <c r="N297" s="798"/>
      <c r="O297" s="798"/>
      <c r="P297" s="798"/>
      <c r="Q297" s="798"/>
      <c r="R297" s="798"/>
    </row>
    <row r="298" spans="3:25">
      <c r="C298" s="798"/>
      <c r="D298" s="798"/>
      <c r="E298" s="798"/>
      <c r="F298" s="798"/>
      <c r="G298" s="798"/>
      <c r="H298" s="798"/>
      <c r="I298" s="798"/>
      <c r="J298" s="798"/>
      <c r="K298" s="798"/>
      <c r="L298" s="798"/>
      <c r="M298" s="798"/>
      <c r="N298" s="798"/>
      <c r="O298" s="798"/>
      <c r="P298" s="798"/>
      <c r="Q298" s="798"/>
      <c r="R298" s="798"/>
    </row>
    <row r="299" spans="3:25">
      <c r="C299" s="798"/>
      <c r="D299" s="798"/>
      <c r="E299" s="798"/>
      <c r="F299" s="798"/>
      <c r="G299" s="798"/>
      <c r="H299" s="798"/>
      <c r="I299" s="798"/>
      <c r="J299" s="798"/>
      <c r="K299" s="798"/>
      <c r="L299" s="798"/>
      <c r="M299" s="798"/>
      <c r="N299" s="798"/>
      <c r="O299" s="798"/>
      <c r="P299" s="798"/>
      <c r="Q299" s="798"/>
      <c r="R299" s="798"/>
    </row>
    <row r="300" spans="3:25">
      <c r="C300" s="798"/>
      <c r="D300" s="798"/>
      <c r="E300" s="798"/>
      <c r="F300" s="798"/>
      <c r="G300" s="798"/>
      <c r="H300" s="798"/>
      <c r="I300" s="798"/>
      <c r="J300" s="798"/>
      <c r="K300" s="798"/>
      <c r="L300" s="798"/>
      <c r="M300" s="798"/>
      <c r="N300" s="798"/>
      <c r="O300" s="798"/>
      <c r="P300" s="798"/>
      <c r="Q300" s="798"/>
      <c r="R300" s="798"/>
    </row>
  </sheetData>
  <mergeCells count="22">
    <mergeCell ref="C124:R124"/>
    <mergeCell ref="C119:R119"/>
    <mergeCell ref="C120:R120"/>
    <mergeCell ref="C121:R121"/>
    <mergeCell ref="C122:R122"/>
    <mergeCell ref="C123:R123"/>
    <mergeCell ref="C114:R114"/>
    <mergeCell ref="C115:R115"/>
    <mergeCell ref="C116:R116"/>
    <mergeCell ref="C117:R117"/>
    <mergeCell ref="C118:R118"/>
    <mergeCell ref="C107:R107"/>
    <mergeCell ref="C108:R108"/>
    <mergeCell ref="C98:R98"/>
    <mergeCell ref="C99:R99"/>
    <mergeCell ref="C100:R100"/>
    <mergeCell ref="C105:R105"/>
    <mergeCell ref="C106:R106"/>
    <mergeCell ref="C101:R101"/>
    <mergeCell ref="C102:R102"/>
    <mergeCell ref="C103:R103"/>
    <mergeCell ref="C104:R104"/>
  </mergeCells>
  <phoneticPr fontId="13" type="noConversion"/>
  <pageMargins left="0.75" right="0.75" top="1" bottom="1" header="0.5" footer="0.5"/>
  <pageSetup scale="40" fitToHeight="0" orientation="landscape" r:id="rId1"/>
  <headerFooter alignWithMargins="0"/>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M64"/>
  <sheetViews>
    <sheetView showGridLines="0" zoomScale="90" workbookViewId="0">
      <selection activeCell="C23" sqref="C23"/>
    </sheetView>
  </sheetViews>
  <sheetFormatPr defaultRowHeight="12.75"/>
  <cols>
    <col min="1" max="1" width="16.5546875" style="702" customWidth="1"/>
    <col min="2" max="2" width="25.5546875" style="702" customWidth="1"/>
    <col min="3" max="5" width="12.77734375" style="702" customWidth="1"/>
    <col min="6" max="9" width="8.5546875" style="702" customWidth="1"/>
    <col min="10" max="11" width="8.5546875" style="702" hidden="1" customWidth="1"/>
    <col min="12" max="12" width="9" style="702" hidden="1" customWidth="1"/>
    <col min="13" max="13" width="7.109375" style="702" hidden="1" customWidth="1"/>
    <col min="14" max="16384" width="8.88671875" style="702"/>
  </cols>
  <sheetData>
    <row r="1" spans="1:13" s="700" customFormat="1" ht="18">
      <c r="A1" s="699" t="s">
        <v>839</v>
      </c>
    </row>
    <row r="2" spans="1:13">
      <c r="A2" s="701"/>
    </row>
    <row r="3" spans="1:13">
      <c r="A3" s="703" t="s">
        <v>723</v>
      </c>
      <c r="B3" s="879">
        <v>2018</v>
      </c>
      <c r="C3" s="704"/>
      <c r="D3" s="704"/>
      <c r="E3" s="704"/>
    </row>
    <row r="4" spans="1:13">
      <c r="A4" s="701"/>
      <c r="B4" s="704"/>
      <c r="C4" s="704"/>
      <c r="D4" s="704"/>
      <c r="E4" s="704"/>
    </row>
    <row r="5" spans="1:13" ht="15">
      <c r="A5" s="703" t="s">
        <v>724</v>
      </c>
      <c r="B5" s="809" t="s">
        <v>265</v>
      </c>
      <c r="C5" s="704"/>
      <c r="D5" s="704"/>
      <c r="E5" s="704"/>
      <c r="F5" s="810"/>
      <c r="G5" s="810"/>
      <c r="H5" s="810"/>
      <c r="I5" s="810"/>
    </row>
    <row r="6" spans="1:13" ht="15">
      <c r="A6" s="701"/>
      <c r="B6" s="704"/>
      <c r="C6" s="1099"/>
      <c r="D6" s="1099"/>
      <c r="E6" s="1099"/>
      <c r="F6" s="810"/>
      <c r="G6" s="810"/>
      <c r="H6" s="810"/>
      <c r="I6" s="810"/>
      <c r="M6" s="422" t="s">
        <v>725</v>
      </c>
    </row>
    <row r="7" spans="1:13">
      <c r="A7" s="707"/>
      <c r="B7" s="708" t="s">
        <v>726</v>
      </c>
      <c r="C7" s="709" t="s">
        <v>238</v>
      </c>
      <c r="D7" s="709" t="s">
        <v>1134</v>
      </c>
      <c r="E7" s="709" t="s">
        <v>1135</v>
      </c>
      <c r="F7" s="811"/>
      <c r="G7" s="811"/>
      <c r="H7" s="811"/>
      <c r="I7" s="811"/>
      <c r="J7" s="711"/>
      <c r="K7" s="711"/>
      <c r="L7" s="711"/>
      <c r="M7" s="710" t="s">
        <v>728</v>
      </c>
    </row>
    <row r="8" spans="1:13">
      <c r="A8" s="707"/>
      <c r="B8" s="708" t="s">
        <v>729</v>
      </c>
      <c r="C8" s="711" t="s">
        <v>878</v>
      </c>
      <c r="D8" s="711" t="s">
        <v>878</v>
      </c>
      <c r="E8" s="711" t="s">
        <v>878</v>
      </c>
      <c r="F8" s="811"/>
      <c r="G8" s="811"/>
      <c r="H8" s="811"/>
      <c r="I8" s="811"/>
      <c r="J8" s="711"/>
      <c r="K8" s="711"/>
      <c r="L8" s="711"/>
    </row>
    <row r="9" spans="1:13" ht="15" customHeight="1">
      <c r="A9" s="707"/>
      <c r="B9" s="708" t="s">
        <v>730</v>
      </c>
      <c r="C9" s="711" t="s">
        <v>725</v>
      </c>
      <c r="D9" s="711" t="s">
        <v>725</v>
      </c>
      <c r="E9" s="711" t="s">
        <v>725</v>
      </c>
      <c r="F9" s="811" t="s">
        <v>725</v>
      </c>
      <c r="G9" s="811" t="s">
        <v>725</v>
      </c>
      <c r="H9" s="811" t="s">
        <v>725</v>
      </c>
      <c r="I9" s="811" t="s">
        <v>725</v>
      </c>
      <c r="J9" s="812" t="s">
        <v>725</v>
      </c>
      <c r="K9" s="812" t="s">
        <v>728</v>
      </c>
      <c r="L9" s="812" t="s">
        <v>728</v>
      </c>
    </row>
    <row r="10" spans="1:13">
      <c r="A10" s="712" t="s">
        <v>278</v>
      </c>
      <c r="B10" s="713" t="str">
        <f xml:space="preserve"> "December " &amp; B3-1</f>
        <v>December 2017</v>
      </c>
      <c r="C10" s="714">
        <v>443759157.98785222</v>
      </c>
      <c r="D10" s="1100">
        <v>70538398.339343026</v>
      </c>
      <c r="E10" s="714">
        <v>0</v>
      </c>
      <c r="F10" s="813"/>
      <c r="G10" s="813"/>
      <c r="H10" s="813"/>
      <c r="I10" s="813"/>
      <c r="J10" s="814"/>
      <c r="K10" s="815"/>
      <c r="L10" s="814"/>
    </row>
    <row r="11" spans="1:13">
      <c r="A11" s="716" t="s">
        <v>731</v>
      </c>
      <c r="B11" s="717" t="str">
        <f xml:space="preserve"> "January " &amp; B3</f>
        <v>January 2018</v>
      </c>
      <c r="C11" s="816">
        <v>443759157.98785222</v>
      </c>
      <c r="D11" s="1101">
        <v>70351228.616676778</v>
      </c>
      <c r="E11" s="816">
        <v>0</v>
      </c>
      <c r="F11" s="817"/>
      <c r="G11" s="817"/>
      <c r="H11" s="817"/>
      <c r="I11" s="817"/>
      <c r="J11" s="818"/>
      <c r="K11" s="819"/>
      <c r="L11" s="818"/>
    </row>
    <row r="12" spans="1:13">
      <c r="A12" s="716"/>
      <c r="B12" s="720" t="s">
        <v>47</v>
      </c>
      <c r="C12" s="816">
        <v>443759157.98785222</v>
      </c>
      <c r="D12" s="1101">
        <v>70175880.139652625</v>
      </c>
      <c r="E12" s="816">
        <v>0</v>
      </c>
      <c r="F12" s="817"/>
      <c r="G12" s="817"/>
      <c r="H12" s="817"/>
      <c r="I12" s="817"/>
      <c r="J12" s="818"/>
      <c r="K12" s="819"/>
      <c r="L12" s="818"/>
    </row>
    <row r="13" spans="1:13">
      <c r="A13" s="716"/>
      <c r="B13" s="720" t="s">
        <v>246</v>
      </c>
      <c r="C13" s="816">
        <v>443759157.98785222</v>
      </c>
      <c r="D13" s="1101">
        <v>69977874.275147811</v>
      </c>
      <c r="E13" s="816">
        <v>0</v>
      </c>
      <c r="F13" s="817"/>
      <c r="G13" s="817"/>
      <c r="H13" s="817"/>
      <c r="I13" s="817"/>
      <c r="J13" s="818"/>
      <c r="K13" s="819"/>
      <c r="L13" s="818"/>
    </row>
    <row r="14" spans="1:13">
      <c r="A14" s="716"/>
      <c r="B14" s="720" t="s">
        <v>49</v>
      </c>
      <c r="C14" s="816">
        <v>443759157.98785222</v>
      </c>
      <c r="D14" s="1101">
        <v>69977874.275147811</v>
      </c>
      <c r="E14" s="816">
        <v>0</v>
      </c>
      <c r="F14" s="817"/>
      <c r="G14" s="817"/>
      <c r="H14" s="817"/>
      <c r="I14" s="817"/>
      <c r="J14" s="818"/>
      <c r="K14" s="819"/>
      <c r="L14" s="818"/>
    </row>
    <row r="15" spans="1:13">
      <c r="A15" s="716"/>
      <c r="B15" s="720" t="s">
        <v>21</v>
      </c>
      <c r="C15" s="816">
        <v>443759157.98785222</v>
      </c>
      <c r="D15" s="1101">
        <v>69977874.275147811</v>
      </c>
      <c r="E15" s="816">
        <v>0</v>
      </c>
      <c r="F15" s="817"/>
      <c r="G15" s="817"/>
      <c r="H15" s="817"/>
      <c r="I15" s="817"/>
      <c r="J15" s="818"/>
      <c r="K15" s="819"/>
      <c r="L15" s="818"/>
    </row>
    <row r="16" spans="1:13">
      <c r="A16" s="716"/>
      <c r="B16" s="720" t="s">
        <v>50</v>
      </c>
      <c r="C16" s="816">
        <v>443759157.98785222</v>
      </c>
      <c r="D16" s="1101">
        <v>69977874.275147811</v>
      </c>
      <c r="E16" s="816">
        <v>0</v>
      </c>
      <c r="F16" s="817"/>
      <c r="G16" s="817"/>
      <c r="H16" s="817"/>
      <c r="I16" s="817"/>
      <c r="J16" s="818"/>
      <c r="K16" s="819"/>
      <c r="L16" s="818"/>
    </row>
    <row r="17" spans="1:12">
      <c r="A17" s="716"/>
      <c r="B17" s="720" t="s">
        <v>51</v>
      </c>
      <c r="C17" s="816">
        <v>443759157.98785222</v>
      </c>
      <c r="D17" s="1101">
        <v>69977874.275147811</v>
      </c>
      <c r="E17" s="816">
        <v>0</v>
      </c>
      <c r="F17" s="817"/>
      <c r="G17" s="817"/>
      <c r="H17" s="817"/>
      <c r="I17" s="817"/>
      <c r="J17" s="818"/>
      <c r="K17" s="819"/>
      <c r="L17" s="818"/>
    </row>
    <row r="18" spans="1:12">
      <c r="A18" s="716"/>
      <c r="B18" s="720" t="s">
        <v>245</v>
      </c>
      <c r="C18" s="816">
        <v>443759157.98785222</v>
      </c>
      <c r="D18" s="1101">
        <v>69977874.275147811</v>
      </c>
      <c r="E18" s="816">
        <v>0</v>
      </c>
      <c r="F18" s="817"/>
      <c r="G18" s="817"/>
      <c r="H18" s="817"/>
      <c r="I18" s="817"/>
      <c r="J18" s="818"/>
      <c r="K18" s="819"/>
      <c r="L18" s="818"/>
    </row>
    <row r="19" spans="1:12">
      <c r="A19" s="716"/>
      <c r="B19" s="720" t="s">
        <v>53</v>
      </c>
      <c r="C19" s="816">
        <v>443759157.98785222</v>
      </c>
      <c r="D19" s="1101">
        <v>69977874.275147811</v>
      </c>
      <c r="E19" s="816">
        <v>0</v>
      </c>
      <c r="F19" s="817"/>
      <c r="G19" s="817"/>
      <c r="H19" s="817"/>
      <c r="I19" s="817"/>
      <c r="J19" s="818"/>
      <c r="K19" s="819"/>
      <c r="L19" s="818"/>
    </row>
    <row r="20" spans="1:12">
      <c r="A20" s="716"/>
      <c r="B20" s="720" t="s">
        <v>54</v>
      </c>
      <c r="C20" s="816">
        <v>443759157.98785222</v>
      </c>
      <c r="D20" s="1101">
        <v>69977874.275147811</v>
      </c>
      <c r="E20" s="816">
        <v>0</v>
      </c>
      <c r="F20" s="817"/>
      <c r="G20" s="817"/>
      <c r="H20" s="817"/>
      <c r="I20" s="817"/>
      <c r="J20" s="818"/>
      <c r="K20" s="819"/>
      <c r="L20" s="818"/>
    </row>
    <row r="21" spans="1:12">
      <c r="A21" s="716"/>
      <c r="B21" s="720" t="s">
        <v>55</v>
      </c>
      <c r="C21" s="816">
        <v>443759157.98785222</v>
      </c>
      <c r="D21" s="1101">
        <v>69977874.275147811</v>
      </c>
      <c r="E21" s="816">
        <v>0</v>
      </c>
      <c r="F21" s="817"/>
      <c r="G21" s="817"/>
      <c r="H21" s="817"/>
      <c r="I21" s="817"/>
      <c r="J21" s="818"/>
      <c r="K21" s="819"/>
      <c r="L21" s="818"/>
    </row>
    <row r="22" spans="1:12">
      <c r="A22" s="721"/>
      <c r="B22" s="722" t="str">
        <f xml:space="preserve"> "December " &amp; B3</f>
        <v>December 2018</v>
      </c>
      <c r="C22" s="820">
        <v>443759157.98785222</v>
      </c>
      <c r="D22" s="1102">
        <v>69977874.275147811</v>
      </c>
      <c r="E22" s="820">
        <v>158845438.32547325</v>
      </c>
      <c r="F22" s="817"/>
      <c r="G22" s="817"/>
      <c r="H22" s="817"/>
      <c r="I22" s="817"/>
      <c r="J22" s="818"/>
      <c r="K22" s="819"/>
      <c r="L22" s="818"/>
    </row>
    <row r="23" spans="1:12">
      <c r="A23" s="725"/>
      <c r="B23" s="726" t="s">
        <v>29</v>
      </c>
      <c r="C23" s="727">
        <f>AVERAGE(C10:C22)</f>
        <v>443759157.98785216</v>
      </c>
      <c r="D23" s="727">
        <f>AVERAGE(D10:D22)</f>
        <v>70064942.295934647</v>
      </c>
      <c r="E23" s="727">
        <f>AVERAGE(E10:E22)</f>
        <v>12218879.87119025</v>
      </c>
      <c r="F23" s="821"/>
      <c r="G23" s="821"/>
      <c r="H23" s="821"/>
      <c r="I23" s="821"/>
      <c r="J23" s="822"/>
      <c r="K23" s="823"/>
      <c r="L23" s="822"/>
    </row>
    <row r="24" spans="1:12">
      <c r="A24" s="725"/>
      <c r="B24" s="726"/>
      <c r="C24" s="824"/>
      <c r="D24" s="824"/>
      <c r="E24" s="824"/>
      <c r="F24" s="825"/>
      <c r="G24" s="825"/>
      <c r="H24" s="825"/>
      <c r="I24" s="825"/>
      <c r="J24" s="826"/>
      <c r="K24" s="827"/>
      <c r="L24" s="826"/>
    </row>
    <row r="25" spans="1:12">
      <c r="A25" s="725"/>
      <c r="B25" s="726"/>
      <c r="C25" s="824"/>
      <c r="D25" s="824"/>
      <c r="E25" s="824"/>
      <c r="F25" s="825"/>
      <c r="G25" s="825"/>
      <c r="H25" s="825"/>
      <c r="I25" s="825"/>
      <c r="J25" s="826"/>
      <c r="K25" s="827"/>
      <c r="L25" s="826"/>
    </row>
    <row r="26" spans="1:12">
      <c r="A26" s="712" t="s">
        <v>861</v>
      </c>
      <c r="B26" s="713" t="str">
        <f>B10</f>
        <v>December 2017</v>
      </c>
      <c r="C26" s="714">
        <v>30201541.20320639</v>
      </c>
      <c r="D26" s="1100">
        <v>96098.772869332824</v>
      </c>
      <c r="E26" s="714">
        <v>0</v>
      </c>
      <c r="F26" s="813"/>
      <c r="G26" s="813"/>
      <c r="H26" s="813"/>
      <c r="I26" s="813"/>
      <c r="J26" s="814"/>
      <c r="K26" s="815"/>
      <c r="L26" s="814"/>
    </row>
    <row r="27" spans="1:12">
      <c r="A27" s="716" t="s">
        <v>732</v>
      </c>
      <c r="B27" s="717" t="str">
        <f>B11</f>
        <v>January 2018</v>
      </c>
      <c r="C27" s="816">
        <v>30915800.544988666</v>
      </c>
      <c r="D27" s="1101">
        <v>218844.74471041159</v>
      </c>
      <c r="E27" s="816">
        <v>0</v>
      </c>
      <c r="F27" s="817"/>
      <c r="G27" s="817"/>
      <c r="H27" s="817"/>
      <c r="I27" s="817"/>
      <c r="J27" s="818"/>
      <c r="K27" s="819"/>
      <c r="L27" s="818"/>
    </row>
    <row r="28" spans="1:12">
      <c r="A28" s="716" t="s">
        <v>840</v>
      </c>
      <c r="B28" s="729" t="s">
        <v>47</v>
      </c>
      <c r="C28" s="816">
        <v>31630059.886770934</v>
      </c>
      <c r="D28" s="1101">
        <v>341271.60990621283</v>
      </c>
      <c r="E28" s="816">
        <v>0</v>
      </c>
      <c r="F28" s="817"/>
      <c r="G28" s="817"/>
      <c r="H28" s="817"/>
      <c r="I28" s="817"/>
      <c r="J28" s="818"/>
      <c r="K28" s="819"/>
      <c r="L28" s="818"/>
    </row>
    <row r="29" spans="1:12">
      <c r="A29" s="716"/>
      <c r="B29" s="729" t="s">
        <v>246</v>
      </c>
      <c r="C29" s="816">
        <v>32344319.228553206</v>
      </c>
      <c r="D29" s="1101">
        <v>463369.82994288323</v>
      </c>
      <c r="E29" s="816">
        <v>0</v>
      </c>
      <c r="F29" s="817"/>
      <c r="G29" s="817"/>
      <c r="H29" s="817"/>
      <c r="I29" s="817"/>
      <c r="J29" s="818"/>
      <c r="K29" s="819"/>
      <c r="L29" s="818"/>
    </row>
    <row r="30" spans="1:12">
      <c r="A30" s="716"/>
      <c r="B30" s="729" t="s">
        <v>49</v>
      </c>
      <c r="C30" s="816">
        <v>33058578.570335485</v>
      </c>
      <c r="D30" s="1101">
        <v>585293.75531732314</v>
      </c>
      <c r="E30" s="816">
        <v>0</v>
      </c>
      <c r="F30" s="817"/>
      <c r="G30" s="817"/>
      <c r="H30" s="817"/>
      <c r="I30" s="817"/>
      <c r="J30" s="818"/>
      <c r="K30" s="819"/>
      <c r="L30" s="818"/>
    </row>
    <row r="31" spans="1:12">
      <c r="A31" s="716"/>
      <c r="B31" s="729" t="s">
        <v>21</v>
      </c>
      <c r="C31" s="816">
        <v>33772837.912117757</v>
      </c>
      <c r="D31" s="1101">
        <v>707217.68069176318</v>
      </c>
      <c r="E31" s="816">
        <v>0</v>
      </c>
      <c r="F31" s="817"/>
      <c r="G31" s="817"/>
      <c r="H31" s="817"/>
      <c r="I31" s="817"/>
      <c r="J31" s="818"/>
      <c r="K31" s="819"/>
      <c r="L31" s="818"/>
    </row>
    <row r="32" spans="1:12">
      <c r="A32" s="716"/>
      <c r="B32" s="729" t="s">
        <v>50</v>
      </c>
      <c r="C32" s="816">
        <v>34487097.253900029</v>
      </c>
      <c r="D32" s="1101">
        <v>829141.60606620321</v>
      </c>
      <c r="E32" s="816">
        <v>0</v>
      </c>
      <c r="F32" s="817"/>
      <c r="G32" s="817"/>
      <c r="H32" s="817"/>
      <c r="I32" s="817"/>
      <c r="J32" s="818"/>
      <c r="K32" s="819"/>
      <c r="L32" s="818"/>
    </row>
    <row r="33" spans="1:12">
      <c r="A33" s="716"/>
      <c r="B33" s="729" t="s">
        <v>51</v>
      </c>
      <c r="C33" s="816">
        <v>35201356.595682301</v>
      </c>
      <c r="D33" s="1101">
        <v>951065.53144064336</v>
      </c>
      <c r="E33" s="816">
        <v>0</v>
      </c>
      <c r="F33" s="817"/>
      <c r="G33" s="817"/>
      <c r="H33" s="817"/>
      <c r="I33" s="817"/>
      <c r="J33" s="818"/>
      <c r="K33" s="819"/>
      <c r="L33" s="818"/>
    </row>
    <row r="34" spans="1:12">
      <c r="A34" s="716"/>
      <c r="B34" s="729" t="s">
        <v>245</v>
      </c>
      <c r="C34" s="816">
        <v>35915615.93746458</v>
      </c>
      <c r="D34" s="1101">
        <v>1072989.4568150835</v>
      </c>
      <c r="E34" s="816">
        <v>0</v>
      </c>
      <c r="F34" s="817"/>
      <c r="G34" s="817"/>
      <c r="H34" s="817"/>
      <c r="I34" s="817"/>
      <c r="J34" s="818"/>
      <c r="K34" s="819"/>
      <c r="L34" s="818"/>
    </row>
    <row r="35" spans="1:12">
      <c r="A35" s="716"/>
      <c r="B35" s="729" t="s">
        <v>53</v>
      </c>
      <c r="C35" s="816">
        <v>36629875.279246844</v>
      </c>
      <c r="D35" s="1101">
        <v>1194913.3821895234</v>
      </c>
      <c r="E35" s="816">
        <v>0</v>
      </c>
      <c r="F35" s="817"/>
      <c r="G35" s="817"/>
      <c r="H35" s="817"/>
      <c r="I35" s="817"/>
      <c r="J35" s="818"/>
      <c r="K35" s="819"/>
      <c r="L35" s="818"/>
    </row>
    <row r="36" spans="1:12">
      <c r="A36" s="716"/>
      <c r="B36" s="729" t="s">
        <v>54</v>
      </c>
      <c r="C36" s="816">
        <v>37344134.621029116</v>
      </c>
      <c r="D36" s="1101">
        <v>1316837.3075639633</v>
      </c>
      <c r="E36" s="816">
        <v>0</v>
      </c>
      <c r="F36" s="817"/>
      <c r="G36" s="817"/>
      <c r="H36" s="817"/>
      <c r="I36" s="817"/>
      <c r="J36" s="818"/>
      <c r="K36" s="819"/>
      <c r="L36" s="818"/>
    </row>
    <row r="37" spans="1:12">
      <c r="A37" s="716"/>
      <c r="B37" s="729" t="s">
        <v>55</v>
      </c>
      <c r="C37" s="816">
        <v>38058393.962811396</v>
      </c>
      <c r="D37" s="1101">
        <v>1438761.2329384033</v>
      </c>
      <c r="E37" s="816">
        <v>0</v>
      </c>
      <c r="F37" s="817"/>
      <c r="G37" s="817"/>
      <c r="H37" s="817"/>
      <c r="I37" s="817"/>
      <c r="J37" s="818"/>
      <c r="K37" s="819"/>
      <c r="L37" s="818"/>
    </row>
    <row r="38" spans="1:12">
      <c r="A38" s="721"/>
      <c r="B38" s="722" t="str">
        <f>+B22</f>
        <v>December 2018</v>
      </c>
      <c r="C38" s="820">
        <v>38772653.304593667</v>
      </c>
      <c r="D38" s="1102">
        <v>1560685.1583128432</v>
      </c>
      <c r="E38" s="820">
        <v>134410.51671824639</v>
      </c>
      <c r="F38" s="817"/>
      <c r="G38" s="817"/>
      <c r="H38" s="817"/>
      <c r="I38" s="817"/>
      <c r="J38" s="818"/>
      <c r="K38" s="819"/>
      <c r="L38" s="818"/>
    </row>
    <row r="39" spans="1:12">
      <c r="A39" s="725"/>
      <c r="B39" s="726" t="s">
        <v>29</v>
      </c>
      <c r="C39" s="727">
        <f>AVERAGE(C26:C38)</f>
        <v>34487097.253900036</v>
      </c>
      <c r="D39" s="727">
        <f>AVERAGE(D26:D38)</f>
        <v>828960.77452035306</v>
      </c>
      <c r="E39" s="727">
        <f>AVERAGE(E26:E38)</f>
        <v>10339.270516788183</v>
      </c>
      <c r="F39" s="821"/>
      <c r="G39" s="821"/>
      <c r="H39" s="821"/>
      <c r="I39" s="821"/>
      <c r="J39" s="822"/>
      <c r="K39" s="823"/>
      <c r="L39" s="822"/>
    </row>
    <row r="40" spans="1:12" s="706" customFormat="1">
      <c r="A40" s="730"/>
      <c r="B40" s="731"/>
      <c r="C40" s="824"/>
      <c r="D40" s="824"/>
      <c r="E40" s="824"/>
      <c r="F40" s="825"/>
      <c r="G40" s="825"/>
      <c r="H40" s="825"/>
      <c r="I40" s="825"/>
      <c r="J40" s="824"/>
      <c r="K40" s="824"/>
      <c r="L40" s="824"/>
    </row>
    <row r="41" spans="1:12">
      <c r="A41" s="725"/>
      <c r="B41" s="732"/>
      <c r="C41" s="828"/>
      <c r="D41" s="828"/>
      <c r="E41" s="828"/>
      <c r="F41" s="829"/>
      <c r="G41" s="829"/>
      <c r="H41" s="829"/>
      <c r="I41" s="829"/>
      <c r="J41" s="830"/>
      <c r="K41" s="830"/>
      <c r="L41" s="830"/>
    </row>
    <row r="42" spans="1:12">
      <c r="A42" s="725"/>
      <c r="B42" s="734"/>
      <c r="C42" s="831"/>
      <c r="D42" s="831"/>
      <c r="E42" s="831"/>
      <c r="F42" s="832"/>
      <c r="G42" s="832"/>
      <c r="H42" s="832"/>
      <c r="I42" s="832"/>
      <c r="J42" s="732"/>
      <c r="K42" s="732"/>
      <c r="L42" s="732"/>
    </row>
    <row r="43" spans="1:12">
      <c r="A43" s="712" t="s">
        <v>733</v>
      </c>
      <c r="B43" s="736" t="str">
        <f>B10</f>
        <v>December 2017</v>
      </c>
      <c r="C43" s="714">
        <f t="shared" ref="C43:E55" si="0">+C10-C26</f>
        <v>413557616.7846458</v>
      </c>
      <c r="D43" s="1100">
        <f t="shared" ref="D43" si="1">+D10-D26</f>
        <v>70442299.566473693</v>
      </c>
      <c r="E43" s="714">
        <f t="shared" si="0"/>
        <v>0</v>
      </c>
      <c r="F43" s="813"/>
      <c r="G43" s="813"/>
      <c r="H43" s="813"/>
      <c r="I43" s="813"/>
      <c r="J43" s="833"/>
      <c r="K43" s="834"/>
      <c r="L43" s="833"/>
    </row>
    <row r="44" spans="1:12">
      <c r="A44" s="716" t="s">
        <v>841</v>
      </c>
      <c r="B44" s="737" t="str">
        <f>B11</f>
        <v>January 2018</v>
      </c>
      <c r="C44" s="816">
        <f t="shared" si="0"/>
        <v>412843357.44286352</v>
      </c>
      <c r="D44" s="1101">
        <f t="shared" ref="D44" si="2">+D11-D27</f>
        <v>70132383.871966362</v>
      </c>
      <c r="E44" s="816">
        <f t="shared" si="0"/>
        <v>0</v>
      </c>
      <c r="F44" s="817"/>
      <c r="G44" s="817"/>
      <c r="H44" s="817"/>
      <c r="I44" s="817"/>
      <c r="J44" s="835"/>
      <c r="K44" s="836"/>
      <c r="L44" s="835"/>
    </row>
    <row r="45" spans="1:12">
      <c r="A45" s="716"/>
      <c r="B45" s="729" t="s">
        <v>47</v>
      </c>
      <c r="C45" s="816">
        <f t="shared" si="0"/>
        <v>412129098.10108125</v>
      </c>
      <c r="D45" s="1101">
        <f t="shared" ref="D45" si="3">+D12-D28</f>
        <v>69834608.529746413</v>
      </c>
      <c r="E45" s="816">
        <f t="shared" si="0"/>
        <v>0</v>
      </c>
      <c r="F45" s="817"/>
      <c r="G45" s="817"/>
      <c r="H45" s="817"/>
      <c r="I45" s="817"/>
      <c r="J45" s="835"/>
      <c r="K45" s="836"/>
      <c r="L45" s="835"/>
    </row>
    <row r="46" spans="1:12">
      <c r="A46" s="716"/>
      <c r="B46" s="729" t="s">
        <v>246</v>
      </c>
      <c r="C46" s="816">
        <f t="shared" si="0"/>
        <v>411414838.75929904</v>
      </c>
      <c r="D46" s="1101">
        <f t="shared" ref="D46" si="4">+D13-D29</f>
        <v>69514504.445204929</v>
      </c>
      <c r="E46" s="816">
        <f t="shared" si="0"/>
        <v>0</v>
      </c>
      <c r="F46" s="817"/>
      <c r="G46" s="817"/>
      <c r="H46" s="817"/>
      <c r="I46" s="817"/>
      <c r="J46" s="835"/>
      <c r="K46" s="836"/>
      <c r="L46" s="835"/>
    </row>
    <row r="47" spans="1:12">
      <c r="A47" s="716"/>
      <c r="B47" s="729" t="s">
        <v>49</v>
      </c>
      <c r="C47" s="816">
        <f t="shared" si="0"/>
        <v>410700579.41751671</v>
      </c>
      <c r="D47" s="1101">
        <f t="shared" ref="D47" si="5">+D14-D30</f>
        <v>69392580.51983048</v>
      </c>
      <c r="E47" s="816">
        <f t="shared" si="0"/>
        <v>0</v>
      </c>
      <c r="F47" s="817"/>
      <c r="G47" s="817"/>
      <c r="H47" s="817"/>
      <c r="I47" s="817"/>
      <c r="J47" s="835"/>
      <c r="K47" s="836"/>
      <c r="L47" s="835"/>
    </row>
    <row r="48" spans="1:12">
      <c r="A48" s="716"/>
      <c r="B48" s="729" t="s">
        <v>21</v>
      </c>
      <c r="C48" s="816">
        <f t="shared" si="0"/>
        <v>409986320.07573444</v>
      </c>
      <c r="D48" s="1101">
        <f t="shared" ref="D48" si="6">+D15-D31</f>
        <v>69270656.594456047</v>
      </c>
      <c r="E48" s="816">
        <f t="shared" si="0"/>
        <v>0</v>
      </c>
      <c r="F48" s="817"/>
      <c r="G48" s="817"/>
      <c r="H48" s="817"/>
      <c r="I48" s="817"/>
      <c r="J48" s="835"/>
      <c r="K48" s="836"/>
      <c r="L48" s="835"/>
    </row>
    <row r="49" spans="1:12">
      <c r="A49" s="716"/>
      <c r="B49" s="729" t="s">
        <v>50</v>
      </c>
      <c r="C49" s="816">
        <f t="shared" si="0"/>
        <v>409272060.73395216</v>
      </c>
      <c r="D49" s="1101">
        <f t="shared" ref="D49" si="7">+D16-D32</f>
        <v>69148732.669081613</v>
      </c>
      <c r="E49" s="816">
        <f t="shared" si="0"/>
        <v>0</v>
      </c>
      <c r="F49" s="817"/>
      <c r="G49" s="817"/>
      <c r="H49" s="817"/>
      <c r="I49" s="817"/>
      <c r="J49" s="835"/>
      <c r="K49" s="836"/>
      <c r="L49" s="835"/>
    </row>
    <row r="50" spans="1:12">
      <c r="A50" s="716"/>
      <c r="B50" s="729" t="s">
        <v>51</v>
      </c>
      <c r="C50" s="816">
        <f t="shared" si="0"/>
        <v>408557801.39216989</v>
      </c>
      <c r="D50" s="1101">
        <f t="shared" ref="D50" si="8">+D17-D33</f>
        <v>69026808.743707165</v>
      </c>
      <c r="E50" s="816">
        <f t="shared" si="0"/>
        <v>0</v>
      </c>
      <c r="F50" s="817"/>
      <c r="G50" s="817"/>
      <c r="H50" s="817"/>
      <c r="I50" s="817"/>
      <c r="J50" s="835"/>
      <c r="K50" s="836"/>
      <c r="L50" s="835"/>
    </row>
    <row r="51" spans="1:12">
      <c r="A51" s="716"/>
      <c r="B51" s="729" t="s">
        <v>245</v>
      </c>
      <c r="C51" s="816">
        <f t="shared" si="0"/>
        <v>407843542.05038762</v>
      </c>
      <c r="D51" s="1101">
        <f t="shared" ref="D51" si="9">+D18-D34</f>
        <v>68904884.818332732</v>
      </c>
      <c r="E51" s="816">
        <f t="shared" si="0"/>
        <v>0</v>
      </c>
      <c r="F51" s="817"/>
      <c r="G51" s="817"/>
      <c r="H51" s="817"/>
      <c r="I51" s="817"/>
      <c r="J51" s="835"/>
      <c r="K51" s="836"/>
      <c r="L51" s="835"/>
    </row>
    <row r="52" spans="1:12">
      <c r="A52" s="716"/>
      <c r="B52" s="729" t="s">
        <v>53</v>
      </c>
      <c r="C52" s="816">
        <f t="shared" si="0"/>
        <v>407129282.70860535</v>
      </c>
      <c r="D52" s="1101">
        <f t="shared" ref="D52" si="10">+D19-D35</f>
        <v>68782960.892958283</v>
      </c>
      <c r="E52" s="816">
        <f t="shared" si="0"/>
        <v>0</v>
      </c>
      <c r="F52" s="817"/>
      <c r="G52" s="817"/>
      <c r="H52" s="817"/>
      <c r="I52" s="817"/>
      <c r="J52" s="835"/>
      <c r="K52" s="836"/>
      <c r="L52" s="835"/>
    </row>
    <row r="53" spans="1:12">
      <c r="A53" s="716"/>
      <c r="B53" s="729" t="s">
        <v>54</v>
      </c>
      <c r="C53" s="816">
        <f t="shared" si="0"/>
        <v>406415023.36682308</v>
      </c>
      <c r="D53" s="1101">
        <f t="shared" ref="D53" si="11">+D20-D36</f>
        <v>68661036.96758385</v>
      </c>
      <c r="E53" s="816">
        <f t="shared" si="0"/>
        <v>0</v>
      </c>
      <c r="F53" s="817"/>
      <c r="G53" s="817"/>
      <c r="H53" s="817"/>
      <c r="I53" s="817"/>
      <c r="J53" s="835"/>
      <c r="K53" s="836"/>
      <c r="L53" s="835"/>
    </row>
    <row r="54" spans="1:12">
      <c r="A54" s="716"/>
      <c r="B54" s="729" t="s">
        <v>55</v>
      </c>
      <c r="C54" s="816">
        <f t="shared" si="0"/>
        <v>405700764.02504081</v>
      </c>
      <c r="D54" s="1101">
        <f t="shared" ref="D54" si="12">+D21-D37</f>
        <v>68539113.042209402</v>
      </c>
      <c r="E54" s="816">
        <f t="shared" si="0"/>
        <v>0</v>
      </c>
      <c r="F54" s="817"/>
      <c r="G54" s="817"/>
      <c r="H54" s="817"/>
      <c r="I54" s="817"/>
      <c r="J54" s="835"/>
      <c r="K54" s="836"/>
      <c r="L54" s="835"/>
    </row>
    <row r="55" spans="1:12">
      <c r="A55" s="721"/>
      <c r="B55" s="738" t="str">
        <f>+B38</f>
        <v>December 2018</v>
      </c>
      <c r="C55" s="820">
        <f t="shared" si="0"/>
        <v>404986504.68325853</v>
      </c>
      <c r="D55" s="1102">
        <f t="shared" ref="D55" si="13">+D22-D38</f>
        <v>68417189.116834968</v>
      </c>
      <c r="E55" s="820">
        <f t="shared" si="0"/>
        <v>158711027.80875501</v>
      </c>
      <c r="F55" s="817"/>
      <c r="G55" s="817"/>
      <c r="H55" s="817"/>
      <c r="I55" s="817"/>
      <c r="J55" s="835"/>
      <c r="K55" s="836"/>
      <c r="L55" s="835"/>
    </row>
    <row r="56" spans="1:12">
      <c r="A56" s="725"/>
      <c r="B56" s="726" t="s">
        <v>29</v>
      </c>
      <c r="C56" s="727">
        <f>AVERAGE(C43:C55)</f>
        <v>409272060.73395216</v>
      </c>
      <c r="D56" s="727">
        <f>AVERAGE(D43:D55)</f>
        <v>69235981.521414295</v>
      </c>
      <c r="E56" s="727">
        <f>AVERAGE(E43:E55)</f>
        <v>12208540.600673463</v>
      </c>
      <c r="F56" s="821"/>
      <c r="G56" s="821"/>
      <c r="H56" s="821"/>
      <c r="I56" s="821"/>
      <c r="J56" s="822"/>
      <c r="K56" s="823"/>
      <c r="L56" s="822"/>
    </row>
    <row r="57" spans="1:12">
      <c r="A57" s="725"/>
      <c r="B57" s="732"/>
      <c r="C57" s="824"/>
      <c r="D57" s="824"/>
      <c r="E57" s="824"/>
      <c r="F57" s="825"/>
      <c r="G57" s="825"/>
      <c r="H57" s="825"/>
      <c r="I57" s="825"/>
      <c r="J57" s="837"/>
      <c r="K57" s="837"/>
      <c r="L57" s="837"/>
    </row>
    <row r="58" spans="1:12" ht="15">
      <c r="A58" s="725"/>
      <c r="B58" s="740"/>
      <c r="C58" s="838"/>
      <c r="D58" s="838"/>
      <c r="E58" s="838"/>
      <c r="F58" s="839"/>
      <c r="G58" s="839"/>
      <c r="H58" s="839"/>
      <c r="I58" s="839"/>
      <c r="J58" s="840"/>
      <c r="K58" s="840"/>
      <c r="L58" s="840"/>
    </row>
    <row r="59" spans="1:12">
      <c r="A59" s="742" t="s">
        <v>735</v>
      </c>
      <c r="B59" s="743" t="s">
        <v>672</v>
      </c>
      <c r="C59" s="744">
        <v>8571112.1013872866</v>
      </c>
      <c r="D59" s="1103">
        <v>1464586.3854435103</v>
      </c>
      <c r="E59" s="744">
        <v>130953.91799952702</v>
      </c>
      <c r="F59" s="821"/>
      <c r="G59" s="821"/>
      <c r="H59" s="821"/>
      <c r="I59" s="821"/>
      <c r="J59" s="841"/>
      <c r="K59" s="842"/>
      <c r="L59" s="843"/>
    </row>
    <row r="60" spans="1:12">
      <c r="A60" s="721" t="s">
        <v>842</v>
      </c>
      <c r="B60" s="746" t="s">
        <v>737</v>
      </c>
      <c r="C60" s="844">
        <v>0</v>
      </c>
      <c r="D60" s="1104">
        <v>0</v>
      </c>
      <c r="E60" s="844">
        <v>0</v>
      </c>
      <c r="F60" s="817"/>
      <c r="G60" s="817"/>
      <c r="H60" s="817"/>
      <c r="I60" s="817"/>
      <c r="J60" s="845"/>
      <c r="K60" s="846"/>
      <c r="L60" s="847"/>
    </row>
    <row r="61" spans="1:12">
      <c r="A61" s="701"/>
      <c r="B61" s="726" t="s">
        <v>738</v>
      </c>
      <c r="C61" s="727">
        <f>+C59+C60</f>
        <v>8571112.1013872866</v>
      </c>
      <c r="D61" s="727">
        <f>+D59+D60</f>
        <v>1464586.3854435103</v>
      </c>
      <c r="E61" s="727">
        <f>+E59+E60</f>
        <v>130953.91799952702</v>
      </c>
      <c r="F61" s="821"/>
      <c r="G61" s="821"/>
      <c r="H61" s="821"/>
      <c r="I61" s="821"/>
      <c r="J61" s="822"/>
      <c r="K61" s="823"/>
      <c r="L61" s="822"/>
    </row>
    <row r="62" spans="1:12" ht="15">
      <c r="F62" s="810"/>
      <c r="G62" s="810"/>
      <c r="H62" s="810"/>
      <c r="I62" s="810"/>
    </row>
    <row r="63" spans="1:12" ht="15">
      <c r="F63" s="810"/>
      <c r="G63" s="810"/>
      <c r="H63" s="810"/>
      <c r="I63" s="810"/>
    </row>
    <row r="64" spans="1:12" ht="15">
      <c r="F64" s="810"/>
      <c r="G64" s="810"/>
      <c r="H64" s="810"/>
      <c r="I64" s="810"/>
    </row>
  </sheetData>
  <phoneticPr fontId="13" type="noConversion"/>
  <dataValidations disablePrompts="1" count="1">
    <dataValidation type="list" allowBlank="1" showInputMessage="1" showErrorMessage="1" sqref="C9:L9">
      <formula1>$M$6:$M$7</formula1>
    </dataValidation>
  </dataValidations>
  <pageMargins left="0.75" right="0.75" top="1" bottom="1" header="0.5" footer="0.5"/>
  <pageSetup scale="6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D39"/>
  <sheetViews>
    <sheetView showGridLines="0" zoomScale="90" workbookViewId="0">
      <selection activeCell="K41" sqref="K41"/>
    </sheetView>
  </sheetViews>
  <sheetFormatPr defaultRowHeight="12.75"/>
  <cols>
    <col min="1" max="1" width="8.88671875" style="422"/>
    <col min="2" max="2" width="9.44140625" style="422" bestFit="1" customWidth="1"/>
    <col min="3" max="3" width="8.77734375" style="422" customWidth="1"/>
    <col min="4" max="4" width="57.21875" style="422" customWidth="1"/>
    <col min="5" max="16384" width="8.88671875" style="422"/>
  </cols>
  <sheetData>
    <row r="1" spans="1:4">
      <c r="A1" s="749" t="s">
        <v>843</v>
      </c>
    </row>
    <row r="3" spans="1:4" ht="25.5">
      <c r="A3" s="751" t="s">
        <v>726</v>
      </c>
      <c r="B3" s="848" t="s">
        <v>741</v>
      </c>
      <c r="C3" s="848" t="s">
        <v>740</v>
      </c>
      <c r="D3" s="751" t="s">
        <v>742</v>
      </c>
    </row>
    <row r="4" spans="1:4">
      <c r="A4" s="849">
        <v>1203</v>
      </c>
      <c r="B4" s="850">
        <v>41729</v>
      </c>
      <c r="C4" s="851">
        <v>1897</v>
      </c>
      <c r="D4" s="752" t="s">
        <v>844</v>
      </c>
    </row>
    <row r="5" spans="1:4">
      <c r="A5" s="852">
        <v>1203</v>
      </c>
      <c r="B5" s="853">
        <v>41729</v>
      </c>
      <c r="C5" s="854">
        <v>2649</v>
      </c>
      <c r="D5" s="754" t="s">
        <v>982</v>
      </c>
    </row>
    <row r="6" spans="1:4">
      <c r="A6" s="852">
        <v>1203</v>
      </c>
      <c r="B6" s="853">
        <v>41764</v>
      </c>
      <c r="C6" s="854">
        <v>1887</v>
      </c>
      <c r="D6" s="754" t="s">
        <v>983</v>
      </c>
    </row>
    <row r="7" spans="1:4">
      <c r="A7" s="852">
        <v>1203</v>
      </c>
      <c r="B7" s="853">
        <v>41743</v>
      </c>
      <c r="C7" s="854">
        <v>1886</v>
      </c>
      <c r="D7" s="754" t="s">
        <v>983</v>
      </c>
    </row>
    <row r="8" spans="1:4">
      <c r="A8" s="852">
        <v>1203</v>
      </c>
      <c r="B8" s="853">
        <v>41729</v>
      </c>
      <c r="C8" s="854">
        <v>1885</v>
      </c>
      <c r="D8" s="754" t="s">
        <v>983</v>
      </c>
    </row>
    <row r="9" spans="1:4">
      <c r="A9" s="852">
        <v>1203</v>
      </c>
      <c r="B9" s="853">
        <v>41729</v>
      </c>
      <c r="C9" s="854">
        <v>1884</v>
      </c>
      <c r="D9" s="754" t="s">
        <v>983</v>
      </c>
    </row>
    <row r="10" spans="1:4">
      <c r="A10" s="852">
        <v>1203</v>
      </c>
      <c r="B10" s="853">
        <v>41729</v>
      </c>
      <c r="C10" s="854">
        <v>1883</v>
      </c>
      <c r="D10" s="754" t="s">
        <v>983</v>
      </c>
    </row>
    <row r="11" spans="1:4">
      <c r="A11" s="852">
        <v>1203</v>
      </c>
      <c r="B11" s="853">
        <v>41729</v>
      </c>
      <c r="C11" s="855">
        <v>1882</v>
      </c>
      <c r="D11" s="754" t="s">
        <v>983</v>
      </c>
    </row>
    <row r="12" spans="1:4">
      <c r="A12" s="852">
        <v>1203</v>
      </c>
      <c r="B12" s="853">
        <v>41743</v>
      </c>
      <c r="C12" s="855">
        <v>1894</v>
      </c>
      <c r="D12" s="754" t="s">
        <v>982</v>
      </c>
    </row>
    <row r="13" spans="1:4">
      <c r="A13" s="852">
        <v>1203</v>
      </c>
      <c r="B13" s="853">
        <v>41729</v>
      </c>
      <c r="C13" s="855">
        <v>1893</v>
      </c>
      <c r="D13" s="754" t="s">
        <v>982</v>
      </c>
    </row>
    <row r="14" spans="1:4">
      <c r="A14" s="852">
        <v>1203</v>
      </c>
      <c r="B14" s="853">
        <v>42094</v>
      </c>
      <c r="C14" s="855">
        <v>1889</v>
      </c>
      <c r="D14" s="754" t="s">
        <v>983</v>
      </c>
    </row>
    <row r="15" spans="1:4">
      <c r="A15" s="852">
        <v>1203</v>
      </c>
      <c r="B15" s="853">
        <v>42094</v>
      </c>
      <c r="C15" s="855">
        <v>1888</v>
      </c>
      <c r="D15" s="754" t="s">
        <v>983</v>
      </c>
    </row>
    <row r="16" spans="1:4">
      <c r="A16" s="852">
        <v>1203</v>
      </c>
      <c r="B16" s="853">
        <v>42021</v>
      </c>
      <c r="C16" s="855">
        <v>1881</v>
      </c>
      <c r="D16" s="856" t="s">
        <v>983</v>
      </c>
    </row>
    <row r="17" spans="1:4">
      <c r="A17" s="852">
        <v>1203</v>
      </c>
      <c r="B17" s="853">
        <v>42094</v>
      </c>
      <c r="C17" s="855">
        <v>1895</v>
      </c>
      <c r="D17" s="754" t="s">
        <v>982</v>
      </c>
    </row>
    <row r="18" spans="1:4">
      <c r="A18" s="852">
        <v>1203</v>
      </c>
      <c r="B18" s="853">
        <v>41760</v>
      </c>
      <c r="C18" s="855">
        <v>5469</v>
      </c>
      <c r="D18" s="754" t="s">
        <v>845</v>
      </c>
    </row>
    <row r="19" spans="1:4">
      <c r="A19" s="852">
        <v>1203</v>
      </c>
      <c r="B19" s="853">
        <v>41831</v>
      </c>
      <c r="C19" s="754">
        <v>7082</v>
      </c>
      <c r="D19" s="754" t="s">
        <v>846</v>
      </c>
    </row>
    <row r="20" spans="1:4">
      <c r="A20" s="852">
        <v>1203</v>
      </c>
      <c r="B20" s="853">
        <v>41760</v>
      </c>
      <c r="C20" s="754">
        <v>5472</v>
      </c>
      <c r="D20" s="754" t="s">
        <v>845</v>
      </c>
    </row>
    <row r="21" spans="1:4">
      <c r="A21" s="852">
        <v>1203</v>
      </c>
      <c r="B21" s="853">
        <v>41760</v>
      </c>
      <c r="C21" s="754">
        <v>5471</v>
      </c>
      <c r="D21" s="754" t="s">
        <v>845</v>
      </c>
    </row>
    <row r="22" spans="1:4">
      <c r="A22" s="852">
        <v>1203</v>
      </c>
      <c r="B22" s="853">
        <v>41760</v>
      </c>
      <c r="C22" s="754">
        <v>5470</v>
      </c>
      <c r="D22" s="754" t="s">
        <v>845</v>
      </c>
    </row>
    <row r="23" spans="1:4">
      <c r="A23" s="852">
        <v>1203</v>
      </c>
      <c r="B23" s="853">
        <v>41729</v>
      </c>
      <c r="C23" s="754">
        <v>4224</v>
      </c>
      <c r="D23" s="754" t="s">
        <v>844</v>
      </c>
    </row>
    <row r="24" spans="1:4">
      <c r="A24" s="852">
        <v>2221</v>
      </c>
      <c r="B24" s="853">
        <v>43100</v>
      </c>
      <c r="C24" s="754">
        <v>4117</v>
      </c>
      <c r="D24" s="754" t="s">
        <v>1206</v>
      </c>
    </row>
    <row r="25" spans="1:4" ht="25.5">
      <c r="A25" s="852">
        <v>2221</v>
      </c>
      <c r="B25" s="853">
        <v>43100</v>
      </c>
      <c r="C25" s="754">
        <v>6572</v>
      </c>
      <c r="D25" s="856" t="s">
        <v>1207</v>
      </c>
    </row>
    <row r="26" spans="1:4">
      <c r="A26" s="852">
        <v>3127</v>
      </c>
      <c r="B26" s="853">
        <v>43465</v>
      </c>
      <c r="C26" s="754">
        <v>5626</v>
      </c>
      <c r="D26" s="856" t="s">
        <v>1208</v>
      </c>
    </row>
    <row r="27" spans="1:4">
      <c r="A27" s="852">
        <v>3127</v>
      </c>
      <c r="B27" s="853">
        <v>43063</v>
      </c>
      <c r="C27" s="754">
        <v>5628</v>
      </c>
      <c r="D27" s="856" t="s">
        <v>1209</v>
      </c>
    </row>
    <row r="28" spans="1:4">
      <c r="A28" s="852">
        <v>3127</v>
      </c>
      <c r="B28" s="853">
        <v>42781</v>
      </c>
      <c r="C28" s="754">
        <v>5627</v>
      </c>
      <c r="D28" s="856" t="s">
        <v>1210</v>
      </c>
    </row>
    <row r="29" spans="1:4" ht="25.5">
      <c r="A29" s="852">
        <v>3127</v>
      </c>
      <c r="B29" s="853">
        <v>43465</v>
      </c>
      <c r="C29" s="754">
        <v>6573</v>
      </c>
      <c r="D29" s="856" t="s">
        <v>1211</v>
      </c>
    </row>
    <row r="30" spans="1:4">
      <c r="A30" s="754"/>
      <c r="B30" s="754"/>
      <c r="C30" s="754"/>
      <c r="D30" s="754"/>
    </row>
    <row r="31" spans="1:4">
      <c r="A31" s="754"/>
      <c r="B31" s="754"/>
      <c r="C31" s="754"/>
      <c r="D31" s="754"/>
    </row>
    <row r="32" spans="1:4">
      <c r="A32" s="754"/>
      <c r="B32" s="754"/>
      <c r="C32" s="754"/>
      <c r="D32" s="754"/>
    </row>
    <row r="33" spans="1:4">
      <c r="A33" s="754"/>
      <c r="B33" s="754"/>
      <c r="C33" s="754"/>
      <c r="D33" s="754"/>
    </row>
    <row r="34" spans="1:4">
      <c r="A34" s="754"/>
      <c r="B34" s="754"/>
      <c r="C34" s="754"/>
      <c r="D34" s="754"/>
    </row>
    <row r="35" spans="1:4">
      <c r="A35" s="754"/>
      <c r="B35" s="754"/>
      <c r="C35" s="754"/>
      <c r="D35" s="754"/>
    </row>
    <row r="36" spans="1:4">
      <c r="A36" s="754"/>
      <c r="B36" s="754"/>
      <c r="C36" s="754"/>
      <c r="D36" s="754"/>
    </row>
    <row r="37" spans="1:4">
      <c r="A37" s="754"/>
      <c r="B37" s="754"/>
      <c r="C37" s="754"/>
      <c r="D37" s="754"/>
    </row>
    <row r="38" spans="1:4">
      <c r="A38" s="754"/>
      <c r="B38" s="754"/>
      <c r="C38" s="754"/>
      <c r="D38" s="754"/>
    </row>
    <row r="39" spans="1:4">
      <c r="A39" s="754"/>
      <c r="B39" s="754"/>
      <c r="C39" s="754"/>
      <c r="D39" s="754"/>
    </row>
  </sheetData>
  <phoneticPr fontId="13" type="noConversion"/>
  <pageMargins left="0.75" right="0.75" top="1" bottom="1" header="0.5" footer="0.5"/>
  <pageSetup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18</vt:i4>
      </vt:variant>
    </vt:vector>
  </HeadingPairs>
  <TitlesOfParts>
    <vt:vector size="49" baseType="lpstr">
      <vt:lpstr>Version Control</vt:lpstr>
      <vt:lpstr>Protocol Matrix </vt:lpstr>
      <vt:lpstr>Attachment O</vt:lpstr>
      <vt:lpstr>Attachment GG</vt:lpstr>
      <vt:lpstr>Attach GG Support Data </vt:lpstr>
      <vt:lpstr>Attachment GG Proj Description</vt:lpstr>
      <vt:lpstr>Attachment MM</vt:lpstr>
      <vt:lpstr>Attach MM Support Data </vt:lpstr>
      <vt:lpstr>Attachment MM Proj Description</vt:lpstr>
      <vt:lpstr>Cover</vt:lpstr>
      <vt:lpstr>Gross Plant</vt:lpstr>
      <vt:lpstr>Accum Deprec</vt:lpstr>
      <vt:lpstr>CWIP</vt:lpstr>
      <vt:lpstr>Adj to Rate Base</vt:lpstr>
      <vt:lpstr>ADIT Pro-Rate</vt:lpstr>
      <vt:lpstr>Prefunded AFUDC</vt:lpstr>
      <vt:lpstr>Land HFFU</vt:lpstr>
      <vt:lpstr>Working Capital</vt:lpstr>
      <vt:lpstr>O&amp;M</vt:lpstr>
      <vt:lpstr>A&amp;G</vt:lpstr>
      <vt:lpstr>Dep &amp; Amort Exp</vt:lpstr>
      <vt:lpstr>Taxes Other Than Income</vt:lpstr>
      <vt:lpstr>Support for Allocation Factors</vt:lpstr>
      <vt:lpstr>Capital Structure</vt:lpstr>
      <vt:lpstr>Rev Credits</vt:lpstr>
      <vt:lpstr>Revenue Cr MISO Review</vt:lpstr>
      <vt:lpstr>Prior Year True Up</vt:lpstr>
      <vt:lpstr>True Up Interest Calc </vt:lpstr>
      <vt:lpstr>Divisor </vt:lpstr>
      <vt:lpstr>Attachment GG and MM Proj</vt:lpstr>
      <vt:lpstr>Tax Rate Calc</vt:lpstr>
      <vt:lpstr>'Accum Deprec'!Print_Area</vt:lpstr>
      <vt:lpstr>'ADIT Pro-Rate'!Print_Area</vt:lpstr>
      <vt:lpstr>'Adj to Rate Base'!Print_Area</vt:lpstr>
      <vt:lpstr>'Attachment GG'!Print_Area</vt:lpstr>
      <vt:lpstr>'Attachment GG and MM Proj'!Print_Area</vt:lpstr>
      <vt:lpstr>'Attachment MM'!Print_Area</vt:lpstr>
      <vt:lpstr>'Attachment O'!Print_Area</vt:lpstr>
      <vt:lpstr>'Capital Structure'!Print_Area</vt:lpstr>
      <vt:lpstr>CWIP!Print_Area</vt:lpstr>
      <vt:lpstr>'Dep &amp; Amort Exp'!Print_Area</vt:lpstr>
      <vt:lpstr>'Divisor '!Print_Area</vt:lpstr>
      <vt:lpstr>'Gross Plant'!Print_Area</vt:lpstr>
      <vt:lpstr>'Land HFFU'!Print_Area</vt:lpstr>
      <vt:lpstr>'Prefunded AFUDC'!Print_Area</vt:lpstr>
      <vt:lpstr>'Revenue Cr MISO Review'!Print_Area</vt:lpstr>
      <vt:lpstr>'Support for Allocation Factors'!Print_Area</vt:lpstr>
      <vt:lpstr>'Taxes Other Than Income'!Print_Area</vt:lpstr>
      <vt:lpstr>'Working Capital'!Print_Area</vt:lpstr>
    </vt:vector>
  </TitlesOfParts>
  <Company>Xcel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Teekay</cp:lastModifiedBy>
  <cp:lastPrinted>2017-08-22T19:03:12Z</cp:lastPrinted>
  <dcterms:created xsi:type="dcterms:W3CDTF">2005-09-09T21:44:27Z</dcterms:created>
  <dcterms:modified xsi:type="dcterms:W3CDTF">2017-12-13T16:41:04Z</dcterms:modified>
</cp:coreProperties>
</file>