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Attachment O" sheetId="1" r:id="rId1"/>
    <sheet name="Attachment GG" sheetId="2" r:id="rId2"/>
    <sheet name="Attachment GG Support Data" sheetId="3" r:id="rId3"/>
    <sheet name="Attachment GG Project Desc" sheetId="4" r:id="rId4"/>
    <sheet name="Attachment MM" sheetId="5" r:id="rId5"/>
    <sheet name="Attachment MM Support Data" sheetId="6" r:id="rId6"/>
    <sheet name="Attachment MM Project Desc" sheetId="7" r:id="rId7"/>
  </sheets>
  <externalReferences>
    <externalReference r:id="rId10"/>
    <externalReference r:id="rId11"/>
  </externalReferences>
  <definedNames>
    <definedName name="CH_COS">#REF!</definedName>
    <definedName name="NSP_COS">#REF!</definedName>
    <definedName name="_xlnm.Print_Area" localSheetId="1">'Attachment GG'!$A$1:$N$111</definedName>
    <definedName name="_xlnm.Print_Area" localSheetId="4">'Attachment MM'!$A$1:$R$110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<sst xmlns="http://schemas.openxmlformats.org/spreadsheetml/2006/main" count="1099" uniqueCount="697">
  <si>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</si>
  <si>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</si>
  <si>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</si>
  <si>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</si>
  <si>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</si>
  <si>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</si>
  <si>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</si>
  <si>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</si>
  <si>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</si>
  <si>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</si>
  <si>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</si>
  <si>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</si>
  <si>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</si>
  <si>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</si>
  <si>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</si>
  <si>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</si>
  <si>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</si>
  <si>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</si>
  <si>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</si>
  <si>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</si>
  <si>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</si>
  <si>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</si>
  <si>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</si>
  <si>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</si>
  <si>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</si>
  <si>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</si>
  <si>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</si>
  <si>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</si>
  <si>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</si>
  <si>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</si>
  <si>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</si>
  <si>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</si>
  <si>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</si>
  <si>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</si>
  <si>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</si>
  <si>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</si>
  <si>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</si>
  <si>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</si>
  <si>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</si>
  <si>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</si>
  <si>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</si>
  <si>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</si>
  <si>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</si>
  <si>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</si>
  <si>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</si>
  <si>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</si>
  <si>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</si>
  <si>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</si>
  <si>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</si>
  <si>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</si>
  <si>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</si>
  <si>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</si>
  <si>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</si>
  <si>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</si>
  <si>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</si>
  <si>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</si>
  <si>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</si>
  <si>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</si>
  <si>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</si>
  <si>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</si>
  <si>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</si>
  <si>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</si>
  <si>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</si>
  <si>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</si>
  <si>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</si>
  <si>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</si>
  <si>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</si>
  <si>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</si>
  <si>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</si>
  <si>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</si>
  <si>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</si>
  <si>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</si>
  <si>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</si>
  <si>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</si>
  <si>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</si>
  <si>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</si>
  <si>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</si>
  <si>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</si>
  <si>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</si>
  <si>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</si>
  <si>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</si>
  <si>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</si>
  <si>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</si>
  <si>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</si>
  <si>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</si>
  <si>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The Network Upgrade Charge is the value to be used in Schedule 26.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</si>
  <si>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</si>
  <si>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</si>
  <si>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</si>
  <si>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</si>
  <si>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</si>
  <si>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</si>
  <si>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</si>
  <si>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</si>
  <si>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</si>
  <si>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</si>
  <si>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</si>
  <si>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</si>
  <si>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</si>
  <si>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</si>
  <si>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</si>
  <si>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</si>
  <si>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  <family val="0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</si>
  <si>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  <family val="0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</si>
  <si>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</si>
  <si>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</si>
  <si>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</si>
  <si>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t>Northern States Power Companies</t>
  </si>
  <si>
    <t>For  the 12 months ended 12/31/2013</t>
  </si>
  <si>
    <t>Yankee (Colvill) Gen Station</t>
  </si>
  <si>
    <t>Cannon Falls</t>
  </si>
  <si>
    <t>Nobles Gen Station</t>
  </si>
  <si>
    <t>St. Cloud / Sauk River</t>
  </si>
  <si>
    <t>G349  37774-01 Upgrades for G349</t>
  </si>
  <si>
    <t>Ulik Wind Farm (G185)</t>
  </si>
  <si>
    <t>G809 Network Upgrades</t>
  </si>
  <si>
    <t>G417 Network Upgrades</t>
  </si>
  <si>
    <t>1d</t>
  </si>
  <si>
    <t>1e</t>
  </si>
  <si>
    <t>1f</t>
  </si>
  <si>
    <t>1g</t>
  </si>
  <si>
    <t>1h</t>
  </si>
  <si>
    <t>1i</t>
  </si>
  <si>
    <t>1j</t>
  </si>
  <si>
    <t>1k</t>
  </si>
  <si>
    <t>1366</t>
  </si>
  <si>
    <t>1456</t>
  </si>
  <si>
    <t>1457</t>
  </si>
  <si>
    <t>1953</t>
  </si>
  <si>
    <t>279</t>
  </si>
  <si>
    <t>286</t>
  </si>
  <si>
    <t>1024</t>
  </si>
  <si>
    <t>1458</t>
  </si>
  <si>
    <t>2765</t>
  </si>
  <si>
    <t>2109</t>
  </si>
  <si>
    <t>2119</t>
  </si>
  <si>
    <t xml:space="preserve">Bemidji </t>
  </si>
  <si>
    <t xml:space="preserve">Twin Cities - Fargo </t>
  </si>
  <si>
    <t xml:space="preserve">Twin Cities - Rochester 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</si>
  <si>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</si>
  <si>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</si>
  <si>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</si>
  <si>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</si>
  <si>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</si>
  <si>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GIP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</si>
  <si>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</si>
  <si>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</si>
  <si>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</si>
  <si>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</si>
  <si>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</si>
  <si>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</si>
  <si>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</si>
  <si>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</si>
  <si>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</si>
  <si>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</si>
  <si>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</si>
  <si>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</si>
  <si>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</si>
  <si>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</si>
  <si>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</si>
  <si>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</si>
  <si>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</si>
  <si>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</si>
  <si>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</si>
  <si>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</si>
  <si>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</si>
  <si>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</si>
  <si>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</si>
  <si>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</si>
  <si>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</si>
  <si>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</si>
  <si>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NSP</t>
  </si>
  <si>
    <t>2013</t>
  </si>
  <si>
    <t>2178</t>
  </si>
  <si>
    <t>G362 Pleasant Valley - Byron</t>
  </si>
  <si>
    <t>2307</t>
  </si>
  <si>
    <t>1l</t>
  </si>
  <si>
    <t>1m</t>
  </si>
  <si>
    <t>1n</t>
  </si>
  <si>
    <t>St. Cloud Loop</t>
  </si>
  <si>
    <t>Glenco - West Waconia</t>
  </si>
  <si>
    <t>1285</t>
  </si>
  <si>
    <t>New sub with transformer relocated from Cannon Falls substation. Facility #2277</t>
  </si>
  <si>
    <t>Build in and out of the Colvill generating station from Cannon Falls - Empire 115 kV line. Facility #2280</t>
  </si>
  <si>
    <t>Build in and out of the Covill generating station from Cannon Falls - Spring Creek line/ Facility #2281</t>
  </si>
  <si>
    <t>50 MW 34.5 kV feeder and all associated equipment breaker positions owned by NSP. Facility 2490</t>
  </si>
  <si>
    <t>A new 120 MVA, 118-36.2 kV transformer, a 115 kV breaker, switches, and 34.5 kV breakers and switches and all other associated equipment. Facilicy #2491</t>
  </si>
  <si>
    <t>New 115 kV line plus permitting and ROW. Facilicty # 2303</t>
  </si>
  <si>
    <t>Substation upgrades. Facility # 2550</t>
  </si>
  <si>
    <t>Substation upgrades Facility # 2552</t>
  </si>
  <si>
    <t>345 kV substation upgrades. Facility # 2565</t>
  </si>
  <si>
    <t>Reconductor St. Cloud - Sauk River 115 kV line to 795 ACSS. Facility # 3834</t>
  </si>
  <si>
    <t>Add a new 230 kV line between Boswell and Wilton with a Cass Lake 230/115 kV Tap approximately 18 miles from Wilton. Facility # 1098</t>
  </si>
  <si>
    <t>Add a new 345 kV line from Alexandria Switching Station to Waite Park and terminal works. Facility # 1104</t>
  </si>
  <si>
    <t>Add a new 345 kV line from Maple River to Alexandria Switching Station substation and terminal works. Facility # 1105</t>
  </si>
  <si>
    <t>Add a new 345 kV line from Waite Park to Monticello substation and terminal works. Facility # 2640</t>
  </si>
  <si>
    <t>New transformer and terminal works. Facility # 2641</t>
  </si>
  <si>
    <t>New transformer and terminal works. Facility # 2976</t>
  </si>
  <si>
    <t>New transformer and terminal works. Facility # 1675</t>
  </si>
  <si>
    <t>New transformer and terminal works. Facility # 1676</t>
  </si>
  <si>
    <t>New line and termial works. Facility # 1677</t>
  </si>
  <si>
    <t>New line and termial works. Facility # 2647</t>
  </si>
  <si>
    <t>New 115 kV line plus permitting and ROW. Facility # 2299</t>
  </si>
  <si>
    <t>Substation upgrades (new 115/34.5 transformer, 8-115 kV CB, 4 -34.5 kV CB). Facility # 2553</t>
  </si>
  <si>
    <t>Substation upgrades (new 345/115 transformer,  3-115 kV CB, associated equip). Facility # 2554</t>
  </si>
  <si>
    <t>Substation upgrades 4-345 kV CB. Facility # 2566</t>
  </si>
  <si>
    <t>New 4.5 MW wind interconnection. Facility # 4792</t>
  </si>
  <si>
    <t>new 161 kV line from PV to Byron. Facility # 4021</t>
  </si>
  <si>
    <t>Convert double circuit 115 kV line from Benton Co to St. Cloud tap to bifurcated single circuit, build additional 4 miles of 115 kV line from St. Cloud tap to Mayhew Lake substation. Facility # 4225</t>
  </si>
  <si>
    <t>Convert 1 mile of double circuit from St. Cloud tap to Granite City to bifurcated single circuit Facility # 4226</t>
  </si>
  <si>
    <t>Upgrade line to 361 MVA. Facility # 4227</t>
  </si>
  <si>
    <t>Upgrade to 115 kV ring bus. Facility # 4228</t>
  </si>
  <si>
    <t>Build 18 miles 115 kV line from Glencoe - West Waconia. Facility # 2114</t>
  </si>
  <si>
    <t>A 69 kV switch structure (3-steel poles) on line 0716 with a 3-way manually operated disconnect switch and a 400' two-span tap transmission line to the customer’s proposed substation. Facility #2851</t>
  </si>
  <si>
    <t>Interconnect existing hydro generators at Flambeau Hydro Paper Mill to Xcel's 34.5 kV system, requires switch poles and gang operated air break switch. Facility #2825</t>
  </si>
  <si>
    <t>Facility ID</t>
  </si>
  <si>
    <t>Page 1 of 5</t>
  </si>
  <si>
    <t xml:space="preserve">Formula Rate - Non-Levelized </t>
  </si>
  <si>
    <t>For the 12 months ended 12/31/13</t>
  </si>
  <si>
    <t xml:space="preserve"> Utilizing FERC Form 1 Data</t>
  </si>
  <si>
    <t>Allocated</t>
  </si>
  <si>
    <t>Amount</t>
  </si>
  <si>
    <t>GROSS REVENUE REQUIREMENT  (page 3, line 31)</t>
  </si>
  <si>
    <t xml:space="preserve">REVENUE CREDITS </t>
  </si>
  <si>
    <t>(Note T)</t>
  </si>
  <si>
    <t>Total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</si>
  <si>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</si>
  <si>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</si>
  <si>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</si>
  <si>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</si>
  <si>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</si>
  <si>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</si>
  <si>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</si>
  <si>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 xml:space="preserve">Revenue </t>
  </si>
  <si>
    <t>TOTAL REVENUE CREDITS  (sum lines 2-5)</t>
  </si>
  <si>
    <t>In-Service</t>
  </si>
  <si>
    <t xml:space="preserve">Requirement </t>
  </si>
  <si>
    <t>Control Area</t>
  </si>
  <si>
    <t>Attach GG/MM</t>
  </si>
  <si>
    <t>Attach O</t>
  </si>
  <si>
    <t>Allocation</t>
  </si>
  <si>
    <t>6a</t>
  </si>
  <si>
    <t>Historic Year Actual ATRR</t>
  </si>
  <si>
    <t>GRE-NSP</t>
  </si>
  <si>
    <t>6b</t>
  </si>
  <si>
    <t>Projected ATRR from Prior Year</t>
  </si>
  <si>
    <t>Input from Prior Year</t>
  </si>
  <si>
    <t>NSP-NSP</t>
  </si>
  <si>
    <t>6c</t>
  </si>
  <si>
    <t>Prior Year ATRR True-Up</t>
  </si>
  <si>
    <t>(line 6a - line 6b)</t>
  </si>
  <si>
    <t>6d</t>
  </si>
  <si>
    <t>Prior Year Divisor True-Up</t>
  </si>
  <si>
    <t>(Note Z)</t>
  </si>
  <si>
    <t>6e</t>
  </si>
  <si>
    <t>Interest on Prior Year True-Up</t>
  </si>
  <si>
    <t>.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</si>
  <si>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</si>
  <si>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</si>
  <si>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</si>
  <si>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</t>
  </si>
  <si>
    <t>(Note A)</t>
  </si>
  <si>
    <t>Net plant in GRE</t>
  </si>
  <si>
    <t>gross plant in GRE</t>
  </si>
  <si>
    <t xml:space="preserve">  Plus 12 CP of firm bundled sales over one year not in line 8</t>
  </si>
  <si>
    <t>(Note B)</t>
  </si>
  <si>
    <t>% of gross plant in GRE</t>
  </si>
  <si>
    <t xml:space="preserve">  Plus 12 CP of Network Load not in line 8</t>
  </si>
  <si>
    <t>GRE load in Divisor</t>
  </si>
  <si>
    <t xml:space="preserve">  Less 12 CP of firm P-T-P over one year (enter negative)</t>
  </si>
  <si>
    <t>RR</t>
  </si>
  <si>
    <t>Divisor</t>
  </si>
  <si>
    <t xml:space="preserve">  Plus Contract Demand of firm P-T-P over one year</t>
  </si>
  <si>
    <t xml:space="preserve">  Less Contract Demand from Grandfathered Interzonal Transactions over one year (enter negative) 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</si>
  <si>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</si>
  <si>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</si>
  <si>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</si>
  <si>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</si>
  <si>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</si>
  <si>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</si>
  <si>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</si>
  <si>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</si>
  <si>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</si>
  <si>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</si>
  <si>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</si>
  <si>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</si>
  <si>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</si>
  <si>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</si>
  <si>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</t>
  </si>
  <si>
    <t>Capped at weekly</t>
  </si>
  <si>
    <t xml:space="preserve"> times 1,000)</t>
  </si>
  <si>
    <t xml:space="preserve"> and daily rates</t>
  </si>
  <si>
    <t>FERC Annual Charge ($/MWh)</t>
  </si>
  <si>
    <t>Short Term</t>
  </si>
  <si>
    <t>Long Term</t>
  </si>
  <si>
    <t>Page 2 of 5</t>
  </si>
  <si>
    <t>(5)</t>
  </si>
  <si>
    <t>Form No. 1</t>
  </si>
  <si>
    <t>Minnesota</t>
  </si>
  <si>
    <t>Wisconsin</t>
  </si>
  <si>
    <t>Company Total</t>
  </si>
  <si>
    <t xml:space="preserve">                  Allocator</t>
  </si>
  <si>
    <t>(Col 3 times Col 4)</t>
  </si>
  <si>
    <t>RATE BASE:</t>
  </si>
  <si>
    <t>GROSS PLANT IN SERVICE  (Note X, Note EE)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</si>
  <si>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</si>
  <si>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</si>
  <si>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</si>
  <si>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</si>
  <si>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</si>
  <si>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</si>
  <si>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</si>
  <si>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</si>
  <si>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</si>
  <si>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</si>
  <si>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</si>
  <si>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</si>
  <si>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</si>
  <si>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 (sum lines 1-5)</t>
  </si>
  <si>
    <t>GP=</t>
  </si>
  <si>
    <t>ACCUMULATED DEPRECIATION  (Note X, Note EE)</t>
  </si>
  <si>
    <t>219.20-24.c</t>
  </si>
  <si>
    <t>219.25.c</t>
  </si>
  <si>
    <t>219.26.c</t>
  </si>
  <si>
    <t>219.28.c &amp; 200.21.c</t>
  </si>
  <si>
    <t>TOTAL ACCUM. DEPRECIATION  (sum lines 7-11)</t>
  </si>
  <si>
    <t>NET PLANT IN SERVICE  (Note X)</t>
  </si>
  <si>
    <t>(line 1- line 7)</t>
  </si>
  <si>
    <t>(line 2 - line 8)</t>
  </si>
  <si>
    <t>(line 3 - line 9)</t>
  </si>
  <si>
    <t>(line 4 - line 10)</t>
  </si>
  <si>
    <t>(line 5 - line 11)</t>
  </si>
  <si>
    <t>TOTAL NET PLANT  (sum lines 13-17)</t>
  </si>
  <si>
    <t>NP=</t>
  </si>
  <si>
    <t>18a</t>
  </si>
  <si>
    <t>CWIP for Certificate of Need Projects   (Note X)</t>
  </si>
  <si>
    <t>216.b</t>
  </si>
  <si>
    <t xml:space="preserve">ADJUSTMENTS TO RATE BASE       </t>
  </si>
  <si>
    <t xml:space="preserve">  Account No. 281 (enter negative)  (Note F,  Note Y)</t>
  </si>
  <si>
    <t>273.8.k</t>
  </si>
  <si>
    <t>zero</t>
  </si>
  <si>
    <t xml:space="preserve">  Account No. 282 (enter negative)  (Note F,  Note Y)</t>
  </si>
  <si>
    <t>275.2.k</t>
  </si>
  <si>
    <t>NP</t>
  </si>
  <si>
    <t xml:space="preserve">  Account No. 283 (enter negative)  (Note F,  Note Y)</t>
  </si>
  <si>
    <t>277.9.k</t>
  </si>
  <si>
    <t xml:space="preserve">  Account No. 190                            (Note F,  Note Y) </t>
  </si>
  <si>
    <t>234.8.c</t>
  </si>
  <si>
    <t xml:space="preserve">  Account No. 255 (enter negative)  (Note F,  Note Y)</t>
  </si>
  <si>
    <t>267.8.h</t>
  </si>
  <si>
    <t>23a</t>
  </si>
  <si>
    <t xml:space="preserve">  Net Prefunded AFUDC on CWIP Included in Rate Base</t>
  </si>
  <si>
    <t>(Note W, Note X)</t>
  </si>
  <si>
    <t>23b</t>
  </si>
  <si>
    <t xml:space="preserve">  Unamortized Balance of Abandoned Plant</t>
  </si>
  <si>
    <t>TOTAL ADJUSTMENTS  (sum lines 19- 23b)</t>
  </si>
  <si>
    <t xml:space="preserve">LAND HELD FOR FUTURE USE  (Note Y)         </t>
  </si>
  <si>
    <t>214.x.d  (Note G)</t>
  </si>
  <si>
    <t>WORKING CAPITAL  (Note H)</t>
  </si>
  <si>
    <t xml:space="preserve">  CWC  </t>
  </si>
  <si>
    <t>calculated</t>
  </si>
  <si>
    <t xml:space="preserve">  Materials &amp; Supplies  (Note G, Note Y)               </t>
  </si>
  <si>
    <t>227.8.c &amp; .16.c</t>
  </si>
  <si>
    <t>TE</t>
  </si>
  <si>
    <t xml:space="preserve">  Prepayments  (Account 165, Note Y)                  </t>
  </si>
  <si>
    <t>111.57.c</t>
  </si>
  <si>
    <t>GP</t>
  </si>
  <si>
    <t>TOTAL WORKING CAPITAL  (sum lines 26 - 28)</t>
  </si>
  <si>
    <t>RATE BASE  (sum lines 18, 18a, 24, 25, &amp; 29)</t>
  </si>
  <si>
    <t>Page 3 of 5</t>
  </si>
  <si>
    <t>O&amp;M  (Note FF)</t>
  </si>
  <si>
    <t xml:space="preserve">  Transmission </t>
  </si>
  <si>
    <t>321.112.b</t>
  </si>
  <si>
    <t xml:space="preserve">     Less LSE Expenses included in Transmission O&amp;M Accounts 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</si>
  <si>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</si>
  <si>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</si>
  <si>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</si>
  <si>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</si>
  <si>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</si>
  <si>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 (Note I)</t>
  </si>
  <si>
    <t>5a</t>
  </si>
  <si>
    <t xml:space="preserve">     Plus Transmission Related Reg. Comm.  Exp.  (Note I)</t>
  </si>
  <si>
    <t>Based off historic</t>
  </si>
  <si>
    <t xml:space="preserve">  Transmission Lease Payments</t>
  </si>
  <si>
    <t>TOTAL O&amp;M  (sum lines 1, 3, 5a, 6, 7 less lines 1a, 2, 4, 5)</t>
  </si>
  <si>
    <t>DEPRECIATION AND AMORTIZATION EXPENSE (Note EE)</t>
  </si>
  <si>
    <t>336.7.b</t>
  </si>
  <si>
    <t>9a</t>
  </si>
  <si>
    <t xml:space="preserve">  Prefunded AFUDC Amortization</t>
  </si>
  <si>
    <t>(Note W)</t>
  </si>
  <si>
    <t>9b</t>
  </si>
  <si>
    <t xml:space="preserve">  Abandoned Plant Amortization</t>
  </si>
  <si>
    <t>336.10.f &amp; 336.1.f</t>
  </si>
  <si>
    <t xml:space="preserve">  Common &amp; Intangible</t>
  </si>
  <si>
    <t>336.11.b &amp; d</t>
  </si>
  <si>
    <t>TOTAL DEPRECIATION 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</si>
  <si>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</si>
  <si>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</si>
  <si>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</si>
  <si>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</si>
  <si>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</si>
  <si>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</si>
  <si>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</si>
  <si>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</si>
  <si>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</si>
  <si>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</si>
  <si>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</si>
  <si>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INCOME TAXES          </t>
  </si>
  <si>
    <t>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</si>
  <si>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</si>
  <si>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</si>
  <si>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</si>
  <si>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</si>
  <si>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</si>
  <si>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</si>
  <si>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</si>
  <si>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 (line 23 * line 24)</t>
  </si>
  <si>
    <t>(line 25 plus line 26)</t>
  </si>
  <si>
    <t xml:space="preserve">  [Rate Base (page 2, line 30) * Rate of Return (page 4, line 30)]</t>
  </si>
  <si>
    <t>REV. REQUIREMENT  (sum lines 8, 12, 20, 27, 28)</t>
  </si>
  <si>
    <t>LESS ATTACHMENT GG ADJUSTMENT [Attachment GG, page 2, line 3, column 10]  (Note AA)</t>
  </si>
  <si>
    <t xml:space="preserve">[revenue requirement for facilities included on page 2, line 2, and also included </t>
  </si>
  <si>
    <t>in Attachment GG]</t>
  </si>
  <si>
    <t>30a</t>
  </si>
  <si>
    <t>LESS ATTACHMENT MM ADJUSTMENT [Attachment MM, page 2, line 3, column 10]  (Note CC)</t>
  </si>
  <si>
    <t>in Attachment MM]</t>
  </si>
  <si>
    <t>REV. REQUIREMENT TO BE COLLECTED UNDER ATTACHMENT O</t>
  </si>
  <si>
    <t>(line 29 - line 30 - line 30a)</t>
  </si>
  <si>
    <t>Page 4 of 5</t>
  </si>
  <si>
    <t xml:space="preserve">                SUPPORTING CALCULATIONS AND NOTES</t>
  </si>
  <si>
    <t>TRANSMISSION PLANT INCLUDED IN ISO RATES</t>
  </si>
  <si>
    <t>Total transmission plant  (page 2, line 2 - line 2a, column 3)</t>
  </si>
  <si>
    <t>Less transmission plant excluded from ISO rates  (Note M)</t>
  </si>
  <si>
    <t>Less transmission plant included in OATT Ancillary Services  (Note N )</t>
  </si>
  <si>
    <t>Transmission plant included in ISO rates  (line 1 less lines 2 &amp; 3)</t>
  </si>
  <si>
    <t>Percentage of transmission plant included in ISO Rates  (line 4 divided by line 1)</t>
  </si>
  <si>
    <t>TP=</t>
  </si>
  <si>
    <t xml:space="preserve">TRANSMISSION EXPENSES </t>
  </si>
  <si>
    <t>Schedule 1 Recoverable Expenses</t>
  </si>
  <si>
    <t>Total transmission expenses  (page 3, line 1, column 3)</t>
  </si>
  <si>
    <t>Less transmission expenses included in OATT Ancillary Services  (Note L)</t>
  </si>
  <si>
    <t>Acct 561 included in Line 7</t>
  </si>
  <si>
    <t>Included transmission expenses  (line 6 less line 7)</t>
  </si>
  <si>
    <t>Acct 561.BA for Schedule 24</t>
  </si>
  <si>
    <t>Acct 561 available for Schedule 1</t>
  </si>
  <si>
    <t>Percentage of transmission expenses after adjustment  (line 8 divided by line 6)</t>
  </si>
  <si>
    <t>Revenue Credits for Sched 1/Acct 561</t>
  </si>
  <si>
    <t>Percentage of transmission plant included in ISO Rates  (line 5)</t>
  </si>
  <si>
    <t>transactions &lt;1 yr</t>
  </si>
  <si>
    <t>Percentage of transmission expenses included in ISO Rates 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</si>
  <si>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</si>
  <si>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</si>
  <si>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</si>
  <si>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</si>
  <si>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</si>
  <si>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</si>
  <si>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</si>
  <si>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Net Schedule 1 Expenses (Acct 561 minus Credits)</t>
  </si>
  <si>
    <t>354.20.b</t>
  </si>
  <si>
    <t>354.21.b</t>
  </si>
  <si>
    <t>354.23.b</t>
  </si>
  <si>
    <t>W&amp;S Allocator</t>
  </si>
  <si>
    <t xml:space="preserve">  Other</t>
  </si>
  <si>
    <t>354.24, 25, 26.b</t>
  </si>
  <si>
    <t>($ / Allocation)</t>
  </si>
  <si>
    <t xml:space="preserve">  Total  (sum lines 12-15)</t>
  </si>
  <si>
    <t>=</t>
  </si>
  <si>
    <t>=WS</t>
  </si>
  <si>
    <t>COMMON PLANT ALLOCATOR  (CE)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</si>
  <si>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</si>
  <si>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</si>
  <si>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</si>
  <si>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</si>
  <si>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</si>
  <si>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</si>
  <si>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</si>
  <si>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</si>
  <si>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</si>
  <si>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</si>
  <si>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(sum lines 17 - 19)</t>
  </si>
  <si>
    <t>RETURN (R)</t>
  </si>
  <si>
    <t>Long Term Interest  (117, sum of 62.c through 67.c)</t>
  </si>
  <si>
    <t>Preferred Dividends (118.29c) (positive number)</t>
  </si>
  <si>
    <t xml:space="preserve">                                          Development of Common Stock:</t>
  </si>
  <si>
    <t>Proprietary Capital  (112.16.c)</t>
  </si>
  <si>
    <t xml:space="preserve">Less Preferred Stock (line 28) </t>
  </si>
  <si>
    <t>Less Account 216.1 (112.12.c)  (enter negative)</t>
  </si>
  <si>
    <t>Common Stock</t>
  </si>
  <si>
    <t>(sum lines 23-25)</t>
  </si>
  <si>
    <t>Cost</t>
  </si>
  <si>
    <t>%</t>
  </si>
  <si>
    <t>(Note P)</t>
  </si>
  <si>
    <t>Weighted</t>
  </si>
  <si>
    <t xml:space="preserve">  Long Term Debt  (112, sum of  18.c through 21.c)</t>
  </si>
  <si>
    <t>=WCLTD</t>
  </si>
  <si>
    <t xml:space="preserve">  Preferred Stock  (112.3.c)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</si>
  <si>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</si>
  <si>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</si>
  <si>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</si>
  <si>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</si>
  <si>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</si>
  <si>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</si>
  <si>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</si>
  <si>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</si>
  <si>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 (311.x.h)</t>
  </si>
  <si>
    <t xml:space="preserve">  b. Bundled Sales for Resale  included in Divisor on page 1</t>
  </si>
  <si>
    <t xml:space="preserve">  Total of (a)-(b)</t>
  </si>
  <si>
    <t>NOT USED ANYWHERE</t>
  </si>
  <si>
    <t>ACCOUNT 454 (RENT FROM ELECTRIC PROPERTY)  (Note R)</t>
  </si>
  <si>
    <t>DAVE GROVER # USED ON PAGE 1</t>
  </si>
  <si>
    <t>ACCOUNT 456.1 (OTHER ELECTRIC REVENUES) 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</si>
  <si>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</si>
  <si>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</si>
  <si>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</si>
  <si>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</si>
  <si>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associated with Schedules 26 and 37  (Note BB)</t>
  </si>
  <si>
    <t>36b</t>
  </si>
  <si>
    <t xml:space="preserve">  d. Transmission charges associated with Schedule 26-A  (Note DD)</t>
  </si>
  <si>
    <t>Total of (a)-(b)-(c)-(d)</t>
  </si>
  <si>
    <t>Page 5 of 5</t>
  </si>
  <si>
    <t>General Note:  References to pages in this formulary rate are indicated as:  (page#, line#, col.#)</t>
  </si>
  <si>
    <t>References to data from FERC Form 1 are indicated as:   #.y.x  (page, line, column)</t>
  </si>
  <si>
    <t>As reported on page 400, column e of Form 1.</t>
  </si>
  <si>
    <t>Labeled LF, LU, IF, IU on pages 310-311 of Form 1.</t>
  </si>
  <si>
    <t>As reported on page 400, column f of Form 1.</t>
  </si>
  <si>
    <t>Labeled LF on page 328 of Form 1.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</si>
  <si>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</si>
  <si>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or liabilities related to FASB 106 or 109.  </t>
  </si>
  <si>
    <t xml:space="preserve">Balance of Account 255 is reduced by prior flow throughs and excluded if the utility chose to utilize amortization of tax credits against taxable income as discussed in Note K. </t>
  </si>
  <si>
    <t>Account 281 is not allocated.</t>
  </si>
  <si>
    <t>Identified in Form 1 as being only transmission related.</t>
  </si>
  <si>
    <t xml:space="preserve">Cash Working Capital assigned to transmission is one-eighth of O&amp;M allocated to transmission at page 3, line 8, column 5.  Prepayments are the electric related </t>
  </si>
  <si>
    <t>prepayments booked to Account No. 165 and reported on Page 111, line 57 in the Form 1.</t>
  </si>
  <si>
    <t>I</t>
  </si>
  <si>
    <t xml:space="preserve">Line 5 - EPRI Annual Membership Dues listed in Form 1 at 353.f, all Regulatory Commission Expenses itemized at 351.h, and non-safety related advertising included in </t>
  </si>
  <si>
    <t xml:space="preserve">Account 930.1.  Line 5a - Regulatory Commission Expenses directly related to transmission service, ISO filings, or transmission siting itemized at 351.h. </t>
  </si>
  <si>
    <t>J</t>
  </si>
  <si>
    <t>Includes only FICA, unemployment, highway, property, gross receipts, and other assessments charged in the current year.  Taxes related to income are excluded.  Gross</t>
  </si>
  <si>
    <t>receipts taxes are not included in transmission revenue requirement in the Rate Formula Template, since they are recovered elsewhere.</t>
  </si>
  <si>
    <t>K</t>
  </si>
  <si>
    <t xml:space="preserve">The currently effective income tax rate,  where FIT is the Federal income tax rate; SIT is the State income tax rate, and p = "the percentage of federal income tax </t>
  </si>
  <si>
    <t xml:space="preserve">deductible for state income taxes".  If the utility is taxed in more than one state it must attach a work paper showing the name of each state and how the blended or </t>
  </si>
  <si>
    <t xml:space="preserve">composite SIT was developed.  Furthermore, a utility that elected to utilize amortization of tax credits against taxable income, rather than book tax credits to Account No. 255 </t>
  </si>
  <si>
    <t>and reduce rate base, must reduce its income tax expense by the amount of the Amortized Investment Tax Credit (Form 1, 266.8.f)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</si>
  <si>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</si>
  <si>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</si>
  <si>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</si>
  <si>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</si>
  <si>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</si>
  <si>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</si>
  <si>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</si>
  <si>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</si>
  <si>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</si>
  <si>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 balances are adjusted to reflect</t>
  </si>
  <si>
    <t>application of seven-factor test).</t>
  </si>
  <si>
    <t>N</t>
  </si>
  <si>
    <r>
      <t xml:space="preserve">Removes dollar amount of transmission plant included in the development of OATT ancillary services rates and generation step-up facilities, which are deemed </t>
    </r>
    <r>
      <rPr>
        <sz val="12"/>
        <rFont val="Times New Roman"/>
        <family val="1"/>
      </rPr>
      <t>included</t>
    </r>
  </si>
  <si>
    <t xml:space="preserve">in OATT ancillary services.  For these purposes, generation step-up facilities are those facilities at a generator substation on which there is no through-flow when the </t>
  </si>
  <si>
    <t>generator is shut down.</t>
  </si>
  <si>
    <t>O</t>
  </si>
  <si>
    <t>Enter dollar amounts</t>
  </si>
  <si>
    <t>P</t>
  </si>
  <si>
    <t xml:space="preserve">Debt cost rate = long-term interest (line 21) / long term debt (line 27).  Preferred cost rate = preferred dividends (line 22) / preferred outstanding (line 28).  ROE will </t>
  </si>
  <si>
    <t>be supported in the original filing and no change in ROE may be made absent a filing with FERC.</t>
  </si>
  <si>
    <t>Q</t>
  </si>
  <si>
    <t>Line 33 must equal zero since all short-term power sales must be unbundled and the transmission component reflected in Account No. 456.1 and all other uses are to be</t>
  </si>
  <si>
    <t>included in the divisor.</t>
  </si>
  <si>
    <t>R</t>
  </si>
  <si>
    <t>Includes income related only to transmission facilities, such as pole attachments, rentals and special use.</t>
  </si>
  <si>
    <t>S</t>
  </si>
  <si>
    <r>
      <t>Grandfathered agreements whose rates have been changed to eliminate or mitigate pancaking - the revenues are included in line 4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page 1 and the loads are included </t>
    </r>
  </si>
  <si>
    <r>
      <t xml:space="preserve">in 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pancaking - the revenues are not included in line 4, page 1 nor</t>
    </r>
  </si>
  <si>
    <t>are the loads included in line 13, page 1.</t>
  </si>
  <si>
    <t>T</t>
  </si>
  <si>
    <r>
      <t>The revenues credited on page 1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lines 2-5 shall include only the amounts received directly (in the case of grandfathered agreements) or from the ISO (for service </t>
    </r>
  </si>
  <si>
    <t>under this tariff) reflecting the Transmission Owner's integrated transmission facilities.  They do not include revenues associated with FERC annual charges, gross receipts</t>
  </si>
  <si>
    <t>taxes, ancillary services, facilities not included in this template (e.g., direct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</si>
  <si>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</si>
  <si>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</si>
  <si>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</si>
  <si>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</si>
  <si>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</si>
  <si>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Page 2, Line 23a includes the net pre-funded AFUDC amount associated with the CWIP projects included in rate base. The net pre-funded AFUDC amount is a total</t>
  </si>
  <si>
    <t xml:space="preserve">NSP System number (not jurisdictionalized), and is a reduction to rate base.  Page 3, line 9a includes that annual ammortization of the pre-funded AFUDC amounts for  </t>
  </si>
  <si>
    <t>the total NSP System (also not jurisdictionalized) and is a reduction to standard depreciation.</t>
  </si>
  <si>
    <t>Page 2, line 23b incudes any unamortized balances related to the recovery of abandoned plant costs approved by FERC under a separate docket.</t>
  </si>
  <si>
    <t>Page 3, line 9b includes the amoritization expense of abandonment costs included in transmission depreciation expense.</t>
  </si>
  <si>
    <t>These amounts are shown in the workpapers required pursuant to the Annual Rate Calculation and True-Up Procedures.</t>
  </si>
  <si>
    <t>X</t>
  </si>
  <si>
    <t>Calculate using 13 month average balance, reconciling to FERC Form No. 1 by page, line and column as shown in Column 2.</t>
  </si>
  <si>
    <t>Y</t>
  </si>
  <si>
    <t>Calculate using 13 month average balances for plant related and average of beginning of year and end of year for non-plant related adjustments to rate base, reconciling</t>
  </si>
  <si>
    <t>to FERC Form No. 1 by page, line and column as shown in Column 2.</t>
  </si>
  <si>
    <t>Z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</si>
  <si>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</si>
  <si>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</si>
  <si>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</si>
  <si>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</si>
  <si>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Projected Year Divisor</t>
  </si>
  <si>
    <t>Prior Year Projected Annual Cost ($ per kw per yr.)</t>
  </si>
  <si>
    <t>Pg 1, Line 16</t>
  </si>
  <si>
    <t>Projected Year Divisor True-up (Difference * Prior Year Projected Annual Cost)</t>
  </si>
  <si>
    <t>AA</t>
  </si>
  <si>
    <t xml:space="preserve">Pursuant to Attachment GG of the Midwest ISO Tariff, removes dollar amount of revenue requirements calculated pursuant to Attachment GG and recovered under </t>
  </si>
  <si>
    <t xml:space="preserve">Schedule 26 of the Midwest ISO Tariff.   </t>
  </si>
  <si>
    <t>BB</t>
  </si>
  <si>
    <t xml:space="preserve">Removes from revenue credits revenues that are distributed pursuant to Schedules 26 and 37 of the Midwest ISO Tariff, since the Transmission Owner's Attachment O </t>
  </si>
  <si>
    <t>revenue requirements have already been reduced by the Attachment GG revenue requirements.</t>
  </si>
  <si>
    <t>CC</t>
  </si>
  <si>
    <t xml:space="preserve">Pursuant to Attachment MM of the Midwest ISO Tariff, removes dollar amount of revenue requirements calculated pursuant to Attachment MM and recovered under </t>
  </si>
  <si>
    <t xml:space="preserve">Schedule 26-A of the Midwest ISO Tariff.   </t>
  </si>
  <si>
    <t>DD</t>
  </si>
  <si>
    <t xml:space="preserve">Removes from revenue credits revenues that are distributed pursuant to Schedule 26-A of the Midwest ISO Tariff, since the Transmission Owner's Attachment O </t>
  </si>
  <si>
    <t>revenue requirements have already been reduced by the Attachment MM revenue requirements.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</si>
  <si>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</si>
  <si>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</si>
  <si>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</si>
  <si>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 dnot be included in O&amp;M recovered under this Attachment O.</t>
  </si>
  <si>
    <t>Attachment MM</t>
  </si>
  <si>
    <t>(inputs from Attachment O are rounded to whole dollars)</t>
  </si>
  <si>
    <t>Transmission Accumulated Depreciation</t>
  </si>
  <si>
    <t>Attach O, p 2, line 8 col 5 (Note A)</t>
  </si>
  <si>
    <t>Line 1 minus Line 1a (Note B)</t>
  </si>
  <si>
    <t>O&amp;M TRANSMISSION EXPENSE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</si>
  <si>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</si>
  <si>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</si>
  <si>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</si>
  <si>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</si>
  <si>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</si>
  <si>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</si>
  <si>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</si>
  <si>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</si>
  <si>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</si>
  <si>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</si>
  <si>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</si>
  <si>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</si>
  <si>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</si>
  <si>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</si>
  <si>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</si>
  <si>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</si>
  <si>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</si>
  <si>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</si>
  <si>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</si>
  <si>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</si>
  <si>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</si>
  <si>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Annual Allocation Factor for Other Expense</t>
  </si>
  <si>
    <t>Sum of line 4b, 6, and 8</t>
  </si>
  <si>
    <t>Multi-Value Project (MVP) Revenue Requirement Calculation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</si>
  <si>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</si>
  <si>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</si>
  <si>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</si>
  <si>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</si>
  <si>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</si>
  <si>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</si>
  <si>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</si>
  <si>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</si>
  <si>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</si>
  <si>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</si>
  <si>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</si>
  <si>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</si>
  <si>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</si>
  <si>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</si>
  <si>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</si>
  <si>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</si>
  <si>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</si>
  <si>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MVP Annual Adjusted Revenue Requirement</t>
  </si>
  <si>
    <t>Page 1 line 4</t>
  </si>
  <si>
    <t>(Col 4 * Col 5)</t>
  </si>
  <si>
    <t>Page 1 line 9</t>
  </si>
  <si>
    <t>(Col 3 * Col 7)</t>
  </si>
  <si>
    <t>(Col 6 + Col 8)</t>
  </si>
  <si>
    <t>(Col 3 - Col 4)</t>
  </si>
  <si>
    <t>(Col 10 * Col 11)</t>
  </si>
  <si>
    <t>(Sum Col. 9, 12 &amp; 13)</t>
  </si>
  <si>
    <t>Sum Col. 14 &amp; 15
(Note G)</t>
  </si>
  <si>
    <t>Multi-Value Projects (MVP)</t>
  </si>
  <si>
    <t>Brookings</t>
  </si>
  <si>
    <t>MVP Total Annual Revenue Requirements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</si>
  <si>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</si>
  <si>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Transmission Accumulated Depreciation comports with this Note A and Note B below.  References to Attachment O "Column 5" throughout this template is an illustrative column designation intended to reference the appropriate right-most column in Attachment O which position may vary by company.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</si>
  <si>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  <family val="0"/>
      </rPr>
      <t>.</t>
    </r>
  </si>
  <si>
    <t>Project Gross Plant is the total capital investment for the project calculated in the same method as the gross plant value in line 1 and includes CWIP in rate base when authorized by FERC order less any prefunded AFUDC, if applicable.  This value includes subsequent</t>
  </si>
  <si>
    <t>subsequent capital investments required to maintain the facilities to their original capabilities.</t>
  </si>
  <si>
    <t>Note deliberately left blank.</t>
  </si>
  <si>
    <t>True-Up Adjustment is included pursuant to a FERC approved methodology if applicable.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</si>
  <si>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</si>
  <si>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</si>
  <si>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Attachment MM - Supporting Data for Network Upgrade Charge Calculation - Forward Looking Rate Transmission Owner</t>
  </si>
  <si>
    <t>1203</t>
  </si>
  <si>
    <t>Column (4)</t>
  </si>
  <si>
    <t>Column (10)</t>
  </si>
  <si>
    <t>Column (13)</t>
  </si>
  <si>
    <t>Attachment MM - Description of Facilities Included in Network Upgrade Charge</t>
  </si>
  <si>
    <t>Upgrade 47 MVA to 70 MVA</t>
  </si>
  <si>
    <t>Upgrade to 2-795 ACSR</t>
  </si>
  <si>
    <t>Upgrade to 477 ACSR</t>
  </si>
  <si>
    <t xml:space="preserve">% of net plant in GRE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</si>
</sst>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&quot;$&quot;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00%"/>
    <numFmt numFmtId="177" formatCode="0.00000%"/>
    <numFmt numFmtId="178" formatCode="_(* #,##0_);_(* \(#,##0\);_(* &quot;-&quot;??_);_(@_)"/>
    <numFmt numFmtId="179" formatCode="#,##0.000"/>
    <numFmt numFmtId="180" formatCode="&quot;$&quot;#,##0.000"/>
    <numFmt numFmtId="181" formatCode="#,##0.0"/>
    <numFmt numFmtId="182" formatCode="0.0000"/>
    <numFmt numFmtId="183" formatCode="#,##0.0000"/>
    <numFmt numFmtId="184" formatCode="m/d/yyyy;@"/>
  </numFmts>
  <fonts count="59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  <family val="0"/>
    </font>
    <font>
      <b/>
      <sz val="12"/>
      <name val="Arial"/>
      <family val="2"/>
    </font>
    <font>
      <b/>
      <sz val="12"/>
      <name val="Arial MT"/>
      <family val="0"/>
    </font>
    <font>
      <sz val="12"/>
      <color indexed="10"/>
      <name val="Arial"/>
      <family val="2"/>
    </font>
    <font>
      <sz val="10"/>
      <name val="Arial MT"/>
      <family val="0"/>
    </font>
    <font>
      <b/>
      <u val="single"/>
      <sz val="12"/>
      <name val="Arial MT"/>
      <family val="0"/>
    </font>
    <font>
      <sz val="12"/>
      <color indexed="10"/>
      <name val="Arial MT"/>
      <family val="0"/>
    </font>
    <font>
      <sz val="12"/>
      <name val="Times New Roman"/>
      <family val="1"/>
    </font>
    <font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  <family val="0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color indexed="9"/>
      <name val="Arial"/>
      <family val="2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 MT"/>
      <family val="0"/>
    </font>
    <font>
      <b/>
      <sz val="12"/>
      <name val="Times New Roman"/>
      <family val="1"/>
    </font>
    <font>
      <strike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9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0"/>
      <color indexed="9"/>
      <name val="Arial MT"/>
      <family val="0"/>
    </font>
    <font>
      <sz val="10"/>
      <color indexed="9"/>
      <name val="Arial"/>
      <family val="2"/>
    </font>
    <font>
      <sz val="12"/>
      <color indexed="9"/>
      <name val="Arial MT"/>
      <family val="0"/>
    </font>
    <font>
      <b/>
      <sz val="10"/>
      <name val="Arial MT"/>
      <family val="0"/>
    </font>
    <font>
      <sz val="10"/>
      <color indexed="4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 style="double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/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 style="thin"/>
      <top style="thin"/>
      <bottom/>
    </border>
  </borders>
  <cellStyleXfs count="70">
    <xf numFmtId="167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167" fontId="0" fillId="0" borderId="0" applyProtection="0">
      <alignment/>
    </xf>
    <xf numFmtId="0" fontId="6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6">
    <xf numFmtId="167" fontId="0" fillId="0" borderId="0" xfId="0" applyAlignment="1">
      <alignment/>
    </xf>
    <xf numFmtId="3" fontId="21" fillId="0" borderId="0" xfId="0" applyNumberFormat="1" applyFont="1" applyFill="1" applyBorder="1" applyAlignment="1">
      <alignment/>
    </xf>
    <xf numFmtId="167" fontId="0" fillId="0" borderId="0" xfId="0" applyFill="1" applyBorder="1" applyAlignment="1">
      <alignment/>
    </xf>
    <xf numFmtId="167" fontId="0" fillId="0" borderId="0" xfId="0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3" fontId="21" fillId="22" borderId="0" xfId="0" applyNumberFormat="1" applyFont="1" applyFill="1" applyBorder="1" applyAlignment="1">
      <alignment/>
    </xf>
    <xf numFmtId="41" fontId="21" fillId="22" borderId="0" xfId="0" applyNumberFormat="1" applyFont="1" applyFill="1" applyBorder="1" applyAlignment="1">
      <alignment/>
    </xf>
    <xf numFmtId="168" fontId="0" fillId="22" borderId="0" xfId="45" applyNumberFormat="1" applyFont="1" applyFill="1" applyBorder="1" applyAlignment="1">
      <alignment/>
    </xf>
    <xf numFmtId="166" fontId="0" fillId="22" borderId="0" xfId="0" applyNumberFormat="1" applyFill="1" applyBorder="1" applyAlignment="1">
      <alignment/>
    </xf>
    <xf numFmtId="168" fontId="21" fillId="22" borderId="0" xfId="45" applyNumberFormat="1" applyFont="1" applyFill="1" applyBorder="1" applyAlignment="1">
      <alignment/>
    </xf>
    <xf numFmtId="167" fontId="0" fillId="0" borderId="10" xfId="0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67" fontId="0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67" fontId="21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0" fontId="23" fillId="0" borderId="0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8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0" fontId="21" fillId="0" borderId="0" xfId="66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2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1" fillId="0" borderId="0" xfId="0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center"/>
    </xf>
    <xf numFmtId="167" fontId="24" fillId="0" borderId="11" xfId="0" applyFont="1" applyFill="1" applyBorder="1" applyAlignment="1">
      <alignment horizontal="center" wrapText="1"/>
    </xf>
    <xf numFmtId="167" fontId="24" fillId="0" borderId="12" xfId="0" applyFont="1" applyFill="1" applyBorder="1" applyAlignment="1">
      <alignment/>
    </xf>
    <xf numFmtId="167" fontId="24" fillId="0" borderId="12" xfId="0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 horizontal="center" wrapText="1"/>
    </xf>
    <xf numFmtId="167" fontId="24" fillId="0" borderId="13" xfId="0" applyFont="1" applyFill="1" applyBorder="1" applyAlignment="1">
      <alignment horizontal="center" wrapText="1"/>
    </xf>
    <xf numFmtId="3" fontId="23" fillId="0" borderId="13" xfId="0" applyNumberFormat="1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167" fontId="0" fillId="0" borderId="14" xfId="0" applyFill="1" applyBorder="1" applyAlignment="1">
      <alignment/>
    </xf>
    <xf numFmtId="167" fontId="26" fillId="0" borderId="0" xfId="0" applyFont="1" applyFill="1" applyBorder="1" applyAlignment="1">
      <alignment/>
    </xf>
    <xf numFmtId="167" fontId="26" fillId="0" borderId="15" xfId="0" applyFont="1" applyFill="1" applyBorder="1" applyAlignment="1">
      <alignment/>
    </xf>
    <xf numFmtId="167" fontId="0" fillId="0" borderId="16" xfId="0" applyFill="1" applyBorder="1" applyAlignment="1">
      <alignment/>
    </xf>
    <xf numFmtId="167" fontId="26" fillId="0" borderId="10" xfId="0" applyFont="1" applyFill="1" applyBorder="1" applyAlignment="1">
      <alignment/>
    </xf>
    <xf numFmtId="167" fontId="26" fillId="0" borderId="17" xfId="0" applyFont="1" applyFill="1" applyBorder="1" applyAlignment="1">
      <alignment/>
    </xf>
    <xf numFmtId="167" fontId="26" fillId="0" borderId="0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/>
    </xf>
    <xf numFmtId="167" fontId="0" fillId="0" borderId="0" xfId="0" applyFont="1" applyFill="1" applyBorder="1" applyAlignment="1">
      <alignment horizontal="center"/>
    </xf>
    <xf numFmtId="167" fontId="0" fillId="0" borderId="0" xfId="0" applyFont="1" applyFill="1" applyBorder="1" applyAlignment="1">
      <alignment/>
    </xf>
    <xf numFmtId="167" fontId="0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>
      <alignment/>
    </xf>
    <xf numFmtId="1" fontId="21" fillId="0" borderId="0" xfId="42" applyNumberFormat="1" applyFont="1" applyFill="1" applyBorder="1" applyAlignment="1">
      <alignment horizontal="center"/>
    </xf>
    <xf numFmtId="167" fontId="21" fillId="0" borderId="18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167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0" fillId="0" borderId="0" xfId="0" applyAlignment="1">
      <alignment/>
    </xf>
    <xf numFmtId="167" fontId="0" fillId="0" borderId="0" xfId="0" applyFill="1" applyAlignment="1">
      <alignment/>
    </xf>
    <xf numFmtId="167" fontId="30" fillId="0" borderId="0" xfId="0" applyFont="1" applyAlignment="1">
      <alignment/>
    </xf>
    <xf numFmtId="167" fontId="30" fillId="0" borderId="0" xfId="0" applyFont="1" applyFill="1" applyAlignment="1">
      <alignment/>
    </xf>
    <xf numFmtId="167" fontId="0" fillId="0" borderId="0" xfId="0" applyFill="1" applyBorder="1" applyAlignment="1" quotePrefix="1">
      <alignment/>
    </xf>
    <xf numFmtId="166" fontId="0" fillId="0" borderId="15" xfId="0" applyNumberFormat="1" applyFill="1" applyBorder="1" applyAlignment="1">
      <alignment/>
    </xf>
    <xf numFmtId="0" fontId="31" fillId="0" borderId="0" xfId="63" applyFont="1">
      <alignment vertical="top"/>
      <protection/>
    </xf>
    <xf numFmtId="167" fontId="32" fillId="0" borderId="0" xfId="0" applyFont="1" applyAlignment="1">
      <alignment/>
    </xf>
    <xf numFmtId="0" fontId="33" fillId="0" borderId="0" xfId="63" applyFont="1">
      <alignment vertical="top"/>
      <protection/>
    </xf>
    <xf numFmtId="0" fontId="33" fillId="0" borderId="0" xfId="62" applyFont="1" applyFill="1" applyBorder="1">
      <alignment vertical="top"/>
      <protection/>
    </xf>
    <xf numFmtId="0" fontId="6" fillId="0" borderId="0" xfId="63" applyFont="1">
      <alignment vertical="top"/>
      <protection/>
    </xf>
    <xf numFmtId="167" fontId="6" fillId="0" borderId="0" xfId="0" applyFont="1" applyAlignment="1">
      <alignment/>
    </xf>
    <xf numFmtId="0" fontId="16" fillId="0" borderId="0" xfId="63">
      <alignment vertical="top"/>
      <protection/>
    </xf>
    <xf numFmtId="0" fontId="34" fillId="24" borderId="0" xfId="61" applyFont="1" applyFill="1" applyAlignment="1">
      <alignment/>
      <protection/>
    </xf>
    <xf numFmtId="166" fontId="35" fillId="24" borderId="0" xfId="60" applyNumberFormat="1" applyFont="1" applyFill="1" applyAlignment="1">
      <alignment horizontal="center" wrapText="1"/>
    </xf>
    <xf numFmtId="166" fontId="26" fillId="0" borderId="0" xfId="60" applyNumberFormat="1" applyFont="1" applyFill="1" applyAlignment="1">
      <alignment horizontal="center" wrapText="1"/>
    </xf>
    <xf numFmtId="0" fontId="33" fillId="25" borderId="19" xfId="63" applyFont="1" applyFill="1" applyBorder="1">
      <alignment vertical="top"/>
      <protection/>
    </xf>
    <xf numFmtId="0" fontId="6" fillId="0" borderId="19" xfId="61" applyFont="1" applyFill="1" applyBorder="1" applyAlignment="1" quotePrefix="1">
      <alignment horizontal="left"/>
      <protection/>
    </xf>
    <xf numFmtId="0" fontId="33" fillId="25" borderId="20" xfId="63" applyFont="1" applyFill="1" applyBorder="1">
      <alignment vertical="top"/>
      <protection/>
    </xf>
    <xf numFmtId="0" fontId="6" fillId="0" borderId="20" xfId="61" applyFont="1" applyFill="1" applyBorder="1" applyAlignment="1" quotePrefix="1">
      <alignment horizontal="left"/>
      <protection/>
    </xf>
    <xf numFmtId="0" fontId="6" fillId="0" borderId="20" xfId="61" applyFont="1" applyFill="1" applyBorder="1">
      <alignment/>
      <protection/>
    </xf>
    <xf numFmtId="0" fontId="33" fillId="25" borderId="21" xfId="63" applyFont="1" applyFill="1" applyBorder="1">
      <alignment vertical="top"/>
      <protection/>
    </xf>
    <xf numFmtId="0" fontId="6" fillId="0" borderId="21" xfId="61" applyFont="1" applyFill="1" applyBorder="1">
      <alignment/>
      <protection/>
    </xf>
    <xf numFmtId="0" fontId="33" fillId="25" borderId="0" xfId="63" applyFont="1" applyFill="1">
      <alignment vertical="top"/>
      <protection/>
    </xf>
    <xf numFmtId="0" fontId="33" fillId="0" borderId="0" xfId="61" applyFont="1" applyAlignment="1">
      <alignment horizontal="right"/>
      <protection/>
    </xf>
    <xf numFmtId="0" fontId="6" fillId="0" borderId="20" xfId="61" applyFont="1" applyBorder="1">
      <alignment/>
      <protection/>
    </xf>
    <xf numFmtId="0" fontId="33" fillId="0" borderId="0" xfId="63" applyFont="1" applyFill="1">
      <alignment vertical="top"/>
      <protection/>
    </xf>
    <xf numFmtId="0" fontId="33" fillId="0" borderId="0" xfId="61" applyFont="1" applyFill="1" applyAlignment="1">
      <alignment horizontal="right"/>
      <protection/>
    </xf>
    <xf numFmtId="0" fontId="6" fillId="25" borderId="0" xfId="61" applyFont="1" applyFill="1" applyAlignment="1">
      <alignment horizontal="right"/>
      <protection/>
    </xf>
    <xf numFmtId="0" fontId="6" fillId="25" borderId="0" xfId="61" applyFont="1" applyFill="1">
      <alignment/>
      <protection/>
    </xf>
    <xf numFmtId="0" fontId="6" fillId="0" borderId="19" xfId="61" applyFont="1" applyBorder="1" applyAlignment="1" quotePrefix="1">
      <alignment horizontal="left"/>
      <protection/>
    </xf>
    <xf numFmtId="0" fontId="6" fillId="0" borderId="20" xfId="61" applyFont="1" applyBorder="1" applyAlignment="1" quotePrefix="1">
      <alignment horizontal="left"/>
      <protection/>
    </xf>
    <xf numFmtId="0" fontId="6" fillId="0" borderId="21" xfId="61" applyFont="1" applyBorder="1">
      <alignment/>
      <protection/>
    </xf>
    <xf numFmtId="167" fontId="0" fillId="25" borderId="0" xfId="0" applyFill="1" applyAlignment="1">
      <alignment/>
    </xf>
    <xf numFmtId="167" fontId="33" fillId="0" borderId="19" xfId="0" applyFont="1" applyBorder="1" applyAlignment="1">
      <alignment/>
    </xf>
    <xf numFmtId="0" fontId="6" fillId="0" borderId="19" xfId="63" applyFont="1" applyBorder="1">
      <alignment vertical="top"/>
      <protection/>
    </xf>
    <xf numFmtId="0" fontId="6" fillId="0" borderId="21" xfId="63" applyFont="1" applyBorder="1">
      <alignment vertical="top"/>
      <protection/>
    </xf>
    <xf numFmtId="167" fontId="0" fillId="0" borderId="0" xfId="0" applyBorder="1" applyAlignment="1">
      <alignment/>
    </xf>
    <xf numFmtId="167" fontId="33" fillId="0" borderId="0" xfId="0" applyFont="1" applyAlignment="1">
      <alignment/>
    </xf>
    <xf numFmtId="167" fontId="6" fillId="26" borderId="22" xfId="0" applyFont="1" applyFill="1" applyBorder="1" applyAlignment="1" quotePrefix="1">
      <alignment horizontal="center"/>
    </xf>
    <xf numFmtId="49" fontId="6" fillId="0" borderId="22" xfId="0" applyNumberFormat="1" applyFont="1" applyFill="1" applyBorder="1" applyAlignment="1">
      <alignment horizontal="center"/>
    </xf>
    <xf numFmtId="166" fontId="35" fillId="24" borderId="0" xfId="60" applyNumberFormat="1" applyFont="1" applyFill="1" applyAlignment="1" quotePrefix="1">
      <alignment horizontal="center" wrapText="1"/>
    </xf>
    <xf numFmtId="166" fontId="6" fillId="7" borderId="23" xfId="63" applyNumberFormat="1" applyFont="1" applyFill="1" applyBorder="1" applyAlignment="1">
      <alignment horizontal="right" vertical="top"/>
      <protection/>
    </xf>
    <xf numFmtId="166" fontId="6" fillId="0" borderId="24" xfId="63" applyNumberFormat="1" applyFont="1" applyBorder="1" applyAlignment="1">
      <alignment horizontal="right" vertical="top"/>
      <protection/>
    </xf>
    <xf numFmtId="166" fontId="6" fillId="7" borderId="0" xfId="63" applyNumberFormat="1" applyFont="1" applyFill="1" applyBorder="1" applyAlignment="1">
      <alignment horizontal="right" vertical="top"/>
      <protection/>
    </xf>
    <xf numFmtId="166" fontId="6" fillId="0" borderId="0" xfId="63" applyNumberFormat="1" applyFont="1" applyBorder="1" applyAlignment="1">
      <alignment horizontal="right" vertical="top"/>
      <protection/>
    </xf>
    <xf numFmtId="166" fontId="6" fillId="0" borderId="0" xfId="63" applyNumberFormat="1" applyFont="1" applyFill="1" applyBorder="1" applyAlignment="1">
      <alignment horizontal="right" vertical="top"/>
      <protection/>
    </xf>
    <xf numFmtId="166" fontId="6" fillId="25" borderId="0" xfId="61" applyNumberFormat="1" applyFont="1" applyFill="1" applyBorder="1" applyAlignment="1">
      <alignment horizontal="right"/>
      <protection/>
    </xf>
    <xf numFmtId="166" fontId="6" fillId="25" borderId="0" xfId="61" applyNumberFormat="1" applyFont="1" applyFill="1" applyAlignment="1">
      <alignment horizontal="right"/>
      <protection/>
    </xf>
    <xf numFmtId="166" fontId="6" fillId="7" borderId="25" xfId="45" applyNumberFormat="1" applyFont="1" applyFill="1" applyBorder="1" applyAlignment="1">
      <alignment horizontal="right" vertical="top"/>
    </xf>
    <xf numFmtId="166" fontId="6" fillId="0" borderId="26" xfId="45" applyNumberFormat="1" applyFont="1" applyBorder="1" applyAlignment="1">
      <alignment horizontal="right" vertical="top"/>
    </xf>
    <xf numFmtId="166" fontId="6" fillId="7" borderId="27" xfId="63" applyNumberFormat="1" applyFont="1" applyFill="1" applyBorder="1" applyAlignment="1">
      <alignment horizontal="right" vertical="top"/>
      <protection/>
    </xf>
    <xf numFmtId="166" fontId="6" fillId="25" borderId="0" xfId="63" applyNumberFormat="1" applyFont="1" applyFill="1" applyBorder="1" applyAlignment="1">
      <alignment horizontal="right" vertical="top"/>
      <protection/>
    </xf>
    <xf numFmtId="166" fontId="0" fillId="25" borderId="0" xfId="0" applyNumberFormat="1" applyFill="1" applyAlignment="1">
      <alignment horizontal="right"/>
    </xf>
    <xf numFmtId="166" fontId="6" fillId="7" borderId="25" xfId="45" applyNumberFormat="1" applyFont="1" applyFill="1" applyBorder="1" applyAlignment="1">
      <alignment horizontal="right" vertical="top"/>
    </xf>
    <xf numFmtId="166" fontId="6" fillId="0" borderId="26" xfId="45" applyNumberFormat="1" applyFont="1" applyBorder="1" applyAlignment="1">
      <alignment horizontal="right" vertical="top"/>
    </xf>
    <xf numFmtId="166" fontId="6" fillId="7" borderId="27" xfId="63" applyNumberFormat="1" applyFont="1" applyFill="1" applyBorder="1" applyAlignment="1">
      <alignment horizontal="right" vertical="top"/>
      <protection/>
    </xf>
    <xf numFmtId="166" fontId="6" fillId="0" borderId="0" xfId="63" applyNumberFormat="1" applyFont="1" applyBorder="1" applyAlignment="1">
      <alignment horizontal="right" vertical="top"/>
      <protection/>
    </xf>
    <xf numFmtId="166" fontId="6" fillId="7" borderId="25" xfId="63" applyNumberFormat="1" applyFont="1" applyFill="1" applyBorder="1" applyAlignment="1">
      <alignment horizontal="right" vertical="top"/>
      <protection/>
    </xf>
    <xf numFmtId="166" fontId="6" fillId="0" borderId="26" xfId="63" applyNumberFormat="1" applyFont="1" applyBorder="1" applyAlignment="1">
      <alignment horizontal="right" vertical="top"/>
      <protection/>
    </xf>
    <xf numFmtId="166" fontId="6" fillId="7" borderId="26" xfId="63" applyNumberFormat="1" applyFont="1" applyFill="1" applyBorder="1" applyAlignment="1">
      <alignment horizontal="right" vertical="top"/>
      <protection/>
    </xf>
    <xf numFmtId="166" fontId="6" fillId="0" borderId="28" xfId="63" applyNumberFormat="1" applyFont="1" applyBorder="1" applyAlignment="1">
      <alignment horizontal="right" vertical="top"/>
      <protection/>
    </xf>
    <xf numFmtId="166" fontId="6" fillId="7" borderId="22" xfId="63" applyNumberFormat="1" applyFont="1" applyFill="1" applyBorder="1" applyAlignment="1">
      <alignment horizontal="right" vertical="top"/>
      <protection/>
    </xf>
    <xf numFmtId="166" fontId="6" fillId="0" borderId="22" xfId="63" applyNumberFormat="1" applyFont="1" applyBorder="1" applyAlignment="1">
      <alignment horizontal="right" vertical="top"/>
      <protection/>
    </xf>
    <xf numFmtId="166" fontId="6" fillId="0" borderId="29" xfId="63" applyNumberFormat="1" applyFont="1" applyBorder="1" applyAlignment="1">
      <alignment horizontal="right" vertical="top"/>
      <protection/>
    </xf>
    <xf numFmtId="167" fontId="26" fillId="0" borderId="0" xfId="0" applyFont="1" applyAlignment="1">
      <alignment/>
    </xf>
    <xf numFmtId="167" fontId="33" fillId="0" borderId="13" xfId="0" applyFont="1" applyBorder="1" applyAlignment="1">
      <alignment wrapText="1"/>
    </xf>
    <xf numFmtId="0" fontId="6" fillId="0" borderId="7" xfId="0" applyNumberFormat="1" applyFont="1" applyFill="1" applyBorder="1" applyAlignment="1" quotePrefix="1">
      <alignment vertical="top"/>
    </xf>
    <xf numFmtId="167" fontId="6" fillId="0" borderId="30" xfId="0" applyFont="1" applyBorder="1" applyAlignment="1">
      <alignment vertical="top"/>
    </xf>
    <xf numFmtId="0" fontId="6" fillId="0" borderId="7" xfId="0" applyNumberFormat="1" applyFont="1" applyFill="1" applyBorder="1" applyAlignment="1" quotePrefix="1">
      <alignment vertical="top" wrapText="1"/>
    </xf>
    <xf numFmtId="167" fontId="6" fillId="0" borderId="7" xfId="0" applyFont="1" applyBorder="1" applyAlignment="1">
      <alignment vertical="top"/>
    </xf>
    <xf numFmtId="0" fontId="6" fillId="25" borderId="7" xfId="0" applyNumberFormat="1" applyFont="1" applyFill="1" applyBorder="1" applyAlignment="1" quotePrefix="1">
      <alignment vertical="top"/>
    </xf>
    <xf numFmtId="0" fontId="6" fillId="25" borderId="7" xfId="0" applyNumberFormat="1" applyFont="1" applyFill="1" applyBorder="1" applyAlignment="1">
      <alignment vertical="top" wrapText="1"/>
    </xf>
    <xf numFmtId="0" fontId="6" fillId="25" borderId="7" xfId="0" applyNumberFormat="1" applyFont="1" applyFill="1" applyBorder="1" applyAlignment="1" quotePrefix="1">
      <alignment vertical="top" wrapText="1"/>
    </xf>
    <xf numFmtId="0" fontId="6" fillId="0" borderId="7" xfId="0" applyNumberFormat="1" applyFont="1" applyFill="1" applyBorder="1" applyAlignment="1" quotePrefix="1">
      <alignment vertical="top" wrapText="1"/>
    </xf>
    <xf numFmtId="167" fontId="33" fillId="0" borderId="13" xfId="0" applyFont="1" applyBorder="1" applyAlignment="1">
      <alignment horizontal="center" wrapText="1"/>
    </xf>
    <xf numFmtId="167" fontId="6" fillId="0" borderId="7" xfId="0" applyFont="1" applyBorder="1" applyAlignment="1" quotePrefix="1">
      <alignment horizontal="right" vertical="top"/>
    </xf>
    <xf numFmtId="167" fontId="39" fillId="25" borderId="0" xfId="0" applyFont="1" applyFill="1" applyBorder="1" applyAlignment="1">
      <alignment horizontal="center"/>
    </xf>
    <xf numFmtId="0" fontId="6" fillId="0" borderId="30" xfId="0" applyNumberFormat="1" applyFont="1" applyFill="1" applyBorder="1" applyAlignment="1" quotePrefix="1">
      <alignment vertical="top"/>
    </xf>
    <xf numFmtId="167" fontId="29" fillId="0" borderId="0" xfId="0" applyFont="1" applyAlignment="1">
      <alignment/>
    </xf>
    <xf numFmtId="0" fontId="29" fillId="0" borderId="0" xfId="0" applyNumberFormat="1" applyFont="1" applyAlignment="1" applyProtection="1">
      <alignment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/>
      <protection locked="0"/>
    </xf>
    <xf numFmtId="0" fontId="29" fillId="0" borderId="0" xfId="0" applyNumberFormat="1" applyFont="1" applyAlignment="1" applyProtection="1">
      <alignment horizontal="right"/>
      <protection locked="0"/>
    </xf>
    <xf numFmtId="0" fontId="29" fillId="0" borderId="0" xfId="0" applyNumberFormat="1" applyFont="1" applyFill="1" applyAlignment="1" applyProtection="1">
      <alignment horizontal="right"/>
      <protection locked="0"/>
    </xf>
    <xf numFmtId="0" fontId="29" fillId="0" borderId="0" xfId="0" applyNumberFormat="1" applyFont="1" applyFill="1" applyAlignment="1">
      <alignment/>
    </xf>
    <xf numFmtId="167" fontId="29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9" fontId="29" fillId="0" borderId="0" xfId="0" applyNumberFormat="1" applyFont="1" applyFill="1" applyAlignment="1">
      <alignment horizontal="center"/>
    </xf>
    <xf numFmtId="167" fontId="40" fillId="0" borderId="0" xfId="0" applyFont="1" applyAlignment="1">
      <alignment/>
    </xf>
    <xf numFmtId="0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>
      <alignment/>
    </xf>
    <xf numFmtId="0" fontId="29" fillId="0" borderId="18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Alignment="1">
      <alignment/>
    </xf>
    <xf numFmtId="42" fontId="29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29" fillId="0" borderId="18" xfId="0" applyNumberFormat="1" applyFont="1" applyBorder="1" applyAlignment="1" applyProtection="1">
      <alignment horizontal="centerContinuous"/>
      <protection locked="0"/>
    </xf>
    <xf numFmtId="175" fontId="29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/>
    </xf>
    <xf numFmtId="3" fontId="29" fillId="22" borderId="0" xfId="0" applyNumberFormat="1" applyFont="1" applyFill="1" applyAlignment="1">
      <alignment/>
    </xf>
    <xf numFmtId="3" fontId="29" fillId="0" borderId="18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167" fontId="29" fillId="0" borderId="0" xfId="0" applyFont="1" applyFill="1" applyAlignment="1">
      <alignment horizontal="center"/>
    </xf>
    <xf numFmtId="3" fontId="29" fillId="0" borderId="0" xfId="0" applyNumberFormat="1" applyFont="1" applyAlignment="1">
      <alignment horizontal="fill"/>
    </xf>
    <xf numFmtId="0" fontId="29" fillId="0" borderId="0" xfId="0" applyNumberFormat="1" applyFont="1" applyFill="1" applyAlignment="1" applyProtection="1">
      <alignment horizontal="center"/>
      <protection locked="0"/>
    </xf>
    <xf numFmtId="175" fontId="29" fillId="0" borderId="0" xfId="0" applyNumberFormat="1" applyFont="1" applyFill="1" applyAlignment="1">
      <alignment/>
    </xf>
    <xf numFmtId="3" fontId="29" fillId="22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166" fontId="0" fillId="0" borderId="19" xfId="0" applyNumberFormat="1" applyFont="1" applyBorder="1" applyAlignment="1">
      <alignment/>
    </xf>
    <xf numFmtId="176" fontId="0" fillId="0" borderId="31" xfId="66" applyNumberFormat="1" applyFont="1" applyBorder="1" applyAlignment="1">
      <alignment/>
    </xf>
    <xf numFmtId="3" fontId="29" fillId="22" borderId="18" xfId="0" applyNumberFormat="1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1" xfId="0" applyNumberFormat="1" applyFont="1" applyFill="1" applyBorder="1" applyAlignment="1">
      <alignment/>
    </xf>
    <xf numFmtId="176" fontId="0" fillId="0" borderId="17" xfId="66" applyNumberFormat="1" applyFont="1" applyBorder="1" applyAlignment="1">
      <alignment/>
    </xf>
    <xf numFmtId="166" fontId="0" fillId="0" borderId="13" xfId="0" applyNumberFormat="1" applyBorder="1" applyAlignment="1">
      <alignment/>
    </xf>
    <xf numFmtId="176" fontId="0" fillId="0" borderId="21" xfId="66" applyNumberFormat="1" applyFont="1" applyBorder="1" applyAlignment="1">
      <alignment/>
    </xf>
    <xf numFmtId="42" fontId="29" fillId="0" borderId="32" xfId="0" applyNumberFormat="1" applyFont="1" applyFill="1" applyBorder="1" applyAlignment="1" applyProtection="1">
      <alignment horizontal="right"/>
      <protection locked="0"/>
    </xf>
    <xf numFmtId="42" fontId="29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 locked="0"/>
    </xf>
    <xf numFmtId="3" fontId="29" fillId="22" borderId="0" xfId="0" applyNumberFormat="1" applyFont="1" applyFill="1" applyAlignment="1">
      <alignment/>
    </xf>
    <xf numFmtId="167" fontId="41" fillId="22" borderId="33" xfId="0" applyFont="1" applyFill="1" applyBorder="1" applyAlignment="1">
      <alignment/>
    </xf>
    <xf numFmtId="167" fontId="29" fillId="0" borderId="34" xfId="0" applyFont="1" applyBorder="1" applyAlignment="1">
      <alignment/>
    </xf>
    <xf numFmtId="167" fontId="41" fillId="0" borderId="35" xfId="0" applyFont="1" applyBorder="1" applyAlignment="1">
      <alignment/>
    </xf>
    <xf numFmtId="0" fontId="0" fillId="0" borderId="14" xfId="66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167" fontId="29" fillId="0" borderId="0" xfId="0" applyFont="1" applyBorder="1" applyAlignment="1">
      <alignment/>
    </xf>
    <xf numFmtId="167" fontId="41" fillId="0" borderId="36" xfId="0" applyFont="1" applyBorder="1" applyAlignment="1">
      <alignment/>
    </xf>
    <xf numFmtId="177" fontId="42" fillId="22" borderId="16" xfId="66" applyNumberFormat="1" applyFont="1" applyFill="1" applyBorder="1" applyAlignment="1">
      <alignment/>
    </xf>
    <xf numFmtId="167" fontId="0" fillId="0" borderId="10" xfId="0" applyFont="1" applyBorder="1" applyAlignment="1">
      <alignment/>
    </xf>
    <xf numFmtId="0" fontId="42" fillId="0" borderId="37" xfId="0" applyNumberFormat="1" applyFont="1" applyBorder="1" applyAlignment="1">
      <alignment/>
    </xf>
    <xf numFmtId="167" fontId="29" fillId="0" borderId="16" xfId="0" applyFont="1" applyBorder="1" applyAlignment="1">
      <alignment/>
    </xf>
    <xf numFmtId="167" fontId="29" fillId="0" borderId="10" xfId="0" applyFont="1" applyBorder="1" applyAlignment="1">
      <alignment/>
    </xf>
    <xf numFmtId="167" fontId="29" fillId="0" borderId="37" xfId="0" applyFont="1" applyBorder="1" applyAlignment="1">
      <alignment/>
    </xf>
    <xf numFmtId="3" fontId="29" fillId="22" borderId="0" xfId="0" applyNumberFormat="1" applyFont="1" applyFill="1" applyBorder="1" applyAlignment="1">
      <alignment/>
    </xf>
    <xf numFmtId="167" fontId="0" fillId="0" borderId="11" xfId="0" applyFont="1" applyBorder="1" applyAlignment="1">
      <alignment horizontal="center"/>
    </xf>
    <xf numFmtId="167" fontId="0" fillId="0" borderId="12" xfId="0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167" fontId="0" fillId="0" borderId="33" xfId="0" applyFont="1" applyBorder="1" applyAlignment="1">
      <alignment/>
    </xf>
    <xf numFmtId="166" fontId="0" fillId="0" borderId="0" xfId="0" applyNumberFormat="1" applyFont="1" applyBorder="1" applyAlignment="1">
      <alignment/>
    </xf>
    <xf numFmtId="38" fontId="42" fillId="22" borderId="35" xfId="42" applyNumberFormat="1" applyFont="1" applyFill="1" applyBorder="1" applyAlignment="1">
      <alignment/>
    </xf>
    <xf numFmtId="178" fontId="42" fillId="22" borderId="35" xfId="42" applyNumberFormat="1" applyFont="1" applyFill="1" applyBorder="1" applyAlignment="1">
      <alignment/>
    </xf>
    <xf numFmtId="167" fontId="0" fillId="0" borderId="14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29" fillId="22" borderId="18" xfId="0" applyNumberFormat="1" applyFont="1" applyFill="1" applyBorder="1" applyAlignment="1">
      <alignment/>
    </xf>
    <xf numFmtId="167" fontId="0" fillId="0" borderId="16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79" fontId="29" fillId="0" borderId="0" xfId="0" applyNumberFormat="1" applyFont="1" applyFill="1" applyAlignment="1">
      <alignment/>
    </xf>
    <xf numFmtId="179" fontId="29" fillId="0" borderId="0" xfId="0" applyNumberFormat="1" applyFont="1" applyAlignment="1">
      <alignment/>
    </xf>
    <xf numFmtId="179" fontId="29" fillId="0" borderId="0" xfId="0" applyNumberFormat="1" applyFont="1" applyAlignment="1">
      <alignment horizontal="center"/>
    </xf>
    <xf numFmtId="167" fontId="29" fillId="0" borderId="0" xfId="0" applyFont="1" applyAlignment="1">
      <alignment horizontal="center"/>
    </xf>
    <xf numFmtId="0" fontId="29" fillId="0" borderId="0" xfId="0" applyNumberFormat="1" applyFont="1" applyAlignment="1">
      <alignment horizontal="left"/>
    </xf>
    <xf numFmtId="180" fontId="29" fillId="0" borderId="0" xfId="0" applyNumberFormat="1" applyFont="1" applyAlignment="1">
      <alignment/>
    </xf>
    <xf numFmtId="180" fontId="29" fillId="22" borderId="0" xfId="0" applyNumberFormat="1" applyFont="1" applyFill="1" applyAlignment="1" applyProtection="1">
      <alignment/>
      <protection locked="0"/>
    </xf>
    <xf numFmtId="180" fontId="29" fillId="0" borderId="0" xfId="0" applyNumberFormat="1" applyFont="1" applyAlignment="1" applyProtection="1">
      <alignment/>
      <protection locked="0"/>
    </xf>
    <xf numFmtId="180" fontId="29" fillId="0" borderId="0" xfId="0" applyNumberFormat="1" applyFont="1" applyFill="1" applyAlignment="1" applyProtection="1">
      <alignment/>
      <protection locked="0"/>
    </xf>
    <xf numFmtId="0" fontId="29" fillId="0" borderId="0" xfId="0" applyNumberFormat="1" applyFont="1" applyAlignment="1">
      <alignment horizontal="right"/>
    </xf>
    <xf numFmtId="0" fontId="29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NumberFormat="1" applyFont="1" applyFill="1" applyAlignment="1">
      <alignment horizontal="center"/>
    </xf>
    <xf numFmtId="3" fontId="43" fillId="0" borderId="0" xfId="0" applyNumberFormat="1" applyFont="1" applyAlignment="1">
      <alignment horizontal="center"/>
    </xf>
    <xf numFmtId="0" fontId="43" fillId="0" borderId="0" xfId="0" applyNumberFormat="1" applyFont="1" applyAlignment="1" applyProtection="1">
      <alignment horizontal="center"/>
      <protection locked="0"/>
    </xf>
    <xf numFmtId="167" fontId="43" fillId="4" borderId="0" xfId="0" applyFont="1" applyFill="1" applyAlignment="1">
      <alignment horizontal="center"/>
    </xf>
    <xf numFmtId="167" fontId="43" fillId="0" borderId="0" xfId="0" applyFont="1" applyAlignment="1">
      <alignment horizontal="center"/>
    </xf>
    <xf numFmtId="0" fontId="43" fillId="0" borderId="0" xfId="0" applyNumberFormat="1" applyFont="1" applyAlignment="1" applyProtection="1">
      <alignment horizontal="left"/>
      <protection locked="0"/>
    </xf>
    <xf numFmtId="3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3" fontId="45" fillId="0" borderId="0" xfId="0" applyNumberFormat="1" applyFont="1" applyFill="1" applyAlignment="1">
      <alignment/>
    </xf>
    <xf numFmtId="38" fontId="29" fillId="0" borderId="0" xfId="42" applyNumberFormat="1" applyFont="1" applyFill="1" applyAlignment="1">
      <alignment/>
    </xf>
    <xf numFmtId="3" fontId="45" fillId="0" borderId="18" xfId="0" applyNumberFormat="1" applyFont="1" applyFill="1" applyBorder="1" applyAlignment="1">
      <alignment/>
    </xf>
    <xf numFmtId="0" fontId="41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38" fontId="29" fillId="0" borderId="0" xfId="42" applyNumberFormat="1" applyFont="1" applyAlignment="1">
      <alignment/>
    </xf>
    <xf numFmtId="166" fontId="41" fillId="0" borderId="0" xfId="0" applyNumberFormat="1" applyFont="1" applyAlignment="1">
      <alignment horizontal="left"/>
    </xf>
    <xf numFmtId="3" fontId="29" fillId="0" borderId="39" xfId="0" applyNumberFormat="1" applyFont="1" applyBorder="1" applyAlignment="1">
      <alignment/>
    </xf>
    <xf numFmtId="3" fontId="29" fillId="0" borderId="0" xfId="0" applyNumberFormat="1" applyFont="1" applyBorder="1" applyAlignment="1">
      <alignment horizontal="fill"/>
    </xf>
    <xf numFmtId="175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fill"/>
    </xf>
    <xf numFmtId="165" fontId="29" fillId="0" borderId="0" xfId="0" applyNumberFormat="1" applyFont="1" applyFill="1" applyAlignment="1">
      <alignment horizontal="right"/>
    </xf>
    <xf numFmtId="3" fontId="45" fillId="0" borderId="0" xfId="0" applyNumberFormat="1" applyFont="1" applyFill="1" applyBorder="1" applyAlignment="1">
      <alignment/>
    </xf>
    <xf numFmtId="165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 locked="0"/>
    </xf>
    <xf numFmtId="3" fontId="29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167" fontId="29" fillId="0" borderId="18" xfId="0" applyFont="1" applyBorder="1" applyAlignment="1">
      <alignment/>
    </xf>
    <xf numFmtId="3" fontId="29" fillId="0" borderId="32" xfId="0" applyNumberFormat="1" applyFont="1" applyBorder="1" applyAlignment="1">
      <alignment/>
    </xf>
    <xf numFmtId="38" fontId="29" fillId="0" borderId="0" xfId="42" applyNumberFormat="1" applyFont="1" applyFill="1" applyAlignment="1">
      <alignment horizontal="center"/>
    </xf>
    <xf numFmtId="0" fontId="43" fillId="0" borderId="0" xfId="0" applyNumberFormat="1" applyFont="1" applyFill="1" applyAlignment="1" applyProtection="1">
      <alignment horizontal="center"/>
      <protection locked="0"/>
    </xf>
    <xf numFmtId="3" fontId="46" fillId="0" borderId="0" xfId="0" applyNumberFormat="1" applyFont="1" applyFill="1" applyAlignment="1">
      <alignment horizontal="left"/>
    </xf>
    <xf numFmtId="3" fontId="47" fillId="0" borderId="0" xfId="0" applyNumberFormat="1" applyFont="1" applyAlignment="1">
      <alignment/>
    </xf>
    <xf numFmtId="3" fontId="41" fillId="0" borderId="0" xfId="0" applyNumberFormat="1" applyFont="1" applyFill="1" applyAlignment="1">
      <alignment/>
    </xf>
    <xf numFmtId="181" fontId="29" fillId="0" borderId="0" xfId="0" applyNumberFormat="1" applyFont="1" applyFill="1" applyAlignment="1">
      <alignment horizontal="left"/>
    </xf>
    <xf numFmtId="3" fontId="46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29" fillId="0" borderId="0" xfId="59" applyNumberFormat="1" applyFont="1" applyAlignment="1">
      <alignment/>
      <protection/>
    </xf>
    <xf numFmtId="0" fontId="29" fillId="0" borderId="40" xfId="0" applyNumberFormat="1" applyFont="1" applyBorder="1" applyAlignment="1">
      <alignment horizontal="center"/>
    </xf>
    <xf numFmtId="167" fontId="48" fillId="0" borderId="0" xfId="0" applyFont="1" applyAlignment="1">
      <alignment/>
    </xf>
    <xf numFmtId="175" fontId="29" fillId="0" borderId="0" xfId="0" applyNumberFormat="1" applyFont="1" applyFill="1" applyAlignment="1">
      <alignment horizontal="right"/>
    </xf>
    <xf numFmtId="175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left"/>
    </xf>
    <xf numFmtId="10" fontId="29" fillId="0" borderId="0" xfId="0" applyNumberFormat="1" applyFont="1" applyFill="1" applyAlignment="1">
      <alignment horizontal="right"/>
    </xf>
    <xf numFmtId="182" fontId="29" fillId="0" borderId="0" xfId="0" applyNumberFormat="1" applyFont="1" applyFill="1" applyAlignment="1">
      <alignment horizontal="right"/>
    </xf>
    <xf numFmtId="10" fontId="29" fillId="0" borderId="0" xfId="0" applyNumberFormat="1" applyFont="1" applyAlignment="1">
      <alignment horizontal="left"/>
    </xf>
    <xf numFmtId="3" fontId="29" fillId="0" borderId="0" xfId="0" applyNumberFormat="1" applyFont="1" applyFill="1" applyAlignment="1">
      <alignment horizontal="left"/>
    </xf>
    <xf numFmtId="164" fontId="29" fillId="0" borderId="0" xfId="0" applyNumberFormat="1" applyFont="1" applyAlignment="1" applyProtection="1">
      <alignment horizontal="left"/>
      <protection locked="0"/>
    </xf>
    <xf numFmtId="3" fontId="29" fillId="0" borderId="0" xfId="0" applyNumberFormat="1" applyFont="1" applyFill="1" applyAlignment="1">
      <alignment horizontal="right"/>
    </xf>
    <xf numFmtId="183" fontId="29" fillId="0" borderId="0" xfId="0" applyNumberFormat="1" applyFont="1" applyAlignment="1">
      <alignment/>
    </xf>
    <xf numFmtId="3" fontId="29" fillId="0" borderId="41" xfId="0" applyNumberFormat="1" applyFont="1" applyBorder="1" applyAlignment="1">
      <alignment/>
    </xf>
    <xf numFmtId="0" fontId="29" fillId="0" borderId="18" xfId="0" applyNumberFormat="1" applyFont="1" applyFill="1" applyBorder="1" applyAlignment="1" applyProtection="1">
      <alignment/>
      <protection locked="0"/>
    </xf>
    <xf numFmtId="0" fontId="29" fillId="0" borderId="18" xfId="0" applyNumberFormat="1" applyFont="1" applyFill="1" applyBorder="1" applyAlignment="1">
      <alignment/>
    </xf>
    <xf numFmtId="3" fontId="29" fillId="0" borderId="39" xfId="0" applyNumberFormat="1" applyFont="1" applyFill="1" applyBorder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/>
    </xf>
    <xf numFmtId="167" fontId="29" fillId="0" borderId="14" xfId="0" applyFont="1" applyBorder="1" applyAlignment="1">
      <alignment/>
    </xf>
    <xf numFmtId="0" fontId="29" fillId="0" borderId="0" xfId="0" applyNumberFormat="1" applyFont="1" applyBorder="1" applyAlignment="1">
      <alignment/>
    </xf>
    <xf numFmtId="167" fontId="29" fillId="0" borderId="36" xfId="0" applyFont="1" applyBorder="1" applyAlignment="1">
      <alignment/>
    </xf>
    <xf numFmtId="6" fontId="29" fillId="22" borderId="14" xfId="45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6" fontId="29" fillId="22" borderId="16" xfId="0" applyNumberFormat="1" applyFont="1" applyFill="1" applyBorder="1" applyAlignment="1">
      <alignment/>
    </xf>
    <xf numFmtId="167" fontId="45" fillId="0" borderId="0" xfId="0" applyFont="1" applyAlignment="1">
      <alignment/>
    </xf>
    <xf numFmtId="6" fontId="29" fillId="0" borderId="14" xfId="0" applyNumberFormat="1" applyFont="1" applyBorder="1" applyAlignment="1">
      <alignment/>
    </xf>
    <xf numFmtId="167" fontId="29" fillId="0" borderId="0" xfId="0" applyFont="1" applyFill="1" applyAlignment="1">
      <alignment horizontal="center"/>
    </xf>
    <xf numFmtId="0" fontId="29" fillId="0" borderId="42" xfId="0" applyNumberFormat="1" applyFont="1" applyBorder="1" applyAlignment="1">
      <alignment horizontal="center"/>
    </xf>
    <xf numFmtId="167" fontId="49" fillId="0" borderId="0" xfId="0" applyFont="1" applyBorder="1" applyAlignment="1">
      <alignment/>
    </xf>
    <xf numFmtId="167" fontId="45" fillId="0" borderId="0" xfId="0" applyFont="1" applyBorder="1" applyAlignment="1">
      <alignment/>
    </xf>
    <xf numFmtId="165" fontId="29" fillId="0" borderId="0" xfId="0" applyNumberFormat="1" applyFont="1" applyFill="1" applyAlignment="1">
      <alignment/>
    </xf>
    <xf numFmtId="6" fontId="29" fillId="22" borderId="14" xfId="0" applyNumberFormat="1" applyFont="1" applyFill="1" applyBorder="1" applyAlignment="1">
      <alignment/>
    </xf>
    <xf numFmtId="175" fontId="29" fillId="0" borderId="0" xfId="0" applyNumberFormat="1" applyFont="1" applyFill="1" applyAlignment="1">
      <alignment/>
    </xf>
    <xf numFmtId="6" fontId="29" fillId="22" borderId="16" xfId="45" applyNumberFormat="1" applyFont="1" applyFill="1" applyBorder="1" applyAlignment="1">
      <alignment/>
    </xf>
    <xf numFmtId="167" fontId="45" fillId="0" borderId="0" xfId="0" applyFont="1" applyBorder="1" applyAlignment="1">
      <alignment horizontal="left" wrapText="1"/>
    </xf>
    <xf numFmtId="167" fontId="45" fillId="0" borderId="0" xfId="0" applyFont="1" applyBorder="1" applyAlignment="1">
      <alignment/>
    </xf>
    <xf numFmtId="3" fontId="29" fillId="0" borderId="18" xfId="0" applyNumberFormat="1" applyFont="1" applyBorder="1" applyAlignment="1">
      <alignment horizontal="center"/>
    </xf>
    <xf numFmtId="6" fontId="29" fillId="0" borderId="16" xfId="0" applyNumberFormat="1" applyFont="1" applyBorder="1" applyAlignment="1">
      <alignment/>
    </xf>
    <xf numFmtId="167" fontId="45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10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center"/>
    </xf>
    <xf numFmtId="3" fontId="29" fillId="0" borderId="0" xfId="0" applyNumberFormat="1" applyFont="1" applyFill="1" applyAlignment="1" quotePrefix="1">
      <alignment/>
    </xf>
    <xf numFmtId="175" fontId="29" fillId="0" borderId="0" xfId="0" applyNumberFormat="1" applyFont="1" applyAlignment="1" applyProtection="1">
      <alignment horizontal="center"/>
      <protection locked="0"/>
    </xf>
    <xf numFmtId="175" fontId="29" fillId="0" borderId="0" xfId="0" applyNumberFormat="1" applyFont="1" applyAlignment="1" quotePrefix="1">
      <alignment/>
    </xf>
    <xf numFmtId="0" fontId="29" fillId="0" borderId="18" xfId="0" applyNumberFormat="1" applyFont="1" applyBorder="1" applyAlignment="1">
      <alignment/>
    </xf>
    <xf numFmtId="3" fontId="29" fillId="0" borderId="0" xfId="0" applyNumberFormat="1" applyFont="1" applyAlignment="1" quotePrefix="1">
      <alignment horizontal="right"/>
    </xf>
    <xf numFmtId="3" fontId="29" fillId="0" borderId="0" xfId="0" applyNumberFormat="1" applyFont="1" applyFill="1" applyBorder="1" applyAlignment="1">
      <alignment horizontal="center"/>
    </xf>
    <xf numFmtId="38" fontId="45" fillId="0" borderId="0" xfId="42" applyNumberFormat="1" applyFont="1" applyFill="1" applyAlignment="1">
      <alignment/>
    </xf>
    <xf numFmtId="42" fontId="29" fillId="22" borderId="0" xfId="0" applyNumberFormat="1" applyFont="1" applyFill="1" applyAlignment="1">
      <alignment/>
    </xf>
    <xf numFmtId="42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 applyProtection="1">
      <alignment/>
      <protection locked="0"/>
    </xf>
    <xf numFmtId="0" fontId="29" fillId="0" borderId="0" xfId="0" applyNumberFormat="1" applyFont="1" applyBorder="1" applyAlignment="1" applyProtection="1">
      <alignment/>
      <protection locked="0"/>
    </xf>
    <xf numFmtId="9" fontId="29" fillId="0" borderId="0" xfId="0" applyNumberFormat="1" applyFont="1" applyAlignment="1">
      <alignment/>
    </xf>
    <xf numFmtId="182" fontId="29" fillId="0" borderId="0" xfId="0" applyNumberFormat="1" applyFont="1" applyAlignment="1">
      <alignment/>
    </xf>
    <xf numFmtId="167" fontId="29" fillId="0" borderId="0" xfId="0" applyFont="1" applyFill="1" applyAlignment="1" quotePrefix="1">
      <alignment/>
    </xf>
    <xf numFmtId="182" fontId="29" fillId="22" borderId="0" xfId="0" applyNumberFormat="1" applyFont="1" applyFill="1" applyAlignment="1">
      <alignment/>
    </xf>
    <xf numFmtId="182" fontId="29" fillId="0" borderId="18" xfId="0" applyNumberFormat="1" applyFont="1" applyBorder="1" applyAlignment="1">
      <alignment/>
    </xf>
    <xf numFmtId="182" fontId="29" fillId="0" borderId="0" xfId="0" applyNumberFormat="1" applyFont="1" applyBorder="1" applyAlignment="1">
      <alignment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Alignment="1" applyProtection="1">
      <alignment/>
      <protection locked="0"/>
    </xf>
    <xf numFmtId="167" fontId="29" fillId="0" borderId="0" xfId="0" applyFont="1" applyFill="1" applyAlignment="1" applyProtection="1">
      <alignment/>
      <protection/>
    </xf>
    <xf numFmtId="38" fontId="29" fillId="22" borderId="0" xfId="0" applyNumberFormat="1" applyFont="1" applyFill="1" applyBorder="1" applyAlignment="1" applyProtection="1">
      <alignment/>
      <protection locked="0"/>
    </xf>
    <xf numFmtId="38" fontId="29" fillId="0" borderId="0" xfId="0" applyNumberFormat="1" applyFont="1" applyFill="1" applyBorder="1" applyAlignment="1" applyProtection="1">
      <alignment/>
      <protection locked="0"/>
    </xf>
    <xf numFmtId="38" fontId="41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Border="1" applyAlignment="1">
      <alignment/>
    </xf>
    <xf numFmtId="38" fontId="29" fillId="22" borderId="18" xfId="0" applyNumberFormat="1" applyFont="1" applyFill="1" applyBorder="1" applyAlignment="1" applyProtection="1">
      <alignment/>
      <protection locked="0"/>
    </xf>
    <xf numFmtId="38" fontId="29" fillId="0" borderId="0" xfId="0" applyNumberFormat="1" applyFont="1" applyFill="1" applyBorder="1" applyAlignment="1" applyProtection="1">
      <alignment/>
      <protection/>
    </xf>
    <xf numFmtId="167" fontId="46" fillId="0" borderId="0" xfId="0" applyFont="1" applyFill="1" applyAlignment="1">
      <alignment/>
    </xf>
    <xf numFmtId="166" fontId="29" fillId="0" borderId="0" xfId="0" applyNumberFormat="1" applyFont="1" applyFill="1" applyBorder="1" applyAlignment="1" applyProtection="1">
      <alignment/>
      <protection/>
    </xf>
    <xf numFmtId="167" fontId="46" fillId="0" borderId="0" xfId="0" applyFont="1" applyAlignment="1">
      <alignment/>
    </xf>
    <xf numFmtId="179" fontId="29" fillId="0" borderId="0" xfId="0" applyNumberFormat="1" applyFont="1" applyAlignment="1" applyProtection="1">
      <alignment/>
      <protection locked="0"/>
    </xf>
    <xf numFmtId="38" fontId="50" fillId="22" borderId="0" xfId="0" applyNumberFormat="1" applyFont="1" applyFill="1" applyBorder="1" applyAlignment="1" applyProtection="1">
      <alignment/>
      <protection locked="0"/>
    </xf>
    <xf numFmtId="38" fontId="50" fillId="0" borderId="0" xfId="0" applyNumberFormat="1" applyFont="1" applyFill="1" applyBorder="1" applyAlignment="1" applyProtection="1">
      <alignment/>
      <protection locked="0"/>
    </xf>
    <xf numFmtId="1" fontId="29" fillId="0" borderId="0" xfId="0" applyNumberFormat="1" applyFont="1" applyFill="1" applyAlignment="1" applyProtection="1">
      <alignment/>
      <protection/>
    </xf>
    <xf numFmtId="167" fontId="51" fillId="0" borderId="0" xfId="0" applyFont="1" applyFill="1" applyAlignment="1">
      <alignment/>
    </xf>
    <xf numFmtId="166" fontId="29" fillId="22" borderId="0" xfId="0" applyNumberFormat="1" applyFont="1" applyFill="1" applyBorder="1" applyAlignment="1" applyProtection="1">
      <alignment/>
      <protection locked="0"/>
    </xf>
    <xf numFmtId="166" fontId="29" fillId="0" borderId="0" xfId="0" applyNumberFormat="1" applyFont="1" applyFill="1" applyBorder="1" applyAlignment="1" applyProtection="1">
      <alignment/>
      <protection locked="0"/>
    </xf>
    <xf numFmtId="1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 locked="0"/>
    </xf>
    <xf numFmtId="0" fontId="29" fillId="0" borderId="10" xfId="0" applyNumberFormat="1" applyFont="1" applyBorder="1" applyAlignment="1" applyProtection="1">
      <alignment/>
      <protection locked="0"/>
    </xf>
    <xf numFmtId="0" fontId="29" fillId="0" borderId="10" xfId="0" applyNumberFormat="1" applyFont="1" applyBorder="1" applyAlignment="1" applyProtection="1">
      <alignment/>
      <protection locked="0"/>
    </xf>
    <xf numFmtId="166" fontId="29" fillId="22" borderId="18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Alignment="1" applyProtection="1">
      <alignment horizontal="right"/>
      <protection locked="0"/>
    </xf>
    <xf numFmtId="167" fontId="29" fillId="0" borderId="0" xfId="0" applyNumberFormat="1" applyFont="1" applyAlignment="1" applyProtection="1">
      <alignment/>
      <protection locked="0"/>
    </xf>
    <xf numFmtId="166" fontId="29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Alignment="1" applyProtection="1">
      <alignment horizontal="left" wrapText="1"/>
      <protection locked="0"/>
    </xf>
    <xf numFmtId="167" fontId="29" fillId="0" borderId="0" xfId="0" applyFont="1" applyAlignment="1">
      <alignment horizontal="left" wrapText="1"/>
    </xf>
    <xf numFmtId="166" fontId="29" fillId="0" borderId="0" xfId="0" applyNumberFormat="1" applyFont="1" applyAlignment="1" applyProtection="1">
      <alignment/>
      <protection locked="0"/>
    </xf>
    <xf numFmtId="0" fontId="29" fillId="0" borderId="0" xfId="0" applyNumberFormat="1" applyFont="1" applyAlignment="1" applyProtection="1">
      <alignment horizontal="left" indent="8"/>
      <protection locked="0"/>
    </xf>
    <xf numFmtId="10" fontId="29" fillId="22" borderId="0" xfId="0" applyNumberFormat="1" applyFont="1" applyFill="1" applyAlignment="1" applyProtection="1">
      <alignment/>
      <protection locked="0"/>
    </xf>
    <xf numFmtId="0" fontId="52" fillId="0" borderId="0" xfId="0" applyNumberFormat="1" applyFont="1" applyFill="1" applyAlignment="1" applyProtection="1">
      <alignment/>
      <protection locked="0"/>
    </xf>
    <xf numFmtId="1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 horizontal="left" indent="2"/>
    </xf>
    <xf numFmtId="167" fontId="29" fillId="0" borderId="0" xfId="0" applyFont="1" applyFill="1" applyAlignment="1">
      <alignment horizontal="left" indent="2"/>
    </xf>
    <xf numFmtId="0" fontId="29" fillId="0" borderId="0" xfId="0" applyNumberFormat="1" applyFont="1" applyFill="1" applyAlignment="1">
      <alignment horizontal="left"/>
    </xf>
    <xf numFmtId="0" fontId="29" fillId="0" borderId="0" xfId="59" applyNumberFormat="1" applyFont="1" applyFill="1">
      <alignment/>
      <protection/>
    </xf>
    <xf numFmtId="178" fontId="21" fillId="22" borderId="0" xfId="42" applyNumberFormat="1" applyFont="1" applyFill="1" applyBorder="1" applyAlignment="1">
      <alignment/>
    </xf>
    <xf numFmtId="178" fontId="21" fillId="22" borderId="10" xfId="42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178" fontId="21" fillId="0" borderId="0" xfId="42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10" fontId="24" fillId="0" borderId="0" xfId="66" applyNumberFormat="1" applyFont="1" applyFill="1" applyBorder="1" applyAlignment="1">
      <alignment/>
    </xf>
    <xf numFmtId="0" fontId="0" fillId="0" borderId="0" xfId="0" applyNumberFormat="1" applyFill="1" applyBorder="1" applyAlignment="1" applyProtection="1" quotePrefix="1">
      <alignment horizontal="center"/>
      <protection locked="0"/>
    </xf>
    <xf numFmtId="169" fontId="23" fillId="0" borderId="0" xfId="0" applyNumberFormat="1" applyFont="1" applyFill="1" applyBorder="1" applyAlignment="1" quotePrefix="1">
      <alignment horizontal="center"/>
    </xf>
    <xf numFmtId="167" fontId="24" fillId="0" borderId="38" xfId="0" applyFont="1" applyFill="1" applyBorder="1" applyAlignment="1">
      <alignment horizontal="center" wrapText="1"/>
    </xf>
    <xf numFmtId="0" fontId="21" fillId="0" borderId="12" xfId="0" applyNumberFormat="1" applyFont="1" applyFill="1" applyBorder="1" applyAlignment="1" quotePrefix="1">
      <alignment horizontal="center"/>
    </xf>
    <xf numFmtId="0" fontId="21" fillId="0" borderId="13" xfId="0" applyNumberFormat="1" applyFont="1" applyFill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168" fontId="0" fillId="0" borderId="0" xfId="45" applyNumberFormat="1" applyFont="1" applyFill="1" applyBorder="1" applyAlignment="1">
      <alignment/>
    </xf>
    <xf numFmtId="167" fontId="0" fillId="0" borderId="15" xfId="0" applyFill="1" applyBorder="1" applyAlignment="1">
      <alignment/>
    </xf>
    <xf numFmtId="168" fontId="0" fillId="0" borderId="15" xfId="45" applyNumberFormat="1" applyFont="1" applyFill="1" applyBorder="1" applyAlignment="1">
      <alignment/>
    </xf>
    <xf numFmtId="168" fontId="21" fillId="0" borderId="15" xfId="45" applyNumberFormat="1" applyFont="1" applyFill="1" applyBorder="1" applyAlignment="1">
      <alignment/>
    </xf>
    <xf numFmtId="168" fontId="21" fillId="0" borderId="0" xfId="45" applyNumberFormat="1" applyFon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167" fontId="54" fillId="0" borderId="0" xfId="0" applyFont="1" applyFill="1" applyBorder="1" applyAlignment="1">
      <alignment/>
    </xf>
    <xf numFmtId="167" fontId="6" fillId="26" borderId="10" xfId="0" applyFont="1" applyFill="1" applyBorder="1" applyAlignment="1" quotePrefix="1">
      <alignment horizontal="center"/>
    </xf>
    <xf numFmtId="0" fontId="33" fillId="0" borderId="10" xfId="62" applyFont="1" applyFill="1" applyBorder="1">
      <alignment vertical="top"/>
      <protection/>
    </xf>
    <xf numFmtId="0" fontId="55" fillId="25" borderId="0" xfId="63" applyFont="1" applyFill="1" applyBorder="1">
      <alignment vertical="top"/>
      <protection/>
    </xf>
    <xf numFmtId="167" fontId="56" fillId="25" borderId="0" xfId="0" applyFont="1" applyFill="1" applyBorder="1" applyAlignment="1">
      <alignment/>
    </xf>
    <xf numFmtId="166" fontId="35" fillId="25" borderId="0" xfId="60" applyNumberFormat="1" applyFont="1" applyFill="1" applyBorder="1" applyAlignment="1">
      <alignment horizontal="center" wrapText="1"/>
    </xf>
    <xf numFmtId="166" fontId="57" fillId="24" borderId="0" xfId="60" applyNumberFormat="1" applyFont="1" applyFill="1" applyAlignment="1">
      <alignment horizontal="center" wrapText="1"/>
    </xf>
    <xf numFmtId="0" fontId="33" fillId="25" borderId="31" xfId="63" applyFont="1" applyFill="1" applyBorder="1">
      <alignment vertical="top"/>
      <protection/>
    </xf>
    <xf numFmtId="0" fontId="6" fillId="0" borderId="31" xfId="61" applyFont="1" applyFill="1" applyBorder="1" applyAlignment="1" quotePrefix="1">
      <alignment horizontal="left"/>
      <protection/>
    </xf>
    <xf numFmtId="166" fontId="6" fillId="7" borderId="26" xfId="45" applyNumberFormat="1" applyFont="1" applyFill="1" applyBorder="1" applyAlignment="1">
      <alignment horizontal="right" vertical="top"/>
    </xf>
    <xf numFmtId="167" fontId="55" fillId="25" borderId="0" xfId="45" applyNumberFormat="1" applyFont="1" applyFill="1" applyBorder="1" applyAlignment="1">
      <alignment horizontal="right" vertical="top"/>
    </xf>
    <xf numFmtId="167" fontId="58" fillId="0" borderId="43" xfId="45" applyNumberFormat="1" applyFont="1" applyBorder="1" applyAlignment="1">
      <alignment horizontal="right" vertical="top"/>
    </xf>
    <xf numFmtId="167" fontId="58" fillId="7" borderId="33" xfId="45" applyNumberFormat="1" applyFont="1" applyFill="1" applyBorder="1" applyAlignment="1">
      <alignment horizontal="right" vertical="top"/>
    </xf>
    <xf numFmtId="167" fontId="58" fillId="0" borderId="34" xfId="45" applyNumberFormat="1" applyFont="1" applyBorder="1" applyAlignment="1">
      <alignment horizontal="right" vertical="top"/>
    </xf>
    <xf numFmtId="0" fontId="33" fillId="25" borderId="15" xfId="63" applyFont="1" applyFill="1" applyBorder="1">
      <alignment vertical="top"/>
      <protection/>
    </xf>
    <xf numFmtId="0" fontId="6" fillId="0" borderId="15" xfId="61" applyFont="1" applyFill="1" applyBorder="1" applyAlignment="1" quotePrefix="1">
      <alignment horizontal="left"/>
      <protection/>
    </xf>
    <xf numFmtId="166" fontId="6" fillId="7" borderId="0" xfId="45" applyNumberFormat="1" applyFont="1" applyFill="1" applyBorder="1" applyAlignment="1">
      <alignment horizontal="right" vertical="top"/>
    </xf>
    <xf numFmtId="2" fontId="55" fillId="25" borderId="0" xfId="63" applyNumberFormat="1" applyFont="1" applyFill="1" applyBorder="1" applyAlignment="1">
      <alignment horizontal="right" vertical="top"/>
      <protection/>
    </xf>
    <xf numFmtId="2" fontId="55" fillId="25" borderId="0" xfId="63" applyNumberFormat="1" applyFont="1" applyFill="1" applyBorder="1" applyAlignment="1">
      <alignment horizontal="right" vertical="top"/>
      <protection/>
    </xf>
    <xf numFmtId="2" fontId="58" fillId="0" borderId="0" xfId="63" applyNumberFormat="1" applyFont="1" applyBorder="1" applyAlignment="1">
      <alignment horizontal="right" vertical="top"/>
      <protection/>
    </xf>
    <xf numFmtId="2" fontId="58" fillId="7" borderId="14" xfId="63" applyNumberFormat="1" applyFont="1" applyFill="1" applyBorder="1" applyAlignment="1">
      <alignment horizontal="right" vertical="top"/>
      <protection/>
    </xf>
    <xf numFmtId="0" fontId="6" fillId="0" borderId="15" xfId="61" applyFont="1" applyFill="1" applyBorder="1">
      <alignment/>
      <protection/>
    </xf>
    <xf numFmtId="0" fontId="33" fillId="25" borderId="17" xfId="63" applyFont="1" applyFill="1" applyBorder="1">
      <alignment vertical="top"/>
      <protection/>
    </xf>
    <xf numFmtId="0" fontId="6" fillId="0" borderId="17" xfId="61" applyFont="1" applyFill="1" applyBorder="1">
      <alignment/>
      <protection/>
    </xf>
    <xf numFmtId="166" fontId="6" fillId="7" borderId="23" xfId="63" applyNumberFormat="1" applyFont="1" applyFill="1" applyBorder="1" applyAlignment="1">
      <alignment horizontal="right" vertical="top"/>
      <protection/>
    </xf>
    <xf numFmtId="167" fontId="55" fillId="25" borderId="0" xfId="63" applyNumberFormat="1" applyFont="1" applyFill="1" applyBorder="1" applyAlignment="1">
      <alignment horizontal="right" vertical="top"/>
      <protection/>
    </xf>
    <xf numFmtId="167" fontId="6" fillId="0" borderId="44" xfId="63" applyNumberFormat="1" applyFont="1" applyBorder="1" applyAlignment="1">
      <alignment horizontal="right" vertical="top"/>
      <protection/>
    </xf>
    <xf numFmtId="167" fontId="6" fillId="7" borderId="11" xfId="63" applyNumberFormat="1" applyFont="1" applyFill="1" applyBorder="1" applyAlignment="1">
      <alignment horizontal="right" vertical="top"/>
      <protection/>
    </xf>
    <xf numFmtId="167" fontId="6" fillId="0" borderId="12" xfId="63" applyNumberFormat="1" applyFont="1" applyBorder="1" applyAlignment="1">
      <alignment horizontal="right" vertical="top"/>
      <protection/>
    </xf>
    <xf numFmtId="0" fontId="6" fillId="7" borderId="0" xfId="63" applyFont="1" applyFill="1" applyBorder="1" applyAlignment="1">
      <alignment horizontal="right" vertical="top"/>
      <protection/>
    </xf>
    <xf numFmtId="0" fontId="55" fillId="25" borderId="0" xfId="63" applyFont="1" applyFill="1" applyBorder="1" applyAlignment="1">
      <alignment horizontal="right" vertical="top"/>
      <protection/>
    </xf>
    <xf numFmtId="0" fontId="6" fillId="0" borderId="0" xfId="63" applyFont="1" applyBorder="1" applyAlignment="1">
      <alignment horizontal="right" vertical="top"/>
      <protection/>
    </xf>
    <xf numFmtId="0" fontId="6" fillId="0" borderId="15" xfId="61" applyFont="1" applyBorder="1">
      <alignment/>
      <protection/>
    </xf>
    <xf numFmtId="0" fontId="6" fillId="0" borderId="0" xfId="63" applyFont="1" applyFill="1" applyBorder="1" applyAlignment="1">
      <alignment horizontal="right" vertical="top"/>
      <protection/>
    </xf>
    <xf numFmtId="37" fontId="6" fillId="25" borderId="0" xfId="61" applyNumberFormat="1" applyFont="1" applyFill="1" applyBorder="1" applyAlignment="1">
      <alignment horizontal="right"/>
      <protection/>
    </xf>
    <xf numFmtId="37" fontId="55" fillId="25" borderId="0" xfId="61" applyNumberFormat="1" applyFont="1" applyFill="1" applyBorder="1" applyAlignment="1">
      <alignment horizontal="right"/>
      <protection/>
    </xf>
    <xf numFmtId="0" fontId="55" fillId="25" borderId="0" xfId="61" applyFont="1" applyFill="1" applyBorder="1" applyAlignment="1">
      <alignment horizontal="right"/>
      <protection/>
    </xf>
    <xf numFmtId="0" fontId="6" fillId="0" borderId="31" xfId="61" applyFont="1" applyBorder="1" applyAlignment="1" quotePrefix="1">
      <alignment horizontal="left"/>
      <protection/>
    </xf>
    <xf numFmtId="167" fontId="6" fillId="0" borderId="43" xfId="45" applyNumberFormat="1" applyFont="1" applyBorder="1" applyAlignment="1">
      <alignment horizontal="right" vertical="top"/>
    </xf>
    <xf numFmtId="167" fontId="6" fillId="7" borderId="33" xfId="45" applyNumberFormat="1" applyFont="1" applyFill="1" applyBorder="1" applyAlignment="1">
      <alignment horizontal="right" vertical="top"/>
    </xf>
    <xf numFmtId="167" fontId="6" fillId="0" borderId="34" xfId="45" applyNumberFormat="1" applyFont="1" applyBorder="1" applyAlignment="1">
      <alignment horizontal="right" vertical="top"/>
    </xf>
    <xf numFmtId="0" fontId="6" fillId="0" borderId="15" xfId="61" applyFont="1" applyBorder="1" applyAlignment="1" quotePrefix="1">
      <alignment horizontal="left"/>
      <protection/>
    </xf>
    <xf numFmtId="2" fontId="6" fillId="0" borderId="0" xfId="63" applyNumberFormat="1" applyFont="1" applyBorder="1" applyAlignment="1">
      <alignment horizontal="right" vertical="top"/>
      <protection/>
    </xf>
    <xf numFmtId="2" fontId="6" fillId="7" borderId="14" xfId="63" applyNumberFormat="1" applyFont="1" applyFill="1" applyBorder="1" applyAlignment="1">
      <alignment horizontal="right" vertical="top"/>
      <protection/>
    </xf>
    <xf numFmtId="0" fontId="6" fillId="0" borderId="17" xfId="61" applyFont="1" applyBorder="1">
      <alignment/>
      <protection/>
    </xf>
    <xf numFmtId="0" fontId="6" fillId="25" borderId="0" xfId="63" applyFont="1" applyFill="1" applyBorder="1" applyAlignment="1">
      <alignment horizontal="right" vertical="top"/>
      <protection/>
    </xf>
    <xf numFmtId="167" fontId="0" fillId="25" borderId="0" xfId="0" applyFill="1" applyAlignment="1">
      <alignment horizontal="right"/>
    </xf>
    <xf numFmtId="167" fontId="56" fillId="25" borderId="0" xfId="0" applyFont="1" applyFill="1" applyBorder="1" applyAlignment="1">
      <alignment horizontal="right"/>
    </xf>
    <xf numFmtId="167" fontId="33" fillId="0" borderId="31" xfId="0" applyFont="1" applyBorder="1" applyAlignment="1">
      <alignment/>
    </xf>
    <xf numFmtId="0" fontId="6" fillId="0" borderId="31" xfId="63" applyFont="1" applyBorder="1">
      <alignment vertical="top"/>
      <protection/>
    </xf>
    <xf numFmtId="166" fontId="6" fillId="7" borderId="42" xfId="63" applyNumberFormat="1" applyFont="1" applyFill="1" applyBorder="1" applyAlignment="1">
      <alignment horizontal="right" vertical="top"/>
      <protection/>
    </xf>
    <xf numFmtId="167" fontId="58" fillId="0" borderId="43" xfId="63" applyNumberFormat="1" applyFont="1" applyBorder="1" applyAlignment="1">
      <alignment horizontal="right" vertical="top"/>
      <protection/>
    </xf>
    <xf numFmtId="167" fontId="58" fillId="7" borderId="34" xfId="63" applyNumberFormat="1" applyFont="1" applyFill="1" applyBorder="1" applyAlignment="1">
      <alignment horizontal="right" vertical="top"/>
      <protection/>
    </xf>
    <xf numFmtId="167" fontId="58" fillId="0" borderId="35" xfId="63" applyNumberFormat="1" applyFont="1" applyBorder="1" applyAlignment="1">
      <alignment horizontal="right" vertical="top"/>
      <protection/>
    </xf>
    <xf numFmtId="0" fontId="6" fillId="0" borderId="17" xfId="63" applyFont="1" applyBorder="1">
      <alignment vertical="top"/>
      <protection/>
    </xf>
    <xf numFmtId="1" fontId="6" fillId="7" borderId="45" xfId="63" applyNumberFormat="1" applyFont="1" applyFill="1" applyBorder="1" applyAlignment="1">
      <alignment horizontal="right" vertical="top"/>
      <protection/>
    </xf>
    <xf numFmtId="2" fontId="58" fillId="0" borderId="46" xfId="63" applyNumberFormat="1" applyFont="1" applyBorder="1" applyAlignment="1">
      <alignment horizontal="right" vertical="top"/>
      <protection/>
    </xf>
    <xf numFmtId="2" fontId="58" fillId="7" borderId="10" xfId="63" applyNumberFormat="1" applyFont="1" applyFill="1" applyBorder="1" applyAlignment="1">
      <alignment horizontal="right" vertical="top"/>
      <protection/>
    </xf>
    <xf numFmtId="2" fontId="58" fillId="0" borderId="36" xfId="63" applyNumberFormat="1" applyFont="1" applyBorder="1" applyAlignment="1">
      <alignment horizontal="right" vertical="top"/>
      <protection/>
    </xf>
    <xf numFmtId="167" fontId="33" fillId="0" borderId="13" xfId="0" applyFont="1" applyBorder="1" applyAlignment="1">
      <alignment wrapText="1"/>
    </xf>
    <xf numFmtId="167" fontId="33" fillId="0" borderId="13" xfId="0" applyFont="1" applyBorder="1" applyAlignment="1">
      <alignment/>
    </xf>
    <xf numFmtId="169" fontId="6" fillId="0" borderId="47" xfId="0" applyNumberFormat="1" applyFont="1" applyBorder="1" applyAlignment="1" quotePrefix="1">
      <alignment horizontal="right" vertical="top"/>
    </xf>
    <xf numFmtId="184" fontId="6" fillId="0" borderId="47" xfId="0" applyNumberFormat="1" applyFont="1" applyBorder="1" applyAlignment="1" quotePrefix="1">
      <alignment vertical="top"/>
    </xf>
    <xf numFmtId="167" fontId="6" fillId="0" borderId="47" xfId="0" applyFont="1" applyBorder="1" applyAlignment="1">
      <alignment vertical="top"/>
    </xf>
    <xf numFmtId="169" fontId="6" fillId="0" borderId="7" xfId="0" applyNumberFormat="1" applyFont="1" applyBorder="1" applyAlignment="1">
      <alignment vertical="top"/>
    </xf>
    <xf numFmtId="184" fontId="6" fillId="0" borderId="7" xfId="0" applyNumberFormat="1" applyFont="1" applyBorder="1" applyAlignment="1">
      <alignment vertical="top"/>
    </xf>
    <xf numFmtId="167" fontId="6" fillId="0" borderId="7" xfId="0" applyFont="1" applyBorder="1" applyAlignment="1">
      <alignment vertical="top"/>
    </xf>
    <xf numFmtId="0" fontId="43" fillId="0" borderId="0" xfId="0" applyNumberFormat="1" applyFont="1" applyAlignment="1" applyProtection="1">
      <alignment horizontal="center"/>
      <protection locked="0"/>
    </xf>
    <xf numFmtId="0" fontId="29" fillId="0" borderId="48" xfId="0" applyNumberFormat="1" applyFont="1" applyBorder="1" applyAlignment="1">
      <alignment horizontal="center"/>
    </xf>
    <xf numFmtId="3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167" fontId="40" fillId="0" borderId="0" xfId="0" applyFont="1" applyAlignment="1">
      <alignment horizontal="center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wrapText="1"/>
    </xf>
    <xf numFmtId="167" fontId="0" fillId="0" borderId="0" xfId="0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TE-4  Attachment  O Populated (3)" xfId="59"/>
    <cellStyle name="Normal_Attachment GG (2)" xfId="60"/>
    <cellStyle name="Normal_Schedule O Info for Mike" xfId="61"/>
    <cellStyle name="Normal_Sheet1" xfId="62"/>
    <cellStyle name="Normal_Sheet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SP%20MISO%20Workpapers%202013%20-%20Budget%20COMBINED%20Updated%201-15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ss Plant"/>
      <sheetName val="Accum Deprec"/>
      <sheetName val="CWIP"/>
      <sheetName val="Adj to Rate Base"/>
      <sheetName val="Land HFFU"/>
      <sheetName val="Working Capital"/>
      <sheetName val="O&amp;M"/>
      <sheetName val="Dep &amp; Amort Exp"/>
      <sheetName val="Taxes Other Than Income"/>
      <sheetName val="Support for Allocation Factors"/>
      <sheetName val="Capital Structure"/>
      <sheetName val="Rev Credits"/>
      <sheetName val="Prior Year True Up"/>
      <sheetName val="True Up Interest Calc"/>
      <sheetName val="Divisor"/>
      <sheetName val="Revenue Credit MISO Review"/>
      <sheetName val="Attachment GG and MM Projects"/>
      <sheetName val="PDF Cover Attach O"/>
      <sheetName val="PDF Cover Attach GG"/>
      <sheetName val="PDF Cover Attach 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374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4.6640625" style="176" customWidth="1"/>
    <col min="2" max="2" width="42.6640625" style="176" customWidth="1"/>
    <col min="3" max="3" width="34.99609375" style="176" customWidth="1"/>
    <col min="4" max="4" width="13.5546875" style="176" customWidth="1"/>
    <col min="5" max="5" width="4.10546875" style="176" customWidth="1"/>
    <col min="6" max="6" width="3.6640625" style="176" customWidth="1"/>
    <col min="7" max="7" width="11.3359375" style="176" customWidth="1"/>
    <col min="8" max="8" width="3.4453125" style="176" customWidth="1"/>
    <col min="9" max="9" width="12.99609375" style="176" customWidth="1"/>
    <col min="10" max="10" width="1.77734375" style="176" customWidth="1"/>
    <col min="11" max="11" width="6.99609375" style="183" customWidth="1"/>
    <col min="12" max="12" width="13.4453125" style="176" customWidth="1"/>
    <col min="13" max="13" width="13.10546875" style="176" customWidth="1"/>
    <col min="14" max="14" width="14.99609375" style="176" customWidth="1"/>
    <col min="15" max="15" width="42.10546875" style="176" customWidth="1"/>
    <col min="16" max="16" width="11.99609375" style="176" customWidth="1"/>
    <col min="17" max="17" width="13.4453125" style="176" bestFit="1" customWidth="1"/>
    <col min="18" max="18" width="12.6640625" style="176" customWidth="1"/>
    <col min="19" max="19" width="8.88671875" style="176" customWidth="1"/>
    <col min="20" max="20" width="5.21484375" style="176" customWidth="1"/>
    <col min="21" max="16384" width="8.88671875" style="176" customWidth="1"/>
  </cols>
  <sheetData>
    <row r="1" spans="2:11" ht="15.75">
      <c r="B1" s="177"/>
      <c r="C1" s="177"/>
      <c r="D1" s="178"/>
      <c r="E1" s="177"/>
      <c r="F1" s="177"/>
      <c r="G1" s="177"/>
      <c r="H1" s="179"/>
      <c r="I1" s="180"/>
      <c r="J1" s="180"/>
      <c r="K1" s="181" t="s">
        <v>216</v>
      </c>
    </row>
    <row r="2" spans="2:11" ht="15.75">
      <c r="B2" s="177"/>
      <c r="C2" s="177"/>
      <c r="D2" s="178"/>
      <c r="E2" s="177"/>
      <c r="F2" s="177"/>
      <c r="G2" s="177"/>
      <c r="H2" s="179"/>
      <c r="I2" s="179"/>
      <c r="J2" s="179"/>
      <c r="K2" s="182"/>
    </row>
    <row r="3" spans="2:13" ht="15.75">
      <c r="B3" s="177" t="s">
        <v>217</v>
      </c>
      <c r="C3" s="177"/>
      <c r="D3" s="178" t="s">
        <v>1</v>
      </c>
      <c r="E3" s="177"/>
      <c r="F3" s="177"/>
      <c r="G3" s="177"/>
      <c r="H3" s="179"/>
      <c r="K3" s="181" t="s">
        <v>218</v>
      </c>
      <c r="L3" s="183"/>
      <c r="M3" s="183"/>
    </row>
    <row r="4" spans="2:13" ht="15.75">
      <c r="B4" s="177"/>
      <c r="C4" s="184" t="s">
        <v>4</v>
      </c>
      <c r="D4" s="184" t="s">
        <v>219</v>
      </c>
      <c r="E4" s="184"/>
      <c r="F4" s="184"/>
      <c r="G4" s="184"/>
      <c r="H4" s="179"/>
      <c r="I4" s="179"/>
      <c r="J4" s="179"/>
      <c r="K4" s="182"/>
      <c r="L4" s="183"/>
      <c r="M4" s="183"/>
    </row>
    <row r="5" spans="2:11" ht="15.75">
      <c r="B5" s="185"/>
      <c r="C5" s="185"/>
      <c r="D5" s="185"/>
      <c r="E5" s="185"/>
      <c r="F5" s="185"/>
      <c r="G5" s="185"/>
      <c r="H5" s="185"/>
      <c r="I5" s="185"/>
      <c r="J5" s="185"/>
      <c r="K5" s="182"/>
    </row>
    <row r="6" spans="1:14" ht="15.75">
      <c r="A6" s="496" t="s">
        <v>107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N6" s="187"/>
    </row>
    <row r="7" spans="1:11" ht="15.75">
      <c r="A7" s="188"/>
      <c r="B7" s="185"/>
      <c r="C7" s="185"/>
      <c r="D7" s="189"/>
      <c r="E7" s="185"/>
      <c r="F7" s="185"/>
      <c r="G7" s="185"/>
      <c r="H7" s="185"/>
      <c r="I7" s="185"/>
      <c r="J7" s="185"/>
      <c r="K7" s="182"/>
    </row>
    <row r="8" spans="1:11" ht="15.75">
      <c r="A8" s="188" t="s">
        <v>2</v>
      </c>
      <c r="B8" s="185"/>
      <c r="C8" s="185"/>
      <c r="D8" s="189"/>
      <c r="E8" s="185"/>
      <c r="F8" s="185"/>
      <c r="G8" s="185"/>
      <c r="H8" s="185"/>
      <c r="I8" s="188" t="s">
        <v>220</v>
      </c>
      <c r="J8" s="188"/>
      <c r="K8" s="182"/>
    </row>
    <row r="9" spans="1:11" ht="16.5" thickBot="1">
      <c r="A9" s="190" t="s">
        <v>3</v>
      </c>
      <c r="B9" s="185"/>
      <c r="C9" s="185"/>
      <c r="D9" s="185"/>
      <c r="E9" s="185"/>
      <c r="F9" s="185"/>
      <c r="G9" s="185"/>
      <c r="H9" s="185"/>
      <c r="I9" s="190" t="s">
        <v>221</v>
      </c>
      <c r="J9" s="191"/>
      <c r="K9" s="182"/>
    </row>
    <row r="10" spans="1:12" ht="15.75">
      <c r="A10" s="188">
        <v>1</v>
      </c>
      <c r="B10" s="185" t="s">
        <v>222</v>
      </c>
      <c r="C10" s="185"/>
      <c r="D10" s="192"/>
      <c r="E10" s="185"/>
      <c r="F10" s="185"/>
      <c r="G10" s="185"/>
      <c r="H10" s="185"/>
      <c r="I10" s="193">
        <f>+I211</f>
        <v>345078353.8570427</v>
      </c>
      <c r="J10" s="193"/>
      <c r="K10" s="182"/>
      <c r="L10" s="194"/>
    </row>
    <row r="11" spans="1:11" ht="15.75">
      <c r="A11" s="188"/>
      <c r="B11" s="185"/>
      <c r="C11" s="185"/>
      <c r="D11" s="185"/>
      <c r="E11" s="185"/>
      <c r="F11" s="185"/>
      <c r="G11" s="185"/>
      <c r="H11" s="185"/>
      <c r="I11" s="192"/>
      <c r="J11" s="192"/>
      <c r="K11" s="182"/>
    </row>
    <row r="12" spans="1:11" ht="16.5" thickBot="1">
      <c r="A12" s="188" t="s">
        <v>4</v>
      </c>
      <c r="B12" s="195" t="s">
        <v>223</v>
      </c>
      <c r="C12" s="196" t="s">
        <v>224</v>
      </c>
      <c r="D12" s="190" t="s">
        <v>225</v>
      </c>
      <c r="E12" s="184"/>
      <c r="F12" s="197" t="s">
        <v>5</v>
      </c>
      <c r="G12" s="197"/>
      <c r="H12" s="185"/>
      <c r="I12" s="192"/>
      <c r="J12" s="192"/>
      <c r="K12" s="182"/>
    </row>
    <row r="13" spans="1:11" ht="15.75">
      <c r="A13" s="188">
        <v>2</v>
      </c>
      <c r="B13" s="195" t="s">
        <v>226</v>
      </c>
      <c r="C13" s="184" t="s">
        <v>227</v>
      </c>
      <c r="D13" s="184">
        <f>I284</f>
        <v>156420</v>
      </c>
      <c r="E13" s="184"/>
      <c r="F13" s="184" t="s">
        <v>228</v>
      </c>
      <c r="G13" s="198">
        <f>I234</f>
        <v>0.9708054120154952</v>
      </c>
      <c r="H13" s="184"/>
      <c r="I13" s="184">
        <f>+G13*D13</f>
        <v>151853.38254746376</v>
      </c>
      <c r="J13" s="184"/>
      <c r="K13" s="182"/>
    </row>
    <row r="14" spans="1:11" ht="15.75">
      <c r="A14" s="188">
        <v>3</v>
      </c>
      <c r="B14" s="195" t="s">
        <v>229</v>
      </c>
      <c r="C14" s="184" t="s">
        <v>230</v>
      </c>
      <c r="D14" s="184">
        <f>I291</f>
        <v>28531033.371370926</v>
      </c>
      <c r="E14" s="184"/>
      <c r="F14" s="184" t="str">
        <f aca="true" t="shared" si="0" ref="F14:G16">+F13</f>
        <v>TP</v>
      </c>
      <c r="G14" s="198">
        <f t="shared" si="0"/>
        <v>0.9708054120154952</v>
      </c>
      <c r="H14" s="184"/>
      <c r="I14" s="184">
        <f>+G14*D14</f>
        <v>27698081.607321594</v>
      </c>
      <c r="J14" s="184"/>
      <c r="K14" s="182"/>
    </row>
    <row r="15" spans="1:11" ht="15.75">
      <c r="A15" s="188">
        <v>4</v>
      </c>
      <c r="B15" s="199" t="s">
        <v>231</v>
      </c>
      <c r="C15" s="184"/>
      <c r="D15" s="200">
        <v>0</v>
      </c>
      <c r="E15" s="184"/>
      <c r="F15" s="184" t="str">
        <f t="shared" si="0"/>
        <v>TP</v>
      </c>
      <c r="G15" s="198">
        <f t="shared" si="0"/>
        <v>0.9708054120154952</v>
      </c>
      <c r="H15" s="184"/>
      <c r="I15" s="184">
        <f>+G15*D15</f>
        <v>0</v>
      </c>
      <c r="J15" s="184"/>
      <c r="K15" s="182"/>
    </row>
    <row r="16" spans="1:18" ht="16.5" thickBot="1">
      <c r="A16" s="188">
        <v>5</v>
      </c>
      <c r="B16" s="199" t="s">
        <v>232</v>
      </c>
      <c r="C16" s="184"/>
      <c r="D16" s="200">
        <v>0</v>
      </c>
      <c r="E16" s="184"/>
      <c r="F16" s="184" t="str">
        <f t="shared" si="0"/>
        <v>TP</v>
      </c>
      <c r="G16" s="198">
        <f t="shared" si="0"/>
        <v>0.9708054120154952</v>
      </c>
      <c r="H16" s="184"/>
      <c r="I16" s="201">
        <f>+G16*D16</f>
        <v>0</v>
      </c>
      <c r="J16" s="202"/>
      <c r="K16" s="182"/>
      <c r="P16" s="203" t="s">
        <v>147</v>
      </c>
      <c r="Q16" s="203" t="s">
        <v>147</v>
      </c>
      <c r="R16" s="203" t="s">
        <v>233</v>
      </c>
    </row>
    <row r="17" spans="1:18" ht="15.75">
      <c r="A17" s="188">
        <v>6</v>
      </c>
      <c r="B17" s="195" t="s">
        <v>234</v>
      </c>
      <c r="C17" s="185"/>
      <c r="D17" s="204" t="s">
        <v>4</v>
      </c>
      <c r="E17" s="184"/>
      <c r="F17" s="184"/>
      <c r="G17" s="198"/>
      <c r="H17" s="184"/>
      <c r="I17" s="184">
        <f>SUM(I13:I16)</f>
        <v>27849934.989869058</v>
      </c>
      <c r="J17" s="184"/>
      <c r="K17" s="182"/>
      <c r="P17" s="203" t="s">
        <v>235</v>
      </c>
      <c r="Q17" s="203" t="s">
        <v>235</v>
      </c>
      <c r="R17" s="203" t="s">
        <v>236</v>
      </c>
    </row>
    <row r="18" spans="1:18" ht="15.75">
      <c r="A18" s="188"/>
      <c r="B18" s="195"/>
      <c r="C18" s="185"/>
      <c r="D18" s="204"/>
      <c r="E18" s="184"/>
      <c r="F18" s="184"/>
      <c r="G18" s="198"/>
      <c r="H18" s="184"/>
      <c r="I18" s="184"/>
      <c r="J18" s="196"/>
      <c r="K18" s="182"/>
      <c r="N18" s="176" t="s">
        <v>237</v>
      </c>
      <c r="O18" s="176" t="s">
        <v>147</v>
      </c>
      <c r="P18" s="203" t="s">
        <v>238</v>
      </c>
      <c r="Q18" s="203" t="s">
        <v>239</v>
      </c>
      <c r="R18" s="203" t="s">
        <v>240</v>
      </c>
    </row>
    <row r="19" spans="1:18" ht="15.75">
      <c r="A19" s="205" t="s">
        <v>241</v>
      </c>
      <c r="B19" s="183" t="s">
        <v>242</v>
      </c>
      <c r="C19" s="182"/>
      <c r="D19" s="196" t="s">
        <v>4</v>
      </c>
      <c r="E19" s="182"/>
      <c r="F19" s="182"/>
      <c r="G19" s="206"/>
      <c r="H19" s="182"/>
      <c r="I19" s="207">
        <v>274598348</v>
      </c>
      <c r="J19" s="208"/>
      <c r="K19" s="182"/>
      <c r="N19" s="176" t="s">
        <v>243</v>
      </c>
      <c r="O19" s="209">
        <f>+Q28</f>
        <v>7677371</v>
      </c>
      <c r="P19" s="209">
        <v>0</v>
      </c>
      <c r="Q19" s="209">
        <f>+O19-P19</f>
        <v>7677371</v>
      </c>
      <c r="R19" s="210">
        <f>Q19/Q21</f>
        <v>0.0030054760951505883</v>
      </c>
    </row>
    <row r="20" spans="1:18" ht="16.5" thickBot="1">
      <c r="A20" s="205" t="s">
        <v>244</v>
      </c>
      <c r="B20" s="183" t="s">
        <v>245</v>
      </c>
      <c r="C20" s="182" t="s">
        <v>246</v>
      </c>
      <c r="D20" s="196"/>
      <c r="E20" s="182"/>
      <c r="F20" s="182"/>
      <c r="G20" s="206"/>
      <c r="H20" s="182"/>
      <c r="I20" s="211">
        <v>270341032.536743</v>
      </c>
      <c r="J20" s="208"/>
      <c r="K20" s="182"/>
      <c r="N20" s="176" t="s">
        <v>247</v>
      </c>
      <c r="O20" s="212">
        <f>+O21-O19</f>
        <v>2716499044.121538</v>
      </c>
      <c r="P20" s="213">
        <v>169715572</v>
      </c>
      <c r="Q20" s="212">
        <f>+O20-P20</f>
        <v>2546783472.121538</v>
      </c>
      <c r="R20" s="214">
        <f>Q20/Q21</f>
        <v>0.9969945239048494</v>
      </c>
    </row>
    <row r="21" spans="1:18" ht="15.75">
      <c r="A21" s="205" t="s">
        <v>248</v>
      </c>
      <c r="B21" s="183" t="s">
        <v>249</v>
      </c>
      <c r="C21" s="182" t="s">
        <v>250</v>
      </c>
      <c r="D21" s="196"/>
      <c r="E21" s="182"/>
      <c r="F21" s="182"/>
      <c r="G21" s="206"/>
      <c r="H21" s="182"/>
      <c r="I21" s="208">
        <f>I19-I20</f>
        <v>4257315.463257015</v>
      </c>
      <c r="J21" s="208"/>
      <c r="K21" s="182"/>
      <c r="N21" s="176" t="s">
        <v>225</v>
      </c>
      <c r="O21" s="215">
        <f>+I86</f>
        <v>2724176415.121538</v>
      </c>
      <c r="P21" s="215">
        <f>SUM(P19:P20)</f>
        <v>169715572</v>
      </c>
      <c r="Q21" s="215">
        <f>SUM(Q19:Q20)</f>
        <v>2554460843.121538</v>
      </c>
      <c r="R21" s="216">
        <f>SUM(R19:R20)</f>
        <v>1</v>
      </c>
    </row>
    <row r="22" spans="1:11" ht="15.75">
      <c r="A22" s="205" t="s">
        <v>251</v>
      </c>
      <c r="B22" s="183" t="s">
        <v>252</v>
      </c>
      <c r="C22" s="182" t="s">
        <v>253</v>
      </c>
      <c r="D22" s="196"/>
      <c r="E22" s="182"/>
      <c r="F22" s="182"/>
      <c r="G22" s="206"/>
      <c r="H22" s="182"/>
      <c r="I22" s="207">
        <v>1415521.9490887572</v>
      </c>
      <c r="J22" s="208"/>
      <c r="K22" s="182"/>
    </row>
    <row r="23" spans="1:11" ht="16.5" thickBot="1">
      <c r="A23" s="205" t="s">
        <v>254</v>
      </c>
      <c r="B23" s="183" t="s">
        <v>255</v>
      </c>
      <c r="C23" s="182"/>
      <c r="D23" s="196"/>
      <c r="E23" s="182"/>
      <c r="F23" s="182"/>
      <c r="G23" s="206"/>
      <c r="H23" s="182"/>
      <c r="I23" s="211">
        <v>42115.15557254806</v>
      </c>
      <c r="J23" s="208"/>
      <c r="K23" s="182"/>
    </row>
    <row r="24" spans="1:16" ht="15.75">
      <c r="A24" s="188"/>
      <c r="B24" s="195"/>
      <c r="C24" s="185"/>
      <c r="I24" s="184"/>
      <c r="J24" s="196"/>
      <c r="K24" s="182"/>
      <c r="P24" s="176" t="s">
        <v>256</v>
      </c>
    </row>
    <row r="25" spans="1:12" ht="16.5" thickBot="1">
      <c r="A25" s="188">
        <v>7</v>
      </c>
      <c r="B25" s="195" t="s">
        <v>257</v>
      </c>
      <c r="C25" s="182" t="s">
        <v>258</v>
      </c>
      <c r="D25" s="204"/>
      <c r="E25" s="184"/>
      <c r="F25" s="184"/>
      <c r="G25" s="184"/>
      <c r="H25" s="184"/>
      <c r="I25" s="217">
        <f>+I10-I17+I21+I22+I23</f>
        <v>322943371.4350919</v>
      </c>
      <c r="J25" s="218"/>
      <c r="K25" s="182"/>
      <c r="L25" s="194"/>
    </row>
    <row r="26" spans="1:19" ht="16.5" thickTop="1">
      <c r="A26" s="188"/>
      <c r="C26" s="185"/>
      <c r="D26" s="204"/>
      <c r="E26" s="184"/>
      <c r="F26" s="184"/>
      <c r="G26" s="184"/>
      <c r="H26" s="184"/>
      <c r="J26" s="183"/>
      <c r="K26" s="182"/>
      <c r="Q26" s="497"/>
      <c r="R26" s="497"/>
      <c r="S26" s="497"/>
    </row>
    <row r="27" spans="1:11" ht="15.75">
      <c r="A27" s="188"/>
      <c r="B27" s="195" t="s">
        <v>259</v>
      </c>
      <c r="C27" s="185"/>
      <c r="D27" s="192"/>
      <c r="E27" s="185"/>
      <c r="F27" s="185"/>
      <c r="G27" s="185"/>
      <c r="H27" s="185"/>
      <c r="I27" s="192"/>
      <c r="J27" s="219"/>
      <c r="K27" s="182"/>
    </row>
    <row r="28" spans="1:19" ht="15.75">
      <c r="A28" s="188">
        <v>8</v>
      </c>
      <c r="B28" s="220" t="s">
        <v>260</v>
      </c>
      <c r="C28" s="183"/>
      <c r="D28" s="192"/>
      <c r="E28" s="185"/>
      <c r="F28" s="185"/>
      <c r="G28" s="221" t="s">
        <v>261</v>
      </c>
      <c r="H28" s="185"/>
      <c r="I28" s="222">
        <v>6758666.666666667</v>
      </c>
      <c r="J28" s="219"/>
      <c r="K28" s="182"/>
      <c r="N28" s="223">
        <v>4755171</v>
      </c>
      <c r="O28" s="224" t="s">
        <v>262</v>
      </c>
      <c r="P28" s="225"/>
      <c r="Q28" s="223">
        <v>7677371</v>
      </c>
      <c r="R28" s="224" t="s">
        <v>263</v>
      </c>
      <c r="S28" s="225"/>
    </row>
    <row r="29" spans="1:19" ht="15.75">
      <c r="A29" s="188">
        <v>9</v>
      </c>
      <c r="B29" s="195" t="s">
        <v>264</v>
      </c>
      <c r="C29" s="184"/>
      <c r="D29" s="184"/>
      <c r="E29" s="184"/>
      <c r="F29" s="184"/>
      <c r="G29" s="196" t="s">
        <v>265</v>
      </c>
      <c r="H29" s="184"/>
      <c r="I29" s="222">
        <v>0</v>
      </c>
      <c r="J29" s="219"/>
      <c r="K29" s="182"/>
      <c r="N29" s="226">
        <f>N28/I102</f>
        <v>0.0025406341257282403</v>
      </c>
      <c r="O29" s="505" t="s">
        <v>696</v>
      </c>
      <c r="P29" s="227"/>
      <c r="Q29" s="226">
        <f>Q28/Q21</f>
        <v>0.0030054760951505883</v>
      </c>
      <c r="R29" s="228" t="s">
        <v>266</v>
      </c>
      <c r="S29" s="229"/>
    </row>
    <row r="30" spans="1:19" ht="15.75">
      <c r="A30" s="188">
        <v>10</v>
      </c>
      <c r="B30" s="199" t="s">
        <v>267</v>
      </c>
      <c r="C30" s="185"/>
      <c r="D30" s="185"/>
      <c r="E30" s="185"/>
      <c r="G30" s="221" t="s">
        <v>6</v>
      </c>
      <c r="H30" s="185"/>
      <c r="I30" s="222">
        <v>442500</v>
      </c>
      <c r="J30" s="219"/>
      <c r="K30" s="182"/>
      <c r="N30" s="230">
        <f>P32/P34</f>
        <v>0.008910593190918137</v>
      </c>
      <c r="O30" s="231" t="s">
        <v>268</v>
      </c>
      <c r="P30" s="232"/>
      <c r="Q30" s="233"/>
      <c r="R30" s="234"/>
      <c r="S30" s="235"/>
    </row>
    <row r="31" spans="1:19" ht="15.75">
      <c r="A31" s="188">
        <v>11</v>
      </c>
      <c r="B31" s="195" t="s">
        <v>269</v>
      </c>
      <c r="C31" s="185"/>
      <c r="D31" s="185"/>
      <c r="E31" s="185"/>
      <c r="G31" s="221" t="s">
        <v>7</v>
      </c>
      <c r="H31" s="185"/>
      <c r="I31" s="236">
        <v>0</v>
      </c>
      <c r="J31" s="199"/>
      <c r="K31" s="182"/>
      <c r="N31" s="237" t="s">
        <v>237</v>
      </c>
      <c r="O31" s="238" t="s">
        <v>270</v>
      </c>
      <c r="P31" s="239" t="s">
        <v>271</v>
      </c>
      <c r="Q31" s="237" t="s">
        <v>237</v>
      </c>
      <c r="R31" s="238" t="s">
        <v>270</v>
      </c>
      <c r="S31" s="239" t="s">
        <v>271</v>
      </c>
    </row>
    <row r="32" spans="1:19" ht="15.75">
      <c r="A32" s="188">
        <v>12</v>
      </c>
      <c r="B32" s="199" t="s">
        <v>272</v>
      </c>
      <c r="C32" s="185"/>
      <c r="D32" s="185"/>
      <c r="E32" s="185"/>
      <c r="F32" s="185"/>
      <c r="G32" s="179"/>
      <c r="H32" s="185"/>
      <c r="I32" s="236">
        <v>0</v>
      </c>
      <c r="J32" s="199"/>
      <c r="K32" s="182"/>
      <c r="N32" s="240" t="s">
        <v>243</v>
      </c>
      <c r="O32" s="241">
        <f>N29*I25</f>
        <v>820480.9501457252</v>
      </c>
      <c r="P32" s="242">
        <v>64166.666666666664</v>
      </c>
      <c r="Q32" s="240" t="s">
        <v>243</v>
      </c>
      <c r="R32" s="241">
        <f>Q29*I25</f>
        <v>970598.5829355061</v>
      </c>
      <c r="S32" s="243">
        <f>P32</f>
        <v>64166.666666666664</v>
      </c>
    </row>
    <row r="33" spans="1:19" ht="15.75">
      <c r="A33" s="188">
        <v>13</v>
      </c>
      <c r="B33" s="199" t="s">
        <v>273</v>
      </c>
      <c r="C33" s="185"/>
      <c r="D33" s="185"/>
      <c r="E33" s="185"/>
      <c r="F33" s="185"/>
      <c r="G33" s="221"/>
      <c r="H33" s="185"/>
      <c r="I33" s="236">
        <v>0</v>
      </c>
      <c r="J33" s="199"/>
      <c r="K33" s="182"/>
      <c r="N33" s="244" t="s">
        <v>247</v>
      </c>
      <c r="O33" s="241">
        <f>O34-O32</f>
        <v>322122890.4849462</v>
      </c>
      <c r="P33" s="245">
        <f>P34-P32</f>
        <v>7137000</v>
      </c>
      <c r="Q33" s="244" t="s">
        <v>247</v>
      </c>
      <c r="R33" s="241">
        <f>R34-R32</f>
        <v>321972772.8521564</v>
      </c>
      <c r="S33" s="245">
        <f>P33-S32</f>
        <v>7072833.333333333</v>
      </c>
    </row>
    <row r="34" spans="1:19" ht="16.5" thickBot="1">
      <c r="A34" s="188">
        <v>14</v>
      </c>
      <c r="B34" s="199" t="s">
        <v>274</v>
      </c>
      <c r="C34" s="185"/>
      <c r="D34" s="185"/>
      <c r="E34" s="185"/>
      <c r="F34" s="185"/>
      <c r="G34" s="179"/>
      <c r="H34" s="185"/>
      <c r="I34" s="246">
        <v>0</v>
      </c>
      <c r="J34" s="199"/>
      <c r="K34" s="182"/>
      <c r="N34" s="247" t="s">
        <v>225</v>
      </c>
      <c r="O34" s="248">
        <f>I25</f>
        <v>322943371.4350919</v>
      </c>
      <c r="P34" s="249">
        <f>I36</f>
        <v>7201166.666666667</v>
      </c>
      <c r="Q34" s="247" t="s">
        <v>225</v>
      </c>
      <c r="R34" s="248">
        <f>I25</f>
        <v>322943371.4350919</v>
      </c>
      <c r="S34" s="249">
        <f>SUM(S32:S33)</f>
        <v>7137000</v>
      </c>
    </row>
    <row r="35" spans="1:16" s="183" customFormat="1" ht="15.75">
      <c r="A35" s="205"/>
      <c r="B35" s="199"/>
      <c r="C35" s="182"/>
      <c r="D35" s="182"/>
      <c r="E35" s="182"/>
      <c r="F35" s="182"/>
      <c r="G35" s="221"/>
      <c r="H35" s="182"/>
      <c r="I35" s="199"/>
      <c r="J35" s="199"/>
      <c r="K35" s="182"/>
      <c r="N35" s="176"/>
      <c r="O35" s="176"/>
      <c r="P35" s="176"/>
    </row>
    <row r="36" spans="1:11" ht="15.75">
      <c r="A36" s="188">
        <v>15</v>
      </c>
      <c r="B36" s="177" t="s">
        <v>275</v>
      </c>
      <c r="C36" s="185"/>
      <c r="D36" s="185"/>
      <c r="E36" s="185"/>
      <c r="F36" s="185"/>
      <c r="G36" s="185"/>
      <c r="H36" s="185"/>
      <c r="I36" s="219">
        <f>SUM(I28:I34)</f>
        <v>7201166.666666667</v>
      </c>
      <c r="J36" s="219"/>
      <c r="K36" s="182"/>
    </row>
    <row r="37" spans="1:12" ht="15.75">
      <c r="A37" s="188">
        <v>16</v>
      </c>
      <c r="B37" s="195" t="s">
        <v>276</v>
      </c>
      <c r="C37" s="185" t="s">
        <v>277</v>
      </c>
      <c r="D37" s="250">
        <f>IF(I36&gt;0,I25/I36,0)</f>
        <v>44.845979323039124</v>
      </c>
      <c r="E37" s="185"/>
      <c r="F37" s="185"/>
      <c r="G37" s="185"/>
      <c r="H37" s="185"/>
      <c r="J37" s="183"/>
      <c r="K37" s="182"/>
      <c r="L37" s="250"/>
    </row>
    <row r="38" spans="1:11" ht="15.75">
      <c r="A38" s="188">
        <v>17</v>
      </c>
      <c r="B38" s="195" t="s">
        <v>278</v>
      </c>
      <c r="C38" s="185" t="s">
        <v>279</v>
      </c>
      <c r="D38" s="251">
        <f>+D37/12</f>
        <v>3.7371649435865937</v>
      </c>
      <c r="E38" s="185"/>
      <c r="F38" s="185"/>
      <c r="G38" s="185"/>
      <c r="H38" s="185"/>
      <c r="K38" s="182"/>
    </row>
    <row r="39" spans="1:11" ht="15.75">
      <c r="A39" s="188"/>
      <c r="B39" s="195"/>
      <c r="C39" s="185"/>
      <c r="D39" s="251"/>
      <c r="E39" s="185"/>
      <c r="F39" s="185"/>
      <c r="G39" s="185"/>
      <c r="H39" s="185"/>
      <c r="K39" s="182"/>
    </row>
    <row r="40" spans="1:11" ht="15.75">
      <c r="A40" s="188"/>
      <c r="B40" s="195"/>
      <c r="C40" s="185"/>
      <c r="D40" s="252" t="s">
        <v>280</v>
      </c>
      <c r="E40" s="185"/>
      <c r="F40" s="185"/>
      <c r="G40" s="185"/>
      <c r="H40" s="185"/>
      <c r="I40" s="253" t="s">
        <v>281</v>
      </c>
      <c r="J40" s="253"/>
      <c r="K40" s="182"/>
    </row>
    <row r="41" spans="1:11" ht="15.75">
      <c r="A41" s="188">
        <v>18</v>
      </c>
      <c r="B41" s="195" t="s">
        <v>282</v>
      </c>
      <c r="C41" s="254" t="s">
        <v>283</v>
      </c>
      <c r="D41" s="251">
        <f>+D37/52</f>
        <v>0.8624226792892139</v>
      </c>
      <c r="E41" s="185"/>
      <c r="F41" s="185"/>
      <c r="G41" s="185"/>
      <c r="H41" s="185"/>
      <c r="I41" s="255">
        <f>+D37/52</f>
        <v>0.8624226792892139</v>
      </c>
      <c r="J41" s="255"/>
      <c r="K41" s="182"/>
    </row>
    <row r="42" spans="1:11" ht="15.75">
      <c r="A42" s="188">
        <v>19</v>
      </c>
      <c r="B42" s="195" t="s">
        <v>284</v>
      </c>
      <c r="C42" s="185" t="s">
        <v>285</v>
      </c>
      <c r="D42" s="251">
        <f>+D37/260</f>
        <v>0.1724845358578428</v>
      </c>
      <c r="E42" s="185" t="s">
        <v>286</v>
      </c>
      <c r="G42" s="185"/>
      <c r="H42" s="185"/>
      <c r="I42" s="255">
        <f>D37/365</f>
        <v>0.12286569677544966</v>
      </c>
      <c r="J42" s="255"/>
      <c r="K42" s="182"/>
    </row>
    <row r="43" spans="1:11" ht="15.75">
      <c r="A43" s="188">
        <v>20</v>
      </c>
      <c r="B43" s="195" t="s">
        <v>287</v>
      </c>
      <c r="C43" s="185" t="s">
        <v>288</v>
      </c>
      <c r="D43" s="251">
        <f>+D37/4160*1000</f>
        <v>10.780283491115174</v>
      </c>
      <c r="E43" s="185" t="s">
        <v>289</v>
      </c>
      <c r="G43" s="185"/>
      <c r="H43" s="185"/>
      <c r="I43" s="255">
        <f>+D37/8760*1000</f>
        <v>5.119404032310402</v>
      </c>
      <c r="J43" s="255"/>
      <c r="K43" s="182" t="s">
        <v>4</v>
      </c>
    </row>
    <row r="44" spans="1:11" ht="15.75">
      <c r="A44" s="188"/>
      <c r="B44" s="195"/>
      <c r="C44" s="185" t="s">
        <v>290</v>
      </c>
      <c r="D44" s="185"/>
      <c r="E44" s="185" t="s">
        <v>291</v>
      </c>
      <c r="G44" s="185"/>
      <c r="H44" s="185"/>
      <c r="K44" s="182" t="s">
        <v>4</v>
      </c>
    </row>
    <row r="45" spans="1:11" ht="15.75">
      <c r="A45" s="188"/>
      <c r="B45" s="195"/>
      <c r="C45" s="185"/>
      <c r="D45" s="185"/>
      <c r="E45" s="185"/>
      <c r="G45" s="185"/>
      <c r="H45" s="185"/>
      <c r="K45" s="182" t="s">
        <v>4</v>
      </c>
    </row>
    <row r="46" spans="1:10" ht="15.75">
      <c r="A46" s="188">
        <v>21</v>
      </c>
      <c r="B46" s="195" t="s">
        <v>292</v>
      </c>
      <c r="C46" s="185" t="s">
        <v>69</v>
      </c>
      <c r="D46" s="256">
        <v>0</v>
      </c>
      <c r="E46" s="257" t="s">
        <v>293</v>
      </c>
      <c r="F46" s="257"/>
      <c r="G46" s="257"/>
      <c r="H46" s="257"/>
      <c r="I46" s="257">
        <f>D46</f>
        <v>0</v>
      </c>
      <c r="J46" s="257" t="s">
        <v>293</v>
      </c>
    </row>
    <row r="47" spans="1:10" ht="15.75">
      <c r="A47" s="188">
        <v>22</v>
      </c>
      <c r="B47" s="195"/>
      <c r="C47" s="185"/>
      <c r="D47" s="256">
        <v>0</v>
      </c>
      <c r="E47" s="257" t="s">
        <v>294</v>
      </c>
      <c r="F47" s="257"/>
      <c r="G47" s="257"/>
      <c r="H47" s="257"/>
      <c r="I47" s="257">
        <f>D47</f>
        <v>0</v>
      </c>
      <c r="J47" s="257" t="s">
        <v>294</v>
      </c>
    </row>
    <row r="48" spans="1:11" s="183" customFormat="1" ht="15.75">
      <c r="A48" s="205"/>
      <c r="B48" s="220"/>
      <c r="C48" s="182"/>
      <c r="D48" s="258"/>
      <c r="E48" s="258"/>
      <c r="F48" s="258"/>
      <c r="G48" s="258"/>
      <c r="H48" s="258"/>
      <c r="I48" s="258"/>
      <c r="J48" s="258"/>
      <c r="K48" s="182"/>
    </row>
    <row r="49" spans="1:11" s="183" customFormat="1" ht="15.75">
      <c r="A49" s="205"/>
      <c r="B49" s="220"/>
      <c r="C49" s="182"/>
      <c r="D49" s="258"/>
      <c r="E49" s="258"/>
      <c r="F49" s="258"/>
      <c r="G49" s="258"/>
      <c r="H49" s="258"/>
      <c r="I49" s="258"/>
      <c r="J49" s="258"/>
      <c r="K49" s="182"/>
    </row>
    <row r="50" spans="1:11" s="183" customFormat="1" ht="15.75">
      <c r="A50" s="205"/>
      <c r="B50" s="220"/>
      <c r="C50" s="182"/>
      <c r="D50" s="258"/>
      <c r="E50" s="258"/>
      <c r="F50" s="258"/>
      <c r="G50" s="258"/>
      <c r="H50" s="258"/>
      <c r="I50" s="258"/>
      <c r="J50" s="258"/>
      <c r="K50" s="182"/>
    </row>
    <row r="51" spans="1:11" s="183" customFormat="1" ht="15.75">
      <c r="A51" s="205"/>
      <c r="B51" s="220"/>
      <c r="C51" s="182"/>
      <c r="D51" s="258"/>
      <c r="E51" s="258"/>
      <c r="F51" s="258"/>
      <c r="G51" s="258"/>
      <c r="H51" s="258"/>
      <c r="I51" s="258"/>
      <c r="J51" s="258"/>
      <c r="K51" s="182"/>
    </row>
    <row r="52" spans="1:11" s="183" customFormat="1" ht="15.75">
      <c r="A52" s="205"/>
      <c r="B52" s="220"/>
      <c r="C52" s="182"/>
      <c r="D52" s="258"/>
      <c r="E52" s="258"/>
      <c r="F52" s="258"/>
      <c r="G52" s="258"/>
      <c r="H52" s="258"/>
      <c r="I52" s="258"/>
      <c r="J52" s="258"/>
      <c r="K52" s="182"/>
    </row>
    <row r="53" spans="1:11" s="183" customFormat="1" ht="15.75">
      <c r="A53" s="205"/>
      <c r="B53" s="220"/>
      <c r="C53" s="182"/>
      <c r="D53" s="258"/>
      <c r="E53" s="258"/>
      <c r="F53" s="258"/>
      <c r="G53" s="258"/>
      <c r="H53" s="258"/>
      <c r="I53" s="258"/>
      <c r="J53" s="258"/>
      <c r="K53" s="182"/>
    </row>
    <row r="54" spans="1:11" s="183" customFormat="1" ht="15.75">
      <c r="A54" s="205"/>
      <c r="B54" s="220"/>
      <c r="C54" s="182"/>
      <c r="D54" s="258"/>
      <c r="E54" s="258"/>
      <c r="F54" s="258"/>
      <c r="G54" s="258"/>
      <c r="H54" s="258"/>
      <c r="I54" s="258"/>
      <c r="J54" s="258"/>
      <c r="K54" s="182"/>
    </row>
    <row r="55" spans="1:11" s="183" customFormat="1" ht="15.75">
      <c r="A55" s="205"/>
      <c r="B55" s="220"/>
      <c r="C55" s="182"/>
      <c r="D55" s="258"/>
      <c r="E55" s="258"/>
      <c r="F55" s="258"/>
      <c r="G55" s="258"/>
      <c r="H55" s="258"/>
      <c r="I55" s="258"/>
      <c r="J55" s="258"/>
      <c r="K55" s="182"/>
    </row>
    <row r="56" spans="1:11" s="183" customFormat="1" ht="15.75">
      <c r="A56" s="205"/>
      <c r="B56" s="220"/>
      <c r="C56" s="182"/>
      <c r="D56" s="258"/>
      <c r="E56" s="258"/>
      <c r="F56" s="258"/>
      <c r="G56" s="258"/>
      <c r="H56" s="258"/>
      <c r="I56" s="258"/>
      <c r="J56" s="258"/>
      <c r="K56" s="182"/>
    </row>
    <row r="57" spans="1:11" s="183" customFormat="1" ht="15.75">
      <c r="A57" s="205"/>
      <c r="B57" s="220"/>
      <c r="C57" s="182"/>
      <c r="D57" s="258"/>
      <c r="E57" s="258"/>
      <c r="F57" s="258"/>
      <c r="G57" s="258"/>
      <c r="H57" s="258"/>
      <c r="I57" s="258"/>
      <c r="J57" s="258"/>
      <c r="K57" s="182"/>
    </row>
    <row r="58" spans="1:11" s="183" customFormat="1" ht="15.75">
      <c r="A58" s="205"/>
      <c r="B58" s="220"/>
      <c r="C58" s="182"/>
      <c r="D58" s="258"/>
      <c r="E58" s="258"/>
      <c r="F58" s="258"/>
      <c r="G58" s="258"/>
      <c r="H58" s="258"/>
      <c r="I58" s="258"/>
      <c r="J58" s="258"/>
      <c r="K58" s="182"/>
    </row>
    <row r="59" spans="1:11" s="183" customFormat="1" ht="15.75">
      <c r="A59" s="205"/>
      <c r="B59" s="220"/>
      <c r="C59" s="182"/>
      <c r="D59" s="258"/>
      <c r="E59" s="258"/>
      <c r="F59" s="258"/>
      <c r="G59" s="258"/>
      <c r="H59" s="258"/>
      <c r="I59" s="258"/>
      <c r="J59" s="258"/>
      <c r="K59" s="182"/>
    </row>
    <row r="60" spans="1:11" s="183" customFormat="1" ht="15.75">
      <c r="A60" s="205"/>
      <c r="B60" s="220"/>
      <c r="C60" s="182"/>
      <c r="D60" s="258"/>
      <c r="E60" s="258"/>
      <c r="F60" s="258"/>
      <c r="G60" s="258"/>
      <c r="H60" s="258"/>
      <c r="I60" s="258"/>
      <c r="J60" s="258"/>
      <c r="K60" s="182"/>
    </row>
    <row r="61" spans="1:11" s="183" customFormat="1" ht="15.75">
      <c r="A61" s="205"/>
      <c r="B61" s="220"/>
      <c r="C61" s="182"/>
      <c r="D61" s="258"/>
      <c r="E61" s="258"/>
      <c r="F61" s="258"/>
      <c r="G61" s="258"/>
      <c r="H61" s="258"/>
      <c r="I61" s="258"/>
      <c r="J61" s="258"/>
      <c r="K61" s="182"/>
    </row>
    <row r="62" spans="1:11" s="183" customFormat="1" ht="15.75">
      <c r="A62" s="205"/>
      <c r="B62" s="220"/>
      <c r="C62" s="182"/>
      <c r="D62" s="258"/>
      <c r="E62" s="258"/>
      <c r="F62" s="258"/>
      <c r="G62" s="258"/>
      <c r="H62" s="258"/>
      <c r="I62" s="258"/>
      <c r="J62" s="258"/>
      <c r="K62" s="182"/>
    </row>
    <row r="63" spans="1:11" s="183" customFormat="1" ht="15.75">
      <c r="A63" s="205"/>
      <c r="B63" s="220"/>
      <c r="C63" s="182"/>
      <c r="D63" s="258"/>
      <c r="E63" s="258"/>
      <c r="F63" s="258"/>
      <c r="G63" s="258"/>
      <c r="H63" s="258"/>
      <c r="I63" s="258"/>
      <c r="J63" s="258"/>
      <c r="K63" s="182"/>
    </row>
    <row r="64" spans="1:11" s="183" customFormat="1" ht="15.75">
      <c r="A64" s="205"/>
      <c r="B64" s="220"/>
      <c r="C64" s="182"/>
      <c r="D64" s="258"/>
      <c r="E64" s="258"/>
      <c r="F64" s="258"/>
      <c r="G64" s="258"/>
      <c r="H64" s="258"/>
      <c r="I64" s="258"/>
      <c r="J64" s="258"/>
      <c r="K64" s="182"/>
    </row>
    <row r="65" spans="1:11" s="183" customFormat="1" ht="15.75">
      <c r="A65" s="205"/>
      <c r="B65" s="220"/>
      <c r="C65" s="182"/>
      <c r="D65" s="258"/>
      <c r="E65" s="258"/>
      <c r="F65" s="258"/>
      <c r="G65" s="258"/>
      <c r="H65" s="258"/>
      <c r="I65" s="258"/>
      <c r="J65" s="258"/>
      <c r="K65" s="182"/>
    </row>
    <row r="66" spans="1:11" s="183" customFormat="1" ht="15.75">
      <c r="A66" s="205"/>
      <c r="B66" s="220"/>
      <c r="C66" s="182"/>
      <c r="D66" s="258"/>
      <c r="E66" s="258"/>
      <c r="F66" s="258"/>
      <c r="G66" s="258"/>
      <c r="H66" s="258"/>
      <c r="I66" s="258"/>
      <c r="J66" s="258"/>
      <c r="K66" s="182"/>
    </row>
    <row r="67" spans="1:11" s="183" customFormat="1" ht="15.75">
      <c r="A67" s="205"/>
      <c r="B67" s="220"/>
      <c r="C67" s="182"/>
      <c r="D67" s="258"/>
      <c r="E67" s="258"/>
      <c r="F67" s="258"/>
      <c r="G67" s="258"/>
      <c r="H67" s="258"/>
      <c r="I67" s="258"/>
      <c r="J67" s="258"/>
      <c r="K67" s="182"/>
    </row>
    <row r="68" spans="1:11" s="183" customFormat="1" ht="15.75">
      <c r="A68" s="205"/>
      <c r="B68" s="220"/>
      <c r="C68" s="182"/>
      <c r="D68" s="258"/>
      <c r="E68" s="258"/>
      <c r="F68" s="258"/>
      <c r="G68" s="258"/>
      <c r="H68" s="258"/>
      <c r="I68" s="258"/>
      <c r="J68" s="258"/>
      <c r="K68" s="182"/>
    </row>
    <row r="69" spans="1:11" s="183" customFormat="1" ht="15.75">
      <c r="A69" s="205"/>
      <c r="B69" s="220"/>
      <c r="C69" s="182"/>
      <c r="D69" s="258"/>
      <c r="E69" s="258"/>
      <c r="F69" s="258"/>
      <c r="G69" s="258"/>
      <c r="H69" s="258"/>
      <c r="I69" s="258"/>
      <c r="J69" s="258"/>
      <c r="K69" s="182"/>
    </row>
    <row r="70" spans="1:11" s="183" customFormat="1" ht="15.75">
      <c r="A70" s="205"/>
      <c r="B70" s="220"/>
      <c r="C70" s="182"/>
      <c r="D70" s="258"/>
      <c r="E70" s="258"/>
      <c r="F70" s="258"/>
      <c r="G70" s="258"/>
      <c r="H70" s="258"/>
      <c r="I70" s="258"/>
      <c r="J70" s="258"/>
      <c r="K70" s="182"/>
    </row>
    <row r="71" spans="1:11" s="183" customFormat="1" ht="15.75">
      <c r="A71" s="205"/>
      <c r="B71" s="220"/>
      <c r="C71" s="182"/>
      <c r="D71" s="258"/>
      <c r="E71" s="258"/>
      <c r="F71" s="258"/>
      <c r="G71" s="258"/>
      <c r="H71" s="258"/>
      <c r="I71" s="258"/>
      <c r="J71" s="258"/>
      <c r="K71" s="182"/>
    </row>
    <row r="72" spans="1:11" s="183" customFormat="1" ht="15.75">
      <c r="A72" s="205"/>
      <c r="B72" s="220"/>
      <c r="C72" s="182"/>
      <c r="D72" s="258"/>
      <c r="E72" s="258"/>
      <c r="F72" s="258"/>
      <c r="G72" s="258"/>
      <c r="H72" s="258"/>
      <c r="I72" s="258"/>
      <c r="J72" s="258"/>
      <c r="K72" s="182"/>
    </row>
    <row r="73" spans="2:11" ht="15.75">
      <c r="B73" s="177"/>
      <c r="C73" s="177"/>
      <c r="D73" s="178"/>
      <c r="E73" s="177"/>
      <c r="F73" s="177"/>
      <c r="G73" s="177"/>
      <c r="H73" s="179"/>
      <c r="I73" s="179"/>
      <c r="J73" s="179"/>
      <c r="K73" s="259" t="s">
        <v>295</v>
      </c>
    </row>
    <row r="74" spans="2:11" ht="15.75">
      <c r="B74" s="177"/>
      <c r="C74" s="177"/>
      <c r="D74" s="178"/>
      <c r="E74" s="177"/>
      <c r="F74" s="177"/>
      <c r="G74" s="177"/>
      <c r="H74" s="179"/>
      <c r="I74" s="179"/>
      <c r="J74" s="179"/>
      <c r="K74" s="260"/>
    </row>
    <row r="75" spans="2:11" ht="15.75">
      <c r="B75" s="177" t="s">
        <v>217</v>
      </c>
      <c r="C75" s="177"/>
      <c r="D75" s="178" t="s">
        <v>1</v>
      </c>
      <c r="E75" s="177"/>
      <c r="F75" s="177"/>
      <c r="G75" s="177"/>
      <c r="H75" s="179"/>
      <c r="K75" s="180" t="str">
        <f>K3</f>
        <v>For the 12 months ended 12/31/13</v>
      </c>
    </row>
    <row r="76" spans="2:11" ht="15.75">
      <c r="B76" s="177"/>
      <c r="C76" s="184" t="s">
        <v>4</v>
      </c>
      <c r="D76" s="184" t="s">
        <v>219</v>
      </c>
      <c r="E76" s="184"/>
      <c r="F76" s="184"/>
      <c r="G76" s="184"/>
      <c r="H76" s="179"/>
      <c r="I76" s="179"/>
      <c r="J76" s="179"/>
      <c r="K76" s="182"/>
    </row>
    <row r="77" spans="2:11" ht="15.75">
      <c r="B77" s="177"/>
      <c r="C77" s="184"/>
      <c r="D77" s="184"/>
      <c r="E77" s="184"/>
      <c r="F77" s="184"/>
      <c r="G77" s="184"/>
      <c r="H77" s="179"/>
      <c r="I77" s="179"/>
      <c r="J77" s="179"/>
      <c r="K77" s="182"/>
    </row>
    <row r="78" spans="1:11" ht="15.75">
      <c r="A78" s="495" t="str">
        <f>A6</f>
        <v>Northern States Power Companies</v>
      </c>
      <c r="B78" s="495"/>
      <c r="C78" s="495"/>
      <c r="D78" s="495"/>
      <c r="E78" s="495"/>
      <c r="F78" s="495"/>
      <c r="G78" s="495"/>
      <c r="H78" s="495"/>
      <c r="I78" s="495"/>
      <c r="J78" s="495"/>
      <c r="K78" s="495"/>
    </row>
    <row r="79" spans="2:11" ht="15.75">
      <c r="B79" s="195"/>
      <c r="C79" s="185"/>
      <c r="D79" s="196"/>
      <c r="E79" s="196"/>
      <c r="F79" s="196"/>
      <c r="G79" s="196"/>
      <c r="H79" s="184"/>
      <c r="I79" s="184"/>
      <c r="J79" s="184"/>
      <c r="K79" s="196"/>
    </row>
    <row r="80" spans="2:11" ht="15.75">
      <c r="B80" s="262" t="s">
        <v>8</v>
      </c>
      <c r="C80" s="262" t="s">
        <v>9</v>
      </c>
      <c r="D80" s="262" t="s">
        <v>10</v>
      </c>
      <c r="E80" s="184" t="s">
        <v>4</v>
      </c>
      <c r="F80" s="184"/>
      <c r="G80" s="263" t="s">
        <v>11</v>
      </c>
      <c r="H80" s="184"/>
      <c r="I80" s="264" t="s">
        <v>296</v>
      </c>
      <c r="J80" s="264"/>
      <c r="K80" s="265"/>
    </row>
    <row r="81" spans="2:13" ht="15.75">
      <c r="B81" s="195"/>
      <c r="C81" s="266" t="s">
        <v>297</v>
      </c>
      <c r="D81" s="184"/>
      <c r="E81" s="184"/>
      <c r="F81" s="184"/>
      <c r="G81" s="188"/>
      <c r="H81" s="184"/>
      <c r="I81" s="267" t="s">
        <v>12</v>
      </c>
      <c r="J81" s="267"/>
      <c r="K81" s="265"/>
      <c r="L81" s="268" t="s">
        <v>298</v>
      </c>
      <c r="M81" s="268" t="s">
        <v>299</v>
      </c>
    </row>
    <row r="82" spans="1:13" ht="15.75">
      <c r="A82" s="188" t="s">
        <v>2</v>
      </c>
      <c r="B82" s="195"/>
      <c r="C82" s="269" t="s">
        <v>13</v>
      </c>
      <c r="D82" s="270" t="s">
        <v>300</v>
      </c>
      <c r="E82" s="271"/>
      <c r="F82" s="267" t="s">
        <v>301</v>
      </c>
      <c r="H82" s="271"/>
      <c r="I82" s="188" t="s">
        <v>302</v>
      </c>
      <c r="J82" s="188"/>
      <c r="K82" s="265"/>
      <c r="L82" s="268" t="s">
        <v>225</v>
      </c>
      <c r="M82" s="268" t="s">
        <v>225</v>
      </c>
    </row>
    <row r="83" spans="1:11" ht="16.5" thickBot="1">
      <c r="A83" s="190" t="s">
        <v>3</v>
      </c>
      <c r="B83" s="272" t="s">
        <v>303</v>
      </c>
      <c r="C83" s="184"/>
      <c r="D83" s="184"/>
      <c r="E83" s="184"/>
      <c r="F83" s="184"/>
      <c r="G83" s="184"/>
      <c r="H83" s="184"/>
      <c r="I83" s="184"/>
      <c r="J83" s="184"/>
      <c r="K83" s="196"/>
    </row>
    <row r="84" spans="1:11" ht="15.75">
      <c r="A84" s="188"/>
      <c r="B84" s="195" t="s">
        <v>304</v>
      </c>
      <c r="C84" s="273"/>
      <c r="D84" s="184"/>
      <c r="E84" s="184"/>
      <c r="F84" s="184"/>
      <c r="G84" s="184"/>
      <c r="H84" s="184"/>
      <c r="I84" s="184"/>
      <c r="J84" s="184"/>
      <c r="K84" s="196"/>
    </row>
    <row r="85" spans="1:13" ht="15.75">
      <c r="A85" s="188">
        <v>1</v>
      </c>
      <c r="B85" s="195" t="s">
        <v>305</v>
      </c>
      <c r="C85" s="196" t="s">
        <v>306</v>
      </c>
      <c r="D85" s="200">
        <f>L85+M85</f>
        <v>7191085931.265385</v>
      </c>
      <c r="E85" s="184"/>
      <c r="F85" s="184" t="s">
        <v>307</v>
      </c>
      <c r="G85" s="274" t="s">
        <v>4</v>
      </c>
      <c r="H85" s="184"/>
      <c r="I85" s="184" t="s">
        <v>4</v>
      </c>
      <c r="J85" s="184"/>
      <c r="K85" s="196"/>
      <c r="L85" s="275">
        <v>6749293231</v>
      </c>
      <c r="M85" s="275">
        <v>441792700.2653847</v>
      </c>
    </row>
    <row r="86" spans="1:14" ht="15.75">
      <c r="A86" s="188">
        <v>2</v>
      </c>
      <c r="B86" s="195" t="s">
        <v>308</v>
      </c>
      <c r="C86" s="196" t="s">
        <v>309</v>
      </c>
      <c r="D86" s="200">
        <f>L86+M86</f>
        <v>2806099328.871538</v>
      </c>
      <c r="E86" s="184"/>
      <c r="F86" s="184" t="s">
        <v>228</v>
      </c>
      <c r="G86" s="274">
        <f>I234</f>
        <v>0.9708054120154952</v>
      </c>
      <c r="H86" s="184"/>
      <c r="I86" s="184">
        <f>+G86*D86</f>
        <v>2724176415.121538</v>
      </c>
      <c r="J86" s="184"/>
      <c r="K86" s="196"/>
      <c r="L86" s="275">
        <v>2201805153</v>
      </c>
      <c r="M86" s="275">
        <v>604294175.8715384</v>
      </c>
      <c r="N86" s="276"/>
    </row>
    <row r="87" spans="1:14" ht="15.75">
      <c r="A87" s="188">
        <v>3</v>
      </c>
      <c r="B87" s="195" t="s">
        <v>310</v>
      </c>
      <c r="C87" s="196" t="s">
        <v>311</v>
      </c>
      <c r="D87" s="200">
        <f>L87+M87</f>
        <v>3999673578.8669233</v>
      </c>
      <c r="E87" s="184"/>
      <c r="F87" s="184" t="s">
        <v>307</v>
      </c>
      <c r="G87" s="274" t="s">
        <v>4</v>
      </c>
      <c r="H87" s="184"/>
      <c r="I87" s="184" t="s">
        <v>4</v>
      </c>
      <c r="J87" s="184"/>
      <c r="K87" s="196"/>
      <c r="L87" s="275">
        <v>3279039846</v>
      </c>
      <c r="M87" s="275">
        <v>720633732.8669231</v>
      </c>
      <c r="N87" s="195"/>
    </row>
    <row r="88" spans="1:14" ht="15.75">
      <c r="A88" s="188">
        <v>4</v>
      </c>
      <c r="B88" s="195" t="s">
        <v>312</v>
      </c>
      <c r="C88" s="196" t="s">
        <v>313</v>
      </c>
      <c r="D88" s="200">
        <f>L88+M88</f>
        <v>559307064.2169231</v>
      </c>
      <c r="E88" s="184"/>
      <c r="F88" s="184" t="s">
        <v>314</v>
      </c>
      <c r="G88" s="274">
        <f>I252</f>
        <v>0.06546739827906531</v>
      </c>
      <c r="H88" s="184"/>
      <c r="I88" s="184">
        <f>+G88*D88</f>
        <v>36616378.33338406</v>
      </c>
      <c r="J88" s="184"/>
      <c r="K88" s="196"/>
      <c r="L88" s="275">
        <v>468376615</v>
      </c>
      <c r="M88" s="275">
        <v>90930449.21692309</v>
      </c>
      <c r="N88" s="195"/>
    </row>
    <row r="89" spans="1:14" ht="16.5" thickBot="1">
      <c r="A89" s="188">
        <v>5</v>
      </c>
      <c r="B89" s="195" t="s">
        <v>315</v>
      </c>
      <c r="C89" s="196" t="s">
        <v>316</v>
      </c>
      <c r="D89" s="211">
        <f>L89+M89</f>
        <v>598237450.656923</v>
      </c>
      <c r="E89" s="184"/>
      <c r="F89" s="184" t="s">
        <v>317</v>
      </c>
      <c r="G89" s="274">
        <f>K257</f>
        <v>0.06008590767187731</v>
      </c>
      <c r="H89" s="184"/>
      <c r="I89" s="201">
        <f>+G89*D89</f>
        <v>35945640.22603114</v>
      </c>
      <c r="J89" s="202"/>
      <c r="K89" s="196"/>
      <c r="L89" s="277">
        <v>480995769</v>
      </c>
      <c r="M89" s="277">
        <v>117241681.65692304</v>
      </c>
      <c r="N89" s="278"/>
    </row>
    <row r="90" spans="1:14" ht="15.75">
      <c r="A90" s="188">
        <v>6</v>
      </c>
      <c r="B90" s="177" t="s">
        <v>318</v>
      </c>
      <c r="C90" s="196"/>
      <c r="D90" s="184">
        <f>SUM(D85:D89)</f>
        <v>15154403353.877691</v>
      </c>
      <c r="E90" s="184"/>
      <c r="F90" s="184" t="s">
        <v>319</v>
      </c>
      <c r="G90" s="279">
        <f>IF(I90&gt;0,I90/D90,0)</f>
        <v>0.18454955753604957</v>
      </c>
      <c r="H90" s="184"/>
      <c r="I90" s="184">
        <f>SUM(I85:I89)</f>
        <v>2796738433.6809535</v>
      </c>
      <c r="J90" s="184"/>
      <c r="K90" s="280"/>
      <c r="L90" s="184">
        <f>SUM(L85:L89)</f>
        <v>13179510614</v>
      </c>
      <c r="M90" s="184">
        <f>SUM(M85:M89)</f>
        <v>1974892739.8776922</v>
      </c>
      <c r="N90" s="195"/>
    </row>
    <row r="91" spans="2:14" ht="15.75">
      <c r="B91" s="195"/>
      <c r="C91" s="184"/>
      <c r="D91" s="184"/>
      <c r="E91" s="184"/>
      <c r="F91" s="184"/>
      <c r="G91" s="279"/>
      <c r="H91" s="184"/>
      <c r="I91" s="184"/>
      <c r="J91" s="184"/>
      <c r="K91" s="280"/>
      <c r="L91" s="184"/>
      <c r="M91" s="184"/>
      <c r="N91" s="195"/>
    </row>
    <row r="92" spans="2:14" ht="15.75">
      <c r="B92" s="195" t="s">
        <v>320</v>
      </c>
      <c r="C92" s="184"/>
      <c r="D92" s="184"/>
      <c r="E92" s="184"/>
      <c r="F92" s="184"/>
      <c r="G92" s="184"/>
      <c r="H92" s="184"/>
      <c r="I92" s="184"/>
      <c r="J92" s="184"/>
      <c r="K92" s="196"/>
      <c r="L92" s="184"/>
      <c r="M92" s="184"/>
      <c r="N92" s="195"/>
    </row>
    <row r="93" spans="1:14" ht="15.75">
      <c r="A93" s="188">
        <v>7</v>
      </c>
      <c r="B93" s="195" t="str">
        <f>+B85</f>
        <v>  Production</v>
      </c>
      <c r="C93" s="184" t="s">
        <v>321</v>
      </c>
      <c r="D93" s="200">
        <f>L93+M93</f>
        <v>3378656311.6984615</v>
      </c>
      <c r="E93" s="184"/>
      <c r="F93" s="184" t="str">
        <f>+F85</f>
        <v>NA</v>
      </c>
      <c r="G93" s="274" t="str">
        <f>+G85</f>
        <v> </v>
      </c>
      <c r="H93" s="184"/>
      <c r="I93" s="184" t="s">
        <v>4</v>
      </c>
      <c r="J93" s="184"/>
      <c r="K93" s="196"/>
      <c r="L93" s="275">
        <v>3101231231</v>
      </c>
      <c r="M93" s="275">
        <v>277425080.6984616</v>
      </c>
      <c r="N93" s="195"/>
    </row>
    <row r="94" spans="1:14" ht="15.75">
      <c r="A94" s="188">
        <v>8</v>
      </c>
      <c r="B94" s="195" t="str">
        <f>+B86</f>
        <v>  Transmission</v>
      </c>
      <c r="C94" s="184" t="s">
        <v>322</v>
      </c>
      <c r="D94" s="200">
        <f>L94+M94</f>
        <v>878166834.7146155</v>
      </c>
      <c r="E94" s="184"/>
      <c r="F94" s="184" t="str">
        <f>+F86</f>
        <v>TP</v>
      </c>
      <c r="G94" s="274">
        <f>+G86</f>
        <v>0.9708054120154952</v>
      </c>
      <c r="H94" s="184"/>
      <c r="I94" s="184">
        <f>+G94*D94</f>
        <v>852529115.7934655</v>
      </c>
      <c r="J94" s="184"/>
      <c r="K94" s="196"/>
      <c r="L94" s="275">
        <v>676563112</v>
      </c>
      <c r="M94" s="275">
        <v>201603722.71461546</v>
      </c>
      <c r="N94" s="281"/>
    </row>
    <row r="95" spans="1:14" ht="15.75">
      <c r="A95" s="188">
        <v>9</v>
      </c>
      <c r="B95" s="195" t="str">
        <f>+B87</f>
        <v>  Distribution</v>
      </c>
      <c r="C95" s="184" t="s">
        <v>323</v>
      </c>
      <c r="D95" s="200">
        <f>L95+M95</f>
        <v>1678099493.5423079</v>
      </c>
      <c r="E95" s="184"/>
      <c r="F95" s="184" t="str">
        <f aca="true" t="shared" si="1" ref="F95:G97">+F87</f>
        <v>NA</v>
      </c>
      <c r="G95" s="274" t="str">
        <f t="shared" si="1"/>
        <v> </v>
      </c>
      <c r="H95" s="184"/>
      <c r="I95" s="184" t="s">
        <v>4</v>
      </c>
      <c r="J95" s="184"/>
      <c r="K95" s="196"/>
      <c r="L95" s="275">
        <v>1329176769</v>
      </c>
      <c r="M95" s="275">
        <v>348922724.54230773</v>
      </c>
      <c r="N95" s="195"/>
    </row>
    <row r="96" spans="1:14" ht="15.75">
      <c r="A96" s="188">
        <v>10</v>
      </c>
      <c r="B96" s="195" t="str">
        <f>+B88</f>
        <v>  General &amp; Intangible</v>
      </c>
      <c r="C96" s="184" t="s">
        <v>324</v>
      </c>
      <c r="D96" s="200">
        <f>L96+M96</f>
        <v>215392960.59923077</v>
      </c>
      <c r="E96" s="184"/>
      <c r="F96" s="184" t="str">
        <f t="shared" si="1"/>
        <v>W/S</v>
      </c>
      <c r="G96" s="274">
        <f t="shared" si="1"/>
        <v>0.06546739827906531</v>
      </c>
      <c r="H96" s="184"/>
      <c r="I96" s="184">
        <f>+G96*D96</f>
        <v>14101216.738056863</v>
      </c>
      <c r="J96" s="184"/>
      <c r="K96" s="196"/>
      <c r="L96" s="275">
        <v>180713538</v>
      </c>
      <c r="M96" s="275">
        <v>34679422.59923076</v>
      </c>
      <c r="N96" s="282"/>
    </row>
    <row r="97" spans="1:14" ht="16.5" thickBot="1">
      <c r="A97" s="188">
        <v>11</v>
      </c>
      <c r="B97" s="195" t="str">
        <f>+B89</f>
        <v>  Common</v>
      </c>
      <c r="C97" s="184" t="s">
        <v>316</v>
      </c>
      <c r="D97" s="211">
        <f>L97+M97</f>
        <v>336767672.2630769</v>
      </c>
      <c r="E97" s="184"/>
      <c r="F97" s="184" t="str">
        <f t="shared" si="1"/>
        <v>CE</v>
      </c>
      <c r="G97" s="274">
        <f t="shared" si="1"/>
        <v>0.06008590767187731</v>
      </c>
      <c r="H97" s="184"/>
      <c r="I97" s="201">
        <f>+G97*D97</f>
        <v>20234991.262472276</v>
      </c>
      <c r="J97" s="202"/>
      <c r="K97" s="196"/>
      <c r="L97" s="277">
        <v>277595615</v>
      </c>
      <c r="M97" s="277">
        <v>59172057.26307693</v>
      </c>
      <c r="N97" s="278"/>
    </row>
    <row r="98" spans="1:14" ht="15.75">
      <c r="A98" s="188">
        <v>12</v>
      </c>
      <c r="B98" s="195" t="s">
        <v>325</v>
      </c>
      <c r="C98" s="184"/>
      <c r="D98" s="283">
        <f>SUM(D93:D97)</f>
        <v>6487083272.817693</v>
      </c>
      <c r="E98" s="184"/>
      <c r="F98" s="184"/>
      <c r="G98" s="184"/>
      <c r="H98" s="184"/>
      <c r="I98" s="184">
        <f>SUM(I93:I97)</f>
        <v>886865323.7939947</v>
      </c>
      <c r="J98" s="184"/>
      <c r="K98" s="196"/>
      <c r="L98" s="184">
        <f>SUM(L93:L97)</f>
        <v>5565280265</v>
      </c>
      <c r="M98" s="184">
        <f>SUM(M93:M97)</f>
        <v>921803007.8176924</v>
      </c>
      <c r="N98" s="195"/>
    </row>
    <row r="99" spans="1:14" ht="15.75">
      <c r="A99" s="188"/>
      <c r="C99" s="184" t="s">
        <v>4</v>
      </c>
      <c r="E99" s="184"/>
      <c r="F99" s="184"/>
      <c r="G99" s="279"/>
      <c r="H99" s="184"/>
      <c r="K99" s="280"/>
      <c r="L99" s="184"/>
      <c r="M99" s="184"/>
      <c r="N99" s="195"/>
    </row>
    <row r="100" spans="1:14" ht="15.75">
      <c r="A100" s="188"/>
      <c r="B100" s="195" t="s">
        <v>326</v>
      </c>
      <c r="C100" s="184"/>
      <c r="D100" s="184"/>
      <c r="E100" s="184"/>
      <c r="F100" s="184"/>
      <c r="G100" s="184"/>
      <c r="H100" s="184"/>
      <c r="I100" s="184"/>
      <c r="J100" s="184"/>
      <c r="K100" s="196"/>
      <c r="L100" s="184"/>
      <c r="M100" s="184"/>
      <c r="N100" s="195"/>
    </row>
    <row r="101" spans="1:14" ht="15.75">
      <c r="A101" s="188">
        <v>13</v>
      </c>
      <c r="B101" s="195" t="str">
        <f>+B93</f>
        <v>  Production</v>
      </c>
      <c r="C101" s="184" t="s">
        <v>327</v>
      </c>
      <c r="D101" s="184">
        <f>D85-D93</f>
        <v>3812429619.566923</v>
      </c>
      <c r="E101" s="184"/>
      <c r="F101" s="184"/>
      <c r="G101" s="279"/>
      <c r="H101" s="184"/>
      <c r="I101" s="184" t="s">
        <v>4</v>
      </c>
      <c r="J101" s="184"/>
      <c r="K101" s="280"/>
      <c r="L101" s="202">
        <f aca="true" t="shared" si="2" ref="L101:M105">L85-L93</f>
        <v>3648062000</v>
      </c>
      <c r="M101" s="202">
        <f t="shared" si="2"/>
        <v>164367619.56692308</v>
      </c>
      <c r="N101" s="195"/>
    </row>
    <row r="102" spans="1:14" ht="15.75">
      <c r="A102" s="188">
        <v>14</v>
      </c>
      <c r="B102" s="195" t="str">
        <f>+B94</f>
        <v>  Transmission</v>
      </c>
      <c r="C102" s="196" t="s">
        <v>328</v>
      </c>
      <c r="D102" s="196">
        <f>D86-D94</f>
        <v>1927932494.1569228</v>
      </c>
      <c r="E102" s="184"/>
      <c r="F102" s="184"/>
      <c r="G102" s="274"/>
      <c r="H102" s="184"/>
      <c r="I102" s="196">
        <f>I86-I94</f>
        <v>1871647299.3280725</v>
      </c>
      <c r="J102" s="196"/>
      <c r="K102" s="280"/>
      <c r="L102" s="196">
        <f t="shared" si="2"/>
        <v>1525242041</v>
      </c>
      <c r="M102" s="196">
        <f t="shared" si="2"/>
        <v>402690453.15692294</v>
      </c>
      <c r="N102" s="195"/>
    </row>
    <row r="103" spans="1:14" ht="15.75">
      <c r="A103" s="188">
        <v>15</v>
      </c>
      <c r="B103" s="195" t="str">
        <f>+B95</f>
        <v>  Distribution</v>
      </c>
      <c r="C103" s="184" t="s">
        <v>329</v>
      </c>
      <c r="D103" s="184">
        <f>D87-D95</f>
        <v>2321574085.3246155</v>
      </c>
      <c r="E103" s="184"/>
      <c r="F103" s="184"/>
      <c r="G103" s="279"/>
      <c r="H103" s="184"/>
      <c r="I103" s="184" t="s">
        <v>4</v>
      </c>
      <c r="J103" s="184"/>
      <c r="K103" s="280"/>
      <c r="L103" s="202">
        <f t="shared" si="2"/>
        <v>1949863077</v>
      </c>
      <c r="M103" s="202">
        <f t="shared" si="2"/>
        <v>371711008.32461536</v>
      </c>
      <c r="N103" s="195"/>
    </row>
    <row r="104" spans="1:14" ht="15.75">
      <c r="A104" s="188">
        <v>16</v>
      </c>
      <c r="B104" s="195" t="str">
        <f>+B96</f>
        <v>  General &amp; Intangible</v>
      </c>
      <c r="C104" s="184" t="s">
        <v>330</v>
      </c>
      <c r="D104" s="184">
        <f>D88-D96</f>
        <v>343914103.61769235</v>
      </c>
      <c r="E104" s="184"/>
      <c r="F104" s="184"/>
      <c r="G104" s="279"/>
      <c r="H104" s="184"/>
      <c r="I104" s="184">
        <f>I88-I96</f>
        <v>22515161.5953272</v>
      </c>
      <c r="J104" s="184"/>
      <c r="K104" s="280"/>
      <c r="L104" s="202">
        <f t="shared" si="2"/>
        <v>287663077</v>
      </c>
      <c r="M104" s="202">
        <f t="shared" si="2"/>
        <v>56251026.61769233</v>
      </c>
      <c r="N104" s="195"/>
    </row>
    <row r="105" spans="1:14" ht="16.5" thickBot="1">
      <c r="A105" s="188">
        <v>17</v>
      </c>
      <c r="B105" s="195" t="str">
        <f>+B97</f>
        <v>  Common</v>
      </c>
      <c r="C105" s="184" t="s">
        <v>331</v>
      </c>
      <c r="D105" s="201">
        <f>D89-D97</f>
        <v>261469778.39384615</v>
      </c>
      <c r="E105" s="184"/>
      <c r="F105" s="184"/>
      <c r="G105" s="279"/>
      <c r="H105" s="184"/>
      <c r="I105" s="201">
        <f>I89-I97</f>
        <v>15710648.963558864</v>
      </c>
      <c r="J105" s="202"/>
      <c r="K105" s="280"/>
      <c r="L105" s="201">
        <f t="shared" si="2"/>
        <v>203400154</v>
      </c>
      <c r="M105" s="201">
        <f t="shared" si="2"/>
        <v>58069624.39384611</v>
      </c>
      <c r="N105" s="195"/>
    </row>
    <row r="106" spans="1:14" ht="15.75">
      <c r="A106" s="188">
        <v>18</v>
      </c>
      <c r="B106" s="195" t="s">
        <v>332</v>
      </c>
      <c r="C106" s="184"/>
      <c r="D106" s="184">
        <f>SUM(D101:D105)</f>
        <v>8667320081.06</v>
      </c>
      <c r="E106" s="184"/>
      <c r="F106" s="184" t="s">
        <v>333</v>
      </c>
      <c r="G106" s="279">
        <f>IF(I106&gt;0,I106/D106,0)</f>
        <v>0.22035336090338367</v>
      </c>
      <c r="H106" s="184"/>
      <c r="I106" s="184">
        <f>SUM(I101:I105)</f>
        <v>1909873109.8869586</v>
      </c>
      <c r="J106" s="184"/>
      <c r="K106" s="196"/>
      <c r="L106" s="184">
        <f>SUM(L101:L105)</f>
        <v>7614230349</v>
      </c>
      <c r="M106" s="184">
        <f>SUM(M101:M105)</f>
        <v>1053089732.0599998</v>
      </c>
      <c r="N106" s="195"/>
    </row>
    <row r="107" spans="1:14" ht="15.75">
      <c r="A107" s="188"/>
      <c r="B107" s="195"/>
      <c r="C107" s="184"/>
      <c r="D107" s="184"/>
      <c r="E107" s="184"/>
      <c r="F107" s="184"/>
      <c r="G107" s="279"/>
      <c r="H107" s="184"/>
      <c r="I107" s="184"/>
      <c r="J107" s="184"/>
      <c r="K107" s="196"/>
      <c r="L107" s="184"/>
      <c r="M107" s="284"/>
      <c r="N107" s="195"/>
    </row>
    <row r="108" spans="1:14" s="183" customFormat="1" ht="15.75">
      <c r="A108" s="205" t="s">
        <v>334</v>
      </c>
      <c r="B108" s="220" t="s">
        <v>335</v>
      </c>
      <c r="C108" s="196" t="s">
        <v>336</v>
      </c>
      <c r="D108" s="200">
        <f>L108+M108</f>
        <v>331664217.3588461</v>
      </c>
      <c r="E108" s="196"/>
      <c r="F108" s="196" t="s">
        <v>228</v>
      </c>
      <c r="G108" s="285">
        <f>+I234</f>
        <v>0.9708054120154952</v>
      </c>
      <c r="H108" s="196"/>
      <c r="I108" s="196">
        <f>+G108*D108</f>
        <v>321981417.18385136</v>
      </c>
      <c r="J108" s="196"/>
      <c r="K108" s="196"/>
      <c r="L108" s="275">
        <v>331664217.3588461</v>
      </c>
      <c r="M108" s="286"/>
      <c r="N108" s="220"/>
    </row>
    <row r="109" spans="1:14" ht="15.75">
      <c r="A109" s="188"/>
      <c r="C109" s="184"/>
      <c r="E109" s="184"/>
      <c r="H109" s="184"/>
      <c r="K109" s="280"/>
      <c r="L109" s="184"/>
      <c r="M109" s="184"/>
      <c r="N109" s="195"/>
    </row>
    <row r="110" spans="1:14" ht="15.75">
      <c r="A110" s="188"/>
      <c r="B110" s="177" t="s">
        <v>337</v>
      </c>
      <c r="C110" s="184"/>
      <c r="D110" s="184"/>
      <c r="E110" s="184"/>
      <c r="F110" s="184"/>
      <c r="G110" s="184"/>
      <c r="H110" s="184"/>
      <c r="I110" s="184"/>
      <c r="J110" s="184"/>
      <c r="K110" s="196"/>
      <c r="L110" s="184"/>
      <c r="M110" s="184"/>
      <c r="N110" s="195"/>
    </row>
    <row r="111" spans="1:14" ht="15.75">
      <c r="A111" s="188">
        <v>19</v>
      </c>
      <c r="B111" s="195" t="s">
        <v>338</v>
      </c>
      <c r="C111" s="184" t="s">
        <v>339</v>
      </c>
      <c r="D111" s="200">
        <f aca="true" t="shared" si="3" ref="D111:D116">L111+M111</f>
        <v>-37340479.5</v>
      </c>
      <c r="E111" s="196"/>
      <c r="F111" s="196" t="str">
        <f>+F93</f>
        <v>NA</v>
      </c>
      <c r="G111" s="287" t="s">
        <v>340</v>
      </c>
      <c r="H111" s="184"/>
      <c r="I111" s="184">
        <v>0</v>
      </c>
      <c r="J111" s="184"/>
      <c r="K111" s="280"/>
      <c r="L111" s="275">
        <v>-36505609.5</v>
      </c>
      <c r="M111" s="275">
        <v>-834870</v>
      </c>
      <c r="N111" s="195"/>
    </row>
    <row r="112" spans="1:14" ht="15.75">
      <c r="A112" s="188">
        <v>20</v>
      </c>
      <c r="B112" s="195" t="s">
        <v>341</v>
      </c>
      <c r="C112" s="184" t="s">
        <v>342</v>
      </c>
      <c r="D112" s="200">
        <f t="shared" si="3"/>
        <v>-2367025549.5</v>
      </c>
      <c r="E112" s="184"/>
      <c r="F112" s="184" t="s">
        <v>343</v>
      </c>
      <c r="G112" s="274">
        <f>+G106</f>
        <v>0.22035336090338367</v>
      </c>
      <c r="H112" s="184"/>
      <c r="I112" s="184">
        <f aca="true" t="shared" si="4" ref="I112:I117">D112*G112</f>
        <v>-521582035.17650354</v>
      </c>
      <c r="J112" s="184"/>
      <c r="K112" s="280"/>
      <c r="L112" s="275">
        <v>-2104493751</v>
      </c>
      <c r="M112" s="275">
        <v>-262531798.5</v>
      </c>
      <c r="N112" s="195"/>
    </row>
    <row r="113" spans="1:14" ht="15.75">
      <c r="A113" s="188">
        <v>21</v>
      </c>
      <c r="B113" s="195" t="s">
        <v>344</v>
      </c>
      <c r="C113" s="184" t="s">
        <v>345</v>
      </c>
      <c r="D113" s="200">
        <f t="shared" si="3"/>
        <v>-162012038</v>
      </c>
      <c r="E113" s="184"/>
      <c r="F113" s="184" t="s">
        <v>343</v>
      </c>
      <c r="G113" s="274">
        <f>+G112</f>
        <v>0.22035336090338367</v>
      </c>
      <c r="H113" s="184"/>
      <c r="I113" s="184">
        <f t="shared" si="4"/>
        <v>-35699897.08010671</v>
      </c>
      <c r="J113" s="184"/>
      <c r="K113" s="280"/>
      <c r="L113" s="288">
        <v>-127063749</v>
      </c>
      <c r="M113" s="288">
        <v>-34948289</v>
      </c>
      <c r="N113" s="195"/>
    </row>
    <row r="114" spans="1:14" ht="15.75">
      <c r="A114" s="188">
        <v>22</v>
      </c>
      <c r="B114" s="195" t="s">
        <v>346</v>
      </c>
      <c r="C114" s="184" t="s">
        <v>347</v>
      </c>
      <c r="D114" s="200">
        <f t="shared" si="3"/>
        <v>615137535.5921435</v>
      </c>
      <c r="E114" s="184"/>
      <c r="F114" s="184" t="str">
        <f>+F113</f>
        <v>NP</v>
      </c>
      <c r="G114" s="274">
        <f>+G113</f>
        <v>0.22035336090338367</v>
      </c>
      <c r="H114" s="184"/>
      <c r="I114" s="184">
        <f t="shared" si="4"/>
        <v>135547623.38555363</v>
      </c>
      <c r="J114" s="184"/>
      <c r="K114" s="280"/>
      <c r="L114" s="288">
        <v>567844765.5921435</v>
      </c>
      <c r="M114" s="288">
        <v>47292770</v>
      </c>
      <c r="N114" s="195"/>
    </row>
    <row r="115" spans="1:14" ht="15.75">
      <c r="A115" s="188">
        <v>23</v>
      </c>
      <c r="B115" s="176" t="s">
        <v>348</v>
      </c>
      <c r="C115" s="176" t="s">
        <v>349</v>
      </c>
      <c r="D115" s="200">
        <f t="shared" si="3"/>
        <v>0</v>
      </c>
      <c r="E115" s="184"/>
      <c r="F115" s="184" t="s">
        <v>343</v>
      </c>
      <c r="G115" s="274">
        <f>+G113</f>
        <v>0.22035336090338367</v>
      </c>
      <c r="H115" s="184"/>
      <c r="I115" s="202">
        <f t="shared" si="4"/>
        <v>0</v>
      </c>
      <c r="J115" s="202"/>
      <c r="K115" s="280"/>
      <c r="L115" s="288">
        <v>0</v>
      </c>
      <c r="M115" s="288">
        <v>0</v>
      </c>
      <c r="N115" s="278"/>
    </row>
    <row r="116" spans="1:14" ht="15.75">
      <c r="A116" s="205" t="s">
        <v>350</v>
      </c>
      <c r="B116" s="183" t="s">
        <v>351</v>
      </c>
      <c r="C116" s="183" t="s">
        <v>352</v>
      </c>
      <c r="D116" s="200">
        <f t="shared" si="3"/>
        <v>-31130801.549299482</v>
      </c>
      <c r="E116" s="196"/>
      <c r="F116" s="196" t="s">
        <v>228</v>
      </c>
      <c r="G116" s="289">
        <f>I234</f>
        <v>0.9708054120154952</v>
      </c>
      <c r="H116" s="196"/>
      <c r="I116" s="202">
        <f t="shared" si="4"/>
        <v>-30221950.6244403</v>
      </c>
      <c r="J116" s="202"/>
      <c r="K116" s="280"/>
      <c r="L116" s="288">
        <v>-31130801.549299482</v>
      </c>
      <c r="M116" s="288">
        <v>0</v>
      </c>
      <c r="N116" s="278"/>
    </row>
    <row r="117" spans="1:14" ht="16.5" thickBot="1">
      <c r="A117" s="205" t="s">
        <v>353</v>
      </c>
      <c r="B117" s="183" t="s">
        <v>354</v>
      </c>
      <c r="C117" s="183" t="s">
        <v>352</v>
      </c>
      <c r="D117" s="200">
        <f>L117+M117</f>
        <v>0</v>
      </c>
      <c r="E117" s="196"/>
      <c r="F117" s="196" t="s">
        <v>228</v>
      </c>
      <c r="G117" s="289">
        <f>I234</f>
        <v>0.9708054120154952</v>
      </c>
      <c r="H117" s="196"/>
      <c r="I117" s="202">
        <f t="shared" si="4"/>
        <v>0</v>
      </c>
      <c r="J117" s="202"/>
      <c r="K117" s="280"/>
      <c r="L117" s="277">
        <v>0</v>
      </c>
      <c r="M117" s="277">
        <v>0</v>
      </c>
      <c r="N117" s="278"/>
    </row>
    <row r="118" spans="1:14" ht="15.75">
      <c r="A118" s="188">
        <v>24</v>
      </c>
      <c r="B118" s="195" t="s">
        <v>355</v>
      </c>
      <c r="C118" s="184"/>
      <c r="D118" s="283">
        <f>SUM(D111:D117)</f>
        <v>-1982371332.957156</v>
      </c>
      <c r="E118" s="184"/>
      <c r="F118" s="184"/>
      <c r="G118" s="184"/>
      <c r="H118" s="184"/>
      <c r="I118" s="283">
        <f>SUM(I111:I117)</f>
        <v>-451956259.495497</v>
      </c>
      <c r="J118" s="202"/>
      <c r="K118" s="196"/>
      <c r="L118" s="283">
        <f>SUM(L111:L117)</f>
        <v>-1731349145.457156</v>
      </c>
      <c r="M118" s="283">
        <f>SUM(M111:M117)</f>
        <v>-251022187.5</v>
      </c>
      <c r="N118" s="195"/>
    </row>
    <row r="119" spans="1:14" ht="15.75">
      <c r="A119" s="188"/>
      <c r="B119" s="195"/>
      <c r="C119" s="184"/>
      <c r="D119" s="202"/>
      <c r="E119" s="184"/>
      <c r="F119" s="184"/>
      <c r="G119" s="184"/>
      <c r="H119" s="184"/>
      <c r="I119" s="184"/>
      <c r="J119" s="184"/>
      <c r="K119" s="196"/>
      <c r="L119" s="184"/>
      <c r="M119" s="184"/>
      <c r="N119" s="195"/>
    </row>
    <row r="120" spans="1:14" ht="15.75">
      <c r="A120" s="188">
        <v>25</v>
      </c>
      <c r="B120" s="290" t="s">
        <v>356</v>
      </c>
      <c r="C120" s="184" t="s">
        <v>357</v>
      </c>
      <c r="D120" s="200">
        <f>L120+M120</f>
        <v>8103</v>
      </c>
      <c r="E120" s="184"/>
      <c r="F120" s="184" t="str">
        <f>+F94</f>
        <v>TP</v>
      </c>
      <c r="G120" s="274">
        <f>+G94</f>
        <v>0.9708054120154952</v>
      </c>
      <c r="H120" s="184"/>
      <c r="I120" s="184">
        <f>+G120*D120</f>
        <v>7866.436253561557</v>
      </c>
      <c r="J120" s="184"/>
      <c r="K120" s="196"/>
      <c r="L120" s="275">
        <v>0</v>
      </c>
      <c r="M120" s="275">
        <v>8103</v>
      </c>
      <c r="N120" s="195"/>
    </row>
    <row r="121" spans="1:14" ht="15.75">
      <c r="A121" s="188"/>
      <c r="B121" s="195"/>
      <c r="C121" s="184"/>
      <c r="D121" s="184"/>
      <c r="E121" s="184"/>
      <c r="F121" s="184"/>
      <c r="G121" s="184"/>
      <c r="H121" s="184"/>
      <c r="I121" s="184"/>
      <c r="J121" s="184"/>
      <c r="K121" s="196"/>
      <c r="L121" s="184"/>
      <c r="M121" s="184"/>
      <c r="N121" s="195"/>
    </row>
    <row r="122" spans="1:14" ht="15.75">
      <c r="A122" s="188"/>
      <c r="B122" s="195" t="s">
        <v>358</v>
      </c>
      <c r="C122" s="184" t="s">
        <v>4</v>
      </c>
      <c r="D122" s="184"/>
      <c r="E122" s="184"/>
      <c r="F122" s="184"/>
      <c r="G122" s="184"/>
      <c r="H122" s="184"/>
      <c r="I122" s="184"/>
      <c r="J122" s="184"/>
      <c r="K122" s="196"/>
      <c r="L122" s="184"/>
      <c r="M122" s="184"/>
      <c r="N122" s="195"/>
    </row>
    <row r="123" spans="1:14" ht="15.75">
      <c r="A123" s="188">
        <v>26</v>
      </c>
      <c r="B123" s="195" t="s">
        <v>359</v>
      </c>
      <c r="C123" s="176" t="s">
        <v>360</v>
      </c>
      <c r="D123" s="184">
        <f>+D166/8</f>
        <v>41521527.29624997</v>
      </c>
      <c r="E123" s="184"/>
      <c r="F123" s="184"/>
      <c r="G123" s="279"/>
      <c r="H123" s="184"/>
      <c r="I123" s="184">
        <f>+I166/8</f>
        <v>8593975.028157044</v>
      </c>
      <c r="J123" s="184"/>
      <c r="K123" s="280"/>
      <c r="L123" s="291"/>
      <c r="M123" s="262"/>
      <c r="N123" s="195"/>
    </row>
    <row r="124" spans="1:14" ht="15.75">
      <c r="A124" s="188">
        <v>27</v>
      </c>
      <c r="B124" s="220" t="s">
        <v>361</v>
      </c>
      <c r="C124" s="184" t="s">
        <v>362</v>
      </c>
      <c r="D124" s="200">
        <f>L124+M124</f>
        <v>356387.17154999997</v>
      </c>
      <c r="E124" s="184"/>
      <c r="F124" s="184" t="s">
        <v>363</v>
      </c>
      <c r="G124" s="274">
        <f>I244</f>
        <v>0.9328129995412201</v>
      </c>
      <c r="H124" s="184"/>
      <c r="I124" s="184">
        <f>+G124*D124</f>
        <v>332442.58649156685</v>
      </c>
      <c r="J124" s="184"/>
      <c r="K124" s="280"/>
      <c r="L124" s="275">
        <v>319082.58375</v>
      </c>
      <c r="M124" s="275">
        <v>37304.5878</v>
      </c>
      <c r="N124" s="195"/>
    </row>
    <row r="125" spans="1:14" ht="16.5" thickBot="1">
      <c r="A125" s="188">
        <v>28</v>
      </c>
      <c r="B125" s="220" t="s">
        <v>364</v>
      </c>
      <c r="C125" s="184" t="s">
        <v>365</v>
      </c>
      <c r="D125" s="200">
        <f>L125+M125</f>
        <v>64099071.35775</v>
      </c>
      <c r="E125" s="184"/>
      <c r="F125" s="184" t="s">
        <v>366</v>
      </c>
      <c r="G125" s="274">
        <f>+G90</f>
        <v>0.18454955753604957</v>
      </c>
      <c r="H125" s="184"/>
      <c r="I125" s="201">
        <f>+G125*D125</f>
        <v>11829455.25754443</v>
      </c>
      <c r="J125" s="202"/>
      <c r="K125" s="280"/>
      <c r="L125" s="277">
        <v>44345060.1165</v>
      </c>
      <c r="M125" s="277">
        <v>19754011.24125</v>
      </c>
      <c r="N125" s="292"/>
    </row>
    <row r="126" spans="1:13" ht="15.75">
      <c r="A126" s="188">
        <v>29</v>
      </c>
      <c r="B126" s="195" t="s">
        <v>367</v>
      </c>
      <c r="C126" s="185"/>
      <c r="D126" s="283">
        <f>D123+D124+D125</f>
        <v>105976985.82554996</v>
      </c>
      <c r="E126" s="185"/>
      <c r="F126" s="185"/>
      <c r="G126" s="185"/>
      <c r="H126" s="185"/>
      <c r="I126" s="184">
        <f>I123+I124+I125</f>
        <v>20755872.87219304</v>
      </c>
      <c r="J126" s="184"/>
      <c r="K126" s="182"/>
      <c r="L126" s="176">
        <f>SUM(L124:L125)</f>
        <v>44664142.70025</v>
      </c>
      <c r="M126" s="176">
        <f>SUM(M124:M125)</f>
        <v>19791315.82905</v>
      </c>
    </row>
    <row r="127" spans="3:13" ht="16.5" thickBot="1">
      <c r="C127" s="184"/>
      <c r="D127" s="293"/>
      <c r="E127" s="184"/>
      <c r="F127" s="184"/>
      <c r="G127" s="184"/>
      <c r="H127" s="184"/>
      <c r="I127" s="293"/>
      <c r="J127" s="228"/>
      <c r="K127" s="196"/>
      <c r="L127" s="228"/>
      <c r="M127" s="228"/>
    </row>
    <row r="128" spans="1:13" ht="16.5" thickBot="1">
      <c r="A128" s="188">
        <v>30</v>
      </c>
      <c r="B128" s="195" t="s">
        <v>368</v>
      </c>
      <c r="C128" s="184"/>
      <c r="D128" s="294">
        <f>+D126+D120+D118+D106+D108</f>
        <v>7122598054.287239</v>
      </c>
      <c r="E128" s="184"/>
      <c r="F128" s="184"/>
      <c r="G128" s="279"/>
      <c r="H128" s="184"/>
      <c r="I128" s="294">
        <f>+I126+I120+I118+I106+I108</f>
        <v>1800662006.8837595</v>
      </c>
      <c r="J128" s="202"/>
      <c r="K128" s="295"/>
      <c r="L128" s="294">
        <f>+L126+L120+L118+L106+L108</f>
        <v>6259209563.601939</v>
      </c>
      <c r="M128" s="294">
        <f>+M126+M120+M118+M106+M108</f>
        <v>821866963.3890498</v>
      </c>
    </row>
    <row r="129" spans="1:13" ht="16.5" thickTop="1">
      <c r="A129" s="188"/>
      <c r="B129" s="195"/>
      <c r="C129" s="184"/>
      <c r="D129" s="202"/>
      <c r="E129" s="184"/>
      <c r="F129" s="184"/>
      <c r="G129" s="279"/>
      <c r="H129" s="184"/>
      <c r="I129" s="202"/>
      <c r="J129" s="202"/>
      <c r="K129" s="295"/>
      <c r="L129" s="202"/>
      <c r="M129" s="202"/>
    </row>
    <row r="130" spans="1:13" ht="15.75">
      <c r="A130" s="188"/>
      <c r="B130" s="195"/>
      <c r="C130" s="184"/>
      <c r="D130" s="202"/>
      <c r="E130" s="184"/>
      <c r="F130" s="184"/>
      <c r="G130" s="279"/>
      <c r="H130" s="184"/>
      <c r="I130" s="202"/>
      <c r="J130" s="202"/>
      <c r="K130" s="295"/>
      <c r="L130" s="202"/>
      <c r="M130" s="202"/>
    </row>
    <row r="131" spans="1:13" ht="15.75">
      <c r="A131" s="188"/>
      <c r="B131" s="195"/>
      <c r="C131" s="184"/>
      <c r="D131" s="202"/>
      <c r="E131" s="184"/>
      <c r="F131" s="184"/>
      <c r="G131" s="279"/>
      <c r="H131" s="184"/>
      <c r="I131" s="202"/>
      <c r="J131" s="202"/>
      <c r="K131" s="295"/>
      <c r="L131" s="202"/>
      <c r="M131" s="202"/>
    </row>
    <row r="132" spans="1:13" ht="15.75">
      <c r="A132" s="188"/>
      <c r="B132" s="195"/>
      <c r="C132" s="184"/>
      <c r="D132" s="202"/>
      <c r="E132" s="184"/>
      <c r="F132" s="184"/>
      <c r="G132" s="279"/>
      <c r="H132" s="184"/>
      <c r="I132" s="202"/>
      <c r="J132" s="202"/>
      <c r="K132" s="295"/>
      <c r="L132" s="202"/>
      <c r="M132" s="202"/>
    </row>
    <row r="133" spans="1:13" ht="15.75">
      <c r="A133" s="188"/>
      <c r="B133" s="195"/>
      <c r="C133" s="184"/>
      <c r="D133" s="202"/>
      <c r="E133" s="184"/>
      <c r="F133" s="184"/>
      <c r="G133" s="279"/>
      <c r="H133" s="184"/>
      <c r="I133" s="202"/>
      <c r="J133" s="202"/>
      <c r="K133" s="295"/>
      <c r="L133" s="202"/>
      <c r="M133" s="202"/>
    </row>
    <row r="134" spans="1:13" ht="15.75">
      <c r="A134" s="188"/>
      <c r="B134" s="195"/>
      <c r="C134" s="184"/>
      <c r="D134" s="202"/>
      <c r="E134" s="184"/>
      <c r="F134" s="184"/>
      <c r="G134" s="279"/>
      <c r="H134" s="184"/>
      <c r="I134" s="202"/>
      <c r="J134" s="202"/>
      <c r="K134" s="295"/>
      <c r="L134" s="202"/>
      <c r="M134" s="202"/>
    </row>
    <row r="135" spans="1:13" ht="15.75">
      <c r="A135" s="188"/>
      <c r="B135" s="195"/>
      <c r="C135" s="184"/>
      <c r="D135" s="202"/>
      <c r="E135" s="184"/>
      <c r="F135" s="184"/>
      <c r="G135" s="279"/>
      <c r="H135" s="184"/>
      <c r="I135" s="202"/>
      <c r="J135" s="202"/>
      <c r="K135" s="295"/>
      <c r="L135" s="202"/>
      <c r="M135" s="202"/>
    </row>
    <row r="136" spans="1:13" ht="15.75">
      <c r="A136" s="188"/>
      <c r="B136" s="195"/>
      <c r="C136" s="184"/>
      <c r="D136" s="202"/>
      <c r="E136" s="184"/>
      <c r="F136" s="184"/>
      <c r="G136" s="279"/>
      <c r="H136" s="184"/>
      <c r="I136" s="202"/>
      <c r="J136" s="202"/>
      <c r="K136" s="295"/>
      <c r="L136" s="202"/>
      <c r="M136" s="202"/>
    </row>
    <row r="137" spans="1:13" ht="15.75">
      <c r="A137" s="188"/>
      <c r="B137" s="195"/>
      <c r="C137" s="184"/>
      <c r="D137" s="202"/>
      <c r="E137" s="184"/>
      <c r="F137" s="184"/>
      <c r="G137" s="279"/>
      <c r="H137" s="184"/>
      <c r="I137" s="202"/>
      <c r="J137" s="202"/>
      <c r="K137" s="295"/>
      <c r="L137" s="202"/>
      <c r="M137" s="202"/>
    </row>
    <row r="138" spans="1:13" ht="15.75">
      <c r="A138" s="188"/>
      <c r="B138" s="195"/>
      <c r="C138" s="184"/>
      <c r="D138" s="202"/>
      <c r="E138" s="184"/>
      <c r="F138" s="184"/>
      <c r="G138" s="279"/>
      <c r="H138" s="184"/>
      <c r="I138" s="202"/>
      <c r="J138" s="202"/>
      <c r="K138" s="295"/>
      <c r="L138" s="202"/>
      <c r="M138" s="202"/>
    </row>
    <row r="139" spans="1:13" ht="15.75">
      <c r="A139" s="188"/>
      <c r="B139" s="195"/>
      <c r="C139" s="184"/>
      <c r="D139" s="202"/>
      <c r="E139" s="184"/>
      <c r="F139" s="184"/>
      <c r="G139" s="279"/>
      <c r="H139" s="184"/>
      <c r="I139" s="202"/>
      <c r="J139" s="202"/>
      <c r="K139" s="295"/>
      <c r="L139" s="202"/>
      <c r="M139" s="202"/>
    </row>
    <row r="140" spans="1:13" ht="15.75">
      <c r="A140" s="188"/>
      <c r="B140" s="195"/>
      <c r="C140" s="184"/>
      <c r="D140" s="202"/>
      <c r="E140" s="184"/>
      <c r="F140" s="184"/>
      <c r="G140" s="279"/>
      <c r="H140" s="184"/>
      <c r="I140" s="202"/>
      <c r="J140" s="202"/>
      <c r="K140" s="295"/>
      <c r="L140" s="202"/>
      <c r="M140" s="202"/>
    </row>
    <row r="141" spans="1:13" ht="15.75">
      <c r="A141" s="188"/>
      <c r="B141" s="195"/>
      <c r="C141" s="184"/>
      <c r="D141" s="202"/>
      <c r="E141" s="184"/>
      <c r="F141" s="184"/>
      <c r="G141" s="279"/>
      <c r="H141" s="184"/>
      <c r="I141" s="202"/>
      <c r="J141" s="202"/>
      <c r="K141" s="295"/>
      <c r="L141" s="202"/>
      <c r="M141" s="202"/>
    </row>
    <row r="142" spans="1:13" ht="15.75">
      <c r="A142" s="188"/>
      <c r="B142" s="195"/>
      <c r="C142" s="184"/>
      <c r="D142" s="202"/>
      <c r="E142" s="184"/>
      <c r="F142" s="184"/>
      <c r="G142" s="279"/>
      <c r="H142" s="184"/>
      <c r="I142" s="202"/>
      <c r="J142" s="202"/>
      <c r="K142" s="295"/>
      <c r="L142" s="202"/>
      <c r="M142" s="202"/>
    </row>
    <row r="143" spans="1:13" ht="15.75">
      <c r="A143" s="188"/>
      <c r="B143" s="195"/>
      <c r="C143" s="184"/>
      <c r="D143" s="202"/>
      <c r="E143" s="184"/>
      <c r="F143" s="184"/>
      <c r="G143" s="279"/>
      <c r="H143" s="184"/>
      <c r="I143" s="202"/>
      <c r="J143" s="202"/>
      <c r="K143" s="295"/>
      <c r="L143" s="202"/>
      <c r="M143" s="202"/>
    </row>
    <row r="144" spans="1:13" ht="15.75">
      <c r="A144" s="188"/>
      <c r="B144" s="195"/>
      <c r="C144" s="184"/>
      <c r="D144" s="202"/>
      <c r="E144" s="184"/>
      <c r="F144" s="184"/>
      <c r="G144" s="279"/>
      <c r="H144" s="184"/>
      <c r="I144" s="202"/>
      <c r="J144" s="202"/>
      <c r="K144" s="295"/>
      <c r="L144" s="202"/>
      <c r="M144" s="202"/>
    </row>
    <row r="145" spans="2:11" ht="15.75">
      <c r="B145" s="177"/>
      <c r="C145" s="177"/>
      <c r="D145" s="178"/>
      <c r="E145" s="177"/>
      <c r="F145" s="177"/>
      <c r="G145" s="177"/>
      <c r="H145" s="179"/>
      <c r="I145" s="179"/>
      <c r="J145" s="179"/>
      <c r="K145" s="259" t="s">
        <v>369</v>
      </c>
    </row>
    <row r="146" spans="2:11" ht="15.75">
      <c r="B146" s="177"/>
      <c r="C146" s="177"/>
      <c r="D146" s="178"/>
      <c r="E146" s="177"/>
      <c r="F146" s="177"/>
      <c r="G146" s="177"/>
      <c r="H146" s="179"/>
      <c r="I146" s="179"/>
      <c r="J146" s="179"/>
      <c r="K146" s="260"/>
    </row>
    <row r="147" spans="2:11" ht="15.75">
      <c r="B147" s="177" t="s">
        <v>217</v>
      </c>
      <c r="C147" s="177"/>
      <c r="D147" s="178" t="s">
        <v>1</v>
      </c>
      <c r="E147" s="177"/>
      <c r="F147" s="177"/>
      <c r="G147" s="177"/>
      <c r="H147" s="179"/>
      <c r="K147" s="180" t="str">
        <f>K3</f>
        <v>For the 12 months ended 12/31/13</v>
      </c>
    </row>
    <row r="148" spans="2:11" ht="15.75">
      <c r="B148" s="177"/>
      <c r="C148" s="184" t="s">
        <v>4</v>
      </c>
      <c r="D148" s="184" t="s">
        <v>219</v>
      </c>
      <c r="E148" s="184"/>
      <c r="F148" s="184"/>
      <c r="G148" s="184"/>
      <c r="H148" s="179"/>
      <c r="I148" s="179"/>
      <c r="J148" s="179"/>
      <c r="K148" s="182"/>
    </row>
    <row r="149" spans="2:11" ht="15.75">
      <c r="B149" s="177"/>
      <c r="C149" s="184"/>
      <c r="D149" s="184"/>
      <c r="E149" s="184"/>
      <c r="F149" s="184"/>
      <c r="G149" s="184"/>
      <c r="H149" s="179"/>
      <c r="I149" s="179"/>
      <c r="J149" s="179"/>
      <c r="K149" s="182"/>
    </row>
    <row r="150" spans="1:11" ht="15.75">
      <c r="A150" s="332" t="str">
        <f>A6</f>
        <v>Northern States Power Companies</v>
      </c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</row>
    <row r="151" spans="1:11" ht="15.75">
      <c r="A151" s="188"/>
      <c r="D151" s="183"/>
      <c r="E151" s="183"/>
      <c r="F151" s="183"/>
      <c r="G151" s="183"/>
      <c r="K151" s="196"/>
    </row>
    <row r="152" spans="1:11" ht="15.75">
      <c r="A152" s="188"/>
      <c r="B152" s="262" t="s">
        <v>8</v>
      </c>
      <c r="C152" s="262" t="s">
        <v>9</v>
      </c>
      <c r="D152" s="262" t="s">
        <v>10</v>
      </c>
      <c r="E152" s="184" t="s">
        <v>4</v>
      </c>
      <c r="F152" s="184"/>
      <c r="G152" s="263" t="s">
        <v>11</v>
      </c>
      <c r="H152" s="184"/>
      <c r="I152" s="264" t="s">
        <v>296</v>
      </c>
      <c r="J152" s="264"/>
      <c r="K152" s="196"/>
    </row>
    <row r="153" spans="1:11" ht="15.75">
      <c r="A153" s="188"/>
      <c r="B153" s="262"/>
      <c r="C153" s="179"/>
      <c r="D153" s="179"/>
      <c r="E153" s="179"/>
      <c r="F153" s="179"/>
      <c r="G153" s="179"/>
      <c r="H153" s="179"/>
      <c r="I153" s="179"/>
      <c r="J153" s="179"/>
      <c r="K153" s="296"/>
    </row>
    <row r="154" spans="1:13" ht="15.75">
      <c r="A154" s="188" t="s">
        <v>2</v>
      </c>
      <c r="B154" s="195"/>
      <c r="C154" s="266" t="s">
        <v>297</v>
      </c>
      <c r="D154" s="184"/>
      <c r="E154" s="184"/>
      <c r="F154" s="184"/>
      <c r="G154" s="188"/>
      <c r="H154" s="184"/>
      <c r="I154" s="267" t="s">
        <v>12</v>
      </c>
      <c r="J154" s="267"/>
      <c r="K154" s="296"/>
      <c r="L154" s="268" t="s">
        <v>298</v>
      </c>
      <c r="M154" s="268" t="s">
        <v>299</v>
      </c>
    </row>
    <row r="155" spans="1:13" ht="16.5" thickBot="1">
      <c r="A155" s="190" t="s">
        <v>3</v>
      </c>
      <c r="B155" s="195"/>
      <c r="C155" s="269" t="s">
        <v>13</v>
      </c>
      <c r="D155" s="270" t="s">
        <v>300</v>
      </c>
      <c r="E155" s="271"/>
      <c r="F155" s="493" t="s">
        <v>5</v>
      </c>
      <c r="G155" s="493"/>
      <c r="H155" s="271"/>
      <c r="I155" s="188" t="s">
        <v>302</v>
      </c>
      <c r="J155" s="188"/>
      <c r="K155" s="296"/>
      <c r="L155" s="268" t="s">
        <v>225</v>
      </c>
      <c r="M155" s="268" t="s">
        <v>225</v>
      </c>
    </row>
    <row r="156" spans="1:11" ht="15.75">
      <c r="A156" s="188"/>
      <c r="B156" s="195" t="s">
        <v>370</v>
      </c>
      <c r="C156" s="184"/>
      <c r="D156" s="184"/>
      <c r="E156" s="184"/>
      <c r="F156" s="184"/>
      <c r="G156" s="184"/>
      <c r="H156" s="184"/>
      <c r="I156" s="184"/>
      <c r="J156" s="184"/>
      <c r="K156" s="196"/>
    </row>
    <row r="157" spans="1:15" ht="15.75">
      <c r="A157" s="188">
        <v>1</v>
      </c>
      <c r="B157" s="195" t="s">
        <v>371</v>
      </c>
      <c r="C157" s="184" t="s">
        <v>372</v>
      </c>
      <c r="D157" s="200">
        <f>L157+M157</f>
        <v>189575755.57</v>
      </c>
      <c r="E157" s="184"/>
      <c r="F157" s="184" t="s">
        <v>363</v>
      </c>
      <c r="G157" s="274">
        <f>I244</f>
        <v>0.9328129995412201</v>
      </c>
      <c r="H157" s="184"/>
      <c r="I157" s="184">
        <f aca="true" t="shared" si="5" ref="I157:I165">+G157*D157</f>
        <v>176838729.19354486</v>
      </c>
      <c r="J157" s="184"/>
      <c r="K157" s="196"/>
      <c r="L157" s="275">
        <v>179516670.57</v>
      </c>
      <c r="M157" s="275">
        <v>10059085</v>
      </c>
      <c r="N157" s="194"/>
      <c r="O157" s="297"/>
    </row>
    <row r="158" spans="1:15" ht="15.75">
      <c r="A158" s="205" t="s">
        <v>14</v>
      </c>
      <c r="B158" s="220" t="s">
        <v>373</v>
      </c>
      <c r="C158" s="196"/>
      <c r="D158" s="200">
        <f aca="true" t="shared" si="6" ref="D158:D164">L158+M158</f>
        <v>6853850</v>
      </c>
      <c r="E158" s="184"/>
      <c r="F158" s="298"/>
      <c r="G158" s="274">
        <v>1</v>
      </c>
      <c r="H158" s="184"/>
      <c r="I158" s="184">
        <f t="shared" si="5"/>
        <v>6853850</v>
      </c>
      <c r="J158" s="184"/>
      <c r="K158" s="196"/>
      <c r="L158" s="275">
        <v>6853850</v>
      </c>
      <c r="M158" s="275">
        <v>0</v>
      </c>
      <c r="N158" s="299"/>
      <c r="O158" s="194"/>
    </row>
    <row r="159" spans="1:13" ht="15.75">
      <c r="A159" s="188">
        <v>2</v>
      </c>
      <c r="B159" s="195" t="s">
        <v>374</v>
      </c>
      <c r="C159" s="184" t="s">
        <v>375</v>
      </c>
      <c r="D159" s="200">
        <f t="shared" si="6"/>
        <v>128426981</v>
      </c>
      <c r="E159" s="184"/>
      <c r="F159" s="184" t="s">
        <v>363</v>
      </c>
      <c r="G159" s="274">
        <f>+G157</f>
        <v>0.9328129995412201</v>
      </c>
      <c r="H159" s="184"/>
      <c r="I159" s="184">
        <f t="shared" si="5"/>
        <v>119798357.36863329</v>
      </c>
      <c r="J159" s="184"/>
      <c r="K159" s="196"/>
      <c r="L159" s="275">
        <v>128426981</v>
      </c>
      <c r="M159" s="275">
        <v>0</v>
      </c>
    </row>
    <row r="160" spans="1:14" ht="15.75">
      <c r="A160" s="188">
        <v>3</v>
      </c>
      <c r="B160" s="195" t="s">
        <v>376</v>
      </c>
      <c r="C160" s="184" t="s">
        <v>377</v>
      </c>
      <c r="D160" s="200">
        <f t="shared" si="6"/>
        <v>288572964.5199998</v>
      </c>
      <c r="E160" s="184"/>
      <c r="F160" s="184" t="s">
        <v>314</v>
      </c>
      <c r="G160" s="274">
        <f>+G96</f>
        <v>0.06546739827906531</v>
      </c>
      <c r="H160" s="184"/>
      <c r="I160" s="184">
        <f t="shared" si="5"/>
        <v>18892121.20080141</v>
      </c>
      <c r="J160" s="184"/>
      <c r="K160" s="196" t="s">
        <v>4</v>
      </c>
      <c r="L160" s="275">
        <v>248358732.5199998</v>
      </c>
      <c r="M160" s="275">
        <v>40214232</v>
      </c>
      <c r="N160" s="194"/>
    </row>
    <row r="161" spans="1:14" ht="15.75">
      <c r="A161" s="188">
        <v>4</v>
      </c>
      <c r="B161" s="195" t="s">
        <v>378</v>
      </c>
      <c r="D161" s="200">
        <f t="shared" si="6"/>
        <v>46000</v>
      </c>
      <c r="E161" s="184"/>
      <c r="F161" s="184" t="str">
        <f>+F160</f>
        <v>W/S</v>
      </c>
      <c r="G161" s="274">
        <f>+G160</f>
        <v>0.06546739827906531</v>
      </c>
      <c r="H161" s="184"/>
      <c r="I161" s="184">
        <f t="shared" si="5"/>
        <v>3011.500320837004</v>
      </c>
      <c r="J161" s="184"/>
      <c r="L161" s="275">
        <v>46000</v>
      </c>
      <c r="M161" s="275">
        <v>0</v>
      </c>
      <c r="N161" s="194"/>
    </row>
    <row r="162" spans="1:14" ht="15.75">
      <c r="A162" s="188">
        <v>5</v>
      </c>
      <c r="B162" s="220" t="s">
        <v>379</v>
      </c>
      <c r="C162" s="196"/>
      <c r="D162" s="200">
        <f t="shared" si="6"/>
        <v>11080150.719999999</v>
      </c>
      <c r="E162" s="184"/>
      <c r="F162" s="184" t="str">
        <f>+F161</f>
        <v>W/S</v>
      </c>
      <c r="G162" s="274">
        <f>+G161</f>
        <v>0.06546739827906531</v>
      </c>
      <c r="H162" s="184"/>
      <c r="I162" s="184">
        <f t="shared" si="5"/>
        <v>725388.6401783122</v>
      </c>
      <c r="J162" s="184"/>
      <c r="K162" s="196"/>
      <c r="L162" s="275">
        <v>9157623.719999999</v>
      </c>
      <c r="M162" s="275">
        <v>1922527</v>
      </c>
      <c r="N162" s="194"/>
    </row>
    <row r="163" spans="1:14" ht="15.75">
      <c r="A163" s="188" t="s">
        <v>380</v>
      </c>
      <c r="B163" s="220" t="s">
        <v>381</v>
      </c>
      <c r="C163" s="196"/>
      <c r="D163" s="200">
        <f t="shared" si="6"/>
        <v>430480</v>
      </c>
      <c r="E163" s="184"/>
      <c r="F163" s="300" t="str">
        <f>+F157</f>
        <v>TE</v>
      </c>
      <c r="G163" s="289">
        <f>+G157</f>
        <v>0.9328129995412201</v>
      </c>
      <c r="H163" s="184"/>
      <c r="I163" s="184">
        <f t="shared" si="5"/>
        <v>401557.3400425044</v>
      </c>
      <c r="J163" s="184"/>
      <c r="K163" s="196"/>
      <c r="L163" s="275">
        <v>430480</v>
      </c>
      <c r="M163" s="275">
        <v>0</v>
      </c>
      <c r="N163" s="301" t="s">
        <v>382</v>
      </c>
    </row>
    <row r="164" spans="1:14" s="183" customFormat="1" ht="15.75">
      <c r="A164" s="205">
        <v>6</v>
      </c>
      <c r="B164" s="220" t="s">
        <v>315</v>
      </c>
      <c r="C164" s="196" t="str">
        <f>+C97</f>
        <v>356.1</v>
      </c>
      <c r="D164" s="200">
        <f t="shared" si="6"/>
        <v>0</v>
      </c>
      <c r="E164" s="196"/>
      <c r="F164" s="196" t="s">
        <v>317</v>
      </c>
      <c r="G164" s="289">
        <f>+G97</f>
        <v>0.06008590767187731</v>
      </c>
      <c r="H164" s="196"/>
      <c r="I164" s="196">
        <f t="shared" si="5"/>
        <v>0</v>
      </c>
      <c r="J164" s="196"/>
      <c r="K164" s="196"/>
      <c r="L164" s="275">
        <v>0</v>
      </c>
      <c r="M164" s="275">
        <v>0</v>
      </c>
      <c r="N164" s="302"/>
    </row>
    <row r="165" spans="1:14" ht="16.5" thickBot="1">
      <c r="A165" s="188">
        <v>7</v>
      </c>
      <c r="B165" s="195" t="s">
        <v>383</v>
      </c>
      <c r="C165" s="184"/>
      <c r="D165" s="211">
        <f>L165+M165</f>
        <v>0</v>
      </c>
      <c r="E165" s="184"/>
      <c r="F165" s="184" t="s">
        <v>4</v>
      </c>
      <c r="G165" s="274">
        <v>1</v>
      </c>
      <c r="H165" s="184"/>
      <c r="I165" s="201">
        <f t="shared" si="5"/>
        <v>0</v>
      </c>
      <c r="J165" s="202"/>
      <c r="K165" s="196"/>
      <c r="L165" s="277">
        <v>0</v>
      </c>
      <c r="M165" s="277">
        <v>0</v>
      </c>
      <c r="N165" s="194"/>
    </row>
    <row r="166" spans="1:13" ht="15.75">
      <c r="A166" s="188">
        <v>8</v>
      </c>
      <c r="B166" s="195" t="s">
        <v>384</v>
      </c>
      <c r="C166" s="184"/>
      <c r="D166" s="184">
        <f>+D157-D158-D159+D160-D161-D162+D164+D165+D163</f>
        <v>332172218.36999977</v>
      </c>
      <c r="E166" s="184"/>
      <c r="F166" s="184"/>
      <c r="G166" s="184"/>
      <c r="H166" s="184"/>
      <c r="I166" s="184">
        <f>+I157-I158-I159+I160-I161-I162+I164+I165+I163</f>
        <v>68751800.22525635</v>
      </c>
      <c r="J166" s="184"/>
      <c r="K166" s="196"/>
      <c r="L166" s="184">
        <f>+L157-L158-L159+L160-L161-L162+L164+L165+L163</f>
        <v>283821428.36999977</v>
      </c>
      <c r="M166" s="184">
        <f>+M157-M158-M159+M160-M161-M162+M164+M165+M163</f>
        <v>48350790</v>
      </c>
    </row>
    <row r="167" spans="1:11" ht="15.75">
      <c r="A167" s="188"/>
      <c r="C167" s="184"/>
      <c r="E167" s="184"/>
      <c r="F167" s="184"/>
      <c r="G167" s="184"/>
      <c r="H167" s="184"/>
      <c r="K167" s="196"/>
    </row>
    <row r="168" spans="1:11" ht="15.75">
      <c r="A168" s="188"/>
      <c r="B168" s="303" t="s">
        <v>385</v>
      </c>
      <c r="C168" s="184"/>
      <c r="D168" s="184"/>
      <c r="E168" s="184"/>
      <c r="F168" s="184"/>
      <c r="G168" s="184"/>
      <c r="H168" s="184"/>
      <c r="I168" s="184"/>
      <c r="J168" s="184"/>
      <c r="K168" s="196"/>
    </row>
    <row r="169" spans="1:14" ht="15.75">
      <c r="A169" s="188">
        <v>9</v>
      </c>
      <c r="B169" s="195" t="str">
        <f>+B157</f>
        <v>  Transmission </v>
      </c>
      <c r="C169" s="196" t="s">
        <v>386</v>
      </c>
      <c r="D169" s="200">
        <f>L169+M169</f>
        <v>66160154.73887548</v>
      </c>
      <c r="E169" s="184"/>
      <c r="F169" s="184" t="s">
        <v>228</v>
      </c>
      <c r="G169" s="274">
        <f>+G120</f>
        <v>0.9708054120154952</v>
      </c>
      <c r="H169" s="184"/>
      <c r="I169" s="184">
        <f>+G169*D169</f>
        <v>64228636.28028293</v>
      </c>
      <c r="J169" s="184"/>
      <c r="K169" s="280"/>
      <c r="L169" s="275">
        <v>47965814.33887548</v>
      </c>
      <c r="M169" s="275">
        <v>18194340.4</v>
      </c>
      <c r="N169" s="281"/>
    </row>
    <row r="170" spans="1:13" ht="15.75">
      <c r="A170" s="188" t="s">
        <v>387</v>
      </c>
      <c r="B170" s="183" t="s">
        <v>388</v>
      </c>
      <c r="C170" s="196" t="s">
        <v>389</v>
      </c>
      <c r="D170" s="200">
        <f>L170+M170</f>
        <v>-199792.72</v>
      </c>
      <c r="E170" s="184"/>
      <c r="F170" s="184" t="s">
        <v>228</v>
      </c>
      <c r="G170" s="274">
        <f>I234</f>
        <v>0.9708054120154952</v>
      </c>
      <c r="H170" s="184"/>
      <c r="I170" s="184">
        <f>+G170*D170</f>
        <v>-193959.85385729646</v>
      </c>
      <c r="J170" s="184"/>
      <c r="K170" s="280"/>
      <c r="L170" s="275">
        <v>-199792.72</v>
      </c>
      <c r="M170" s="275">
        <v>0</v>
      </c>
    </row>
    <row r="171" spans="1:13" ht="15.75">
      <c r="A171" s="188" t="s">
        <v>390</v>
      </c>
      <c r="B171" s="183" t="s">
        <v>391</v>
      </c>
      <c r="C171" s="196" t="s">
        <v>389</v>
      </c>
      <c r="D171" s="200">
        <f>L171+M171</f>
        <v>0</v>
      </c>
      <c r="E171" s="184"/>
      <c r="F171" s="184" t="s">
        <v>228</v>
      </c>
      <c r="G171" s="274">
        <f>I234</f>
        <v>0.9708054120154952</v>
      </c>
      <c r="H171" s="184"/>
      <c r="I171" s="184">
        <f>+G171*D171</f>
        <v>0</v>
      </c>
      <c r="J171" s="184"/>
      <c r="K171" s="280"/>
      <c r="L171" s="275">
        <v>0</v>
      </c>
      <c r="M171" s="275">
        <v>0</v>
      </c>
    </row>
    <row r="172" spans="1:13" ht="15.75">
      <c r="A172" s="188">
        <v>10</v>
      </c>
      <c r="B172" s="303" t="s">
        <v>312</v>
      </c>
      <c r="C172" s="184" t="s">
        <v>392</v>
      </c>
      <c r="D172" s="200">
        <f>L172+M172</f>
        <v>23387603.24</v>
      </c>
      <c r="E172" s="184"/>
      <c r="F172" s="184" t="s">
        <v>314</v>
      </c>
      <c r="G172" s="274">
        <f>+G160</f>
        <v>0.06546739827906531</v>
      </c>
      <c r="H172" s="184"/>
      <c r="I172" s="184">
        <f>+G172*D172</f>
        <v>1531125.5361058381</v>
      </c>
      <c r="J172" s="184"/>
      <c r="K172" s="280"/>
      <c r="L172" s="275">
        <v>20742000</v>
      </c>
      <c r="M172" s="275">
        <v>2645603.24</v>
      </c>
    </row>
    <row r="173" spans="1:13" ht="16.5" thickBot="1">
      <c r="A173" s="188">
        <v>11</v>
      </c>
      <c r="B173" s="220" t="s">
        <v>393</v>
      </c>
      <c r="C173" s="184" t="s">
        <v>394</v>
      </c>
      <c r="D173" s="200">
        <f>L173+M173</f>
        <v>41842039.58</v>
      </c>
      <c r="E173" s="184"/>
      <c r="F173" s="184" t="s">
        <v>317</v>
      </c>
      <c r="G173" s="274">
        <f>+G164</f>
        <v>0.06008590767187731</v>
      </c>
      <c r="H173" s="184"/>
      <c r="I173" s="201">
        <f>+G173*D173</f>
        <v>2514116.927006916</v>
      </c>
      <c r="J173" s="202"/>
      <c r="K173" s="280"/>
      <c r="L173" s="277">
        <v>34820000</v>
      </c>
      <c r="M173" s="277">
        <v>7022039.579999998</v>
      </c>
    </row>
    <row r="174" spans="1:13" ht="15.75">
      <c r="A174" s="188">
        <v>12</v>
      </c>
      <c r="B174" s="195" t="s">
        <v>395</v>
      </c>
      <c r="C174" s="184"/>
      <c r="D174" s="283">
        <f>SUM(D169:D173)</f>
        <v>131190004.83887547</v>
      </c>
      <c r="E174" s="184"/>
      <c r="F174" s="184"/>
      <c r="G174" s="184"/>
      <c r="H174" s="184"/>
      <c r="I174" s="184">
        <f>SUM(I169:I173)</f>
        <v>68079918.88953839</v>
      </c>
      <c r="J174" s="184"/>
      <c r="K174" s="196"/>
      <c r="L174" s="184">
        <f>SUM(L169:L173)</f>
        <v>103328021.61887547</v>
      </c>
      <c r="M174" s="184">
        <f>SUM(M169:M173)</f>
        <v>27861983.219999995</v>
      </c>
    </row>
    <row r="175" spans="1:11" ht="15.75">
      <c r="A175" s="188"/>
      <c r="B175" s="195"/>
      <c r="C175" s="184"/>
      <c r="D175" s="184"/>
      <c r="E175" s="184"/>
      <c r="F175" s="184"/>
      <c r="G175" s="184"/>
      <c r="H175" s="184"/>
      <c r="I175" s="184"/>
      <c r="J175" s="184"/>
      <c r="K175" s="196"/>
    </row>
    <row r="176" spans="1:11" ht="15.75">
      <c r="A176" s="188" t="s">
        <v>4</v>
      </c>
      <c r="B176" s="195" t="s">
        <v>396</v>
      </c>
      <c r="D176" s="184"/>
      <c r="E176" s="184"/>
      <c r="F176" s="184"/>
      <c r="G176" s="184"/>
      <c r="H176" s="184"/>
      <c r="I176" s="184"/>
      <c r="J176" s="184"/>
      <c r="K176" s="196"/>
    </row>
    <row r="177" spans="1:11" ht="15.75">
      <c r="A177" s="188"/>
      <c r="B177" s="195" t="s">
        <v>397</v>
      </c>
      <c r="E177" s="184"/>
      <c r="F177" s="184"/>
      <c r="H177" s="184"/>
      <c r="K177" s="280"/>
    </row>
    <row r="178" spans="1:13" ht="15.75">
      <c r="A178" s="188">
        <v>13</v>
      </c>
      <c r="B178" s="195" t="s">
        <v>398</v>
      </c>
      <c r="C178" s="184" t="s">
        <v>399</v>
      </c>
      <c r="D178" s="200">
        <f>L178+M178</f>
        <v>33927588.31</v>
      </c>
      <c r="E178" s="184"/>
      <c r="F178" s="184" t="s">
        <v>314</v>
      </c>
      <c r="G178" s="198">
        <f>+G172</f>
        <v>0.06546739827906531</v>
      </c>
      <c r="H178" s="184"/>
      <c r="I178" s="184">
        <f>+G178*D178</f>
        <v>2221150.9365389305</v>
      </c>
      <c r="J178" s="184"/>
      <c r="K178" s="280"/>
      <c r="L178" s="275">
        <v>30586935</v>
      </c>
      <c r="M178" s="275">
        <v>3340653.31</v>
      </c>
    </row>
    <row r="179" spans="1:14" ht="15.75">
      <c r="A179" s="188">
        <v>14</v>
      </c>
      <c r="B179" s="195" t="s">
        <v>400</v>
      </c>
      <c r="C179" s="184" t="str">
        <f>+C178</f>
        <v>263.i</v>
      </c>
      <c r="D179" s="200">
        <f>L179+M179</f>
        <v>0</v>
      </c>
      <c r="E179" s="184"/>
      <c r="F179" s="184" t="str">
        <f>+F178</f>
        <v>W/S</v>
      </c>
      <c r="G179" s="198">
        <f>+G178</f>
        <v>0.06546739827906531</v>
      </c>
      <c r="H179" s="184"/>
      <c r="I179" s="184">
        <f>+G179*D179</f>
        <v>0</v>
      </c>
      <c r="J179" s="184"/>
      <c r="K179" s="280"/>
      <c r="L179" s="275">
        <v>0</v>
      </c>
      <c r="M179" s="299">
        <v>0</v>
      </c>
      <c r="N179" s="299"/>
    </row>
    <row r="180" spans="1:13" ht="15.75">
      <c r="A180" s="188">
        <v>15</v>
      </c>
      <c r="B180" s="195" t="s">
        <v>401</v>
      </c>
      <c r="C180" s="184" t="s">
        <v>4</v>
      </c>
      <c r="D180" s="305"/>
      <c r="E180" s="184"/>
      <c r="F180" s="184"/>
      <c r="H180" s="184"/>
      <c r="K180" s="280"/>
      <c r="L180" s="305"/>
      <c r="M180" s="305"/>
    </row>
    <row r="181" spans="1:13" ht="15.75">
      <c r="A181" s="188">
        <v>16</v>
      </c>
      <c r="B181" s="195" t="s">
        <v>402</v>
      </c>
      <c r="C181" s="184" t="s">
        <v>399</v>
      </c>
      <c r="D181" s="200">
        <f>L181+M181</f>
        <v>166740100</v>
      </c>
      <c r="E181" s="184"/>
      <c r="F181" s="184" t="s">
        <v>366</v>
      </c>
      <c r="G181" s="198">
        <f>+G90</f>
        <v>0.18454955753604957</v>
      </c>
      <c r="H181" s="184"/>
      <c r="I181" s="184">
        <f>+G181*D181</f>
        <v>30771811.67851666</v>
      </c>
      <c r="J181" s="184"/>
      <c r="K181" s="280"/>
      <c r="L181" s="275">
        <v>166101100</v>
      </c>
      <c r="M181" s="275">
        <v>639000</v>
      </c>
    </row>
    <row r="182" spans="1:14" ht="15.75">
      <c r="A182" s="188">
        <v>17</v>
      </c>
      <c r="B182" s="195" t="s">
        <v>403</v>
      </c>
      <c r="C182" s="184" t="s">
        <v>399</v>
      </c>
      <c r="D182" s="200">
        <f>L182+M182</f>
        <v>18538545</v>
      </c>
      <c r="E182" s="184"/>
      <c r="F182" s="196" t="str">
        <f>+F111</f>
        <v>NA</v>
      </c>
      <c r="G182" s="306" t="s">
        <v>340</v>
      </c>
      <c r="H182" s="184"/>
      <c r="I182" s="184">
        <v>0</v>
      </c>
      <c r="J182" s="184"/>
      <c r="K182" s="280"/>
      <c r="L182" s="275">
        <v>0</v>
      </c>
      <c r="M182" s="275">
        <v>18538545</v>
      </c>
      <c r="N182" s="299"/>
    </row>
    <row r="183" spans="1:13" ht="15.75">
      <c r="A183" s="188">
        <v>18</v>
      </c>
      <c r="B183" s="195" t="s">
        <v>404</v>
      </c>
      <c r="C183" s="184" t="str">
        <f>+C182</f>
        <v>263.i</v>
      </c>
      <c r="D183" s="200">
        <f>L183+M183</f>
        <v>0</v>
      </c>
      <c r="E183" s="184"/>
      <c r="F183" s="184" t="str">
        <f>+F181</f>
        <v>GP</v>
      </c>
      <c r="G183" s="198">
        <f>+G181</f>
        <v>0.18454955753604957</v>
      </c>
      <c r="H183" s="184"/>
      <c r="I183" s="184">
        <f>+G183*D183</f>
        <v>0</v>
      </c>
      <c r="J183" s="184"/>
      <c r="K183" s="280"/>
      <c r="L183" s="196">
        <v>0</v>
      </c>
      <c r="M183" s="196">
        <v>0</v>
      </c>
    </row>
    <row r="184" spans="1:13" ht="16.5" thickBot="1">
      <c r="A184" s="188">
        <v>19</v>
      </c>
      <c r="B184" s="195" t="s">
        <v>405</v>
      </c>
      <c r="C184" s="184"/>
      <c r="D184" s="200">
        <f>L184+M184</f>
        <v>0</v>
      </c>
      <c r="E184" s="184"/>
      <c r="F184" s="184" t="s">
        <v>366</v>
      </c>
      <c r="G184" s="198">
        <f>+G181</f>
        <v>0.18454955753604957</v>
      </c>
      <c r="H184" s="184"/>
      <c r="I184" s="201">
        <f>+G184*D184</f>
        <v>0</v>
      </c>
      <c r="J184" s="202"/>
      <c r="K184" s="280"/>
      <c r="L184" s="277">
        <v>0</v>
      </c>
      <c r="M184" s="277">
        <v>0</v>
      </c>
    </row>
    <row r="185" spans="1:13" ht="15.75">
      <c r="A185" s="188">
        <v>20</v>
      </c>
      <c r="B185" s="195" t="s">
        <v>406</v>
      </c>
      <c r="C185" s="184"/>
      <c r="D185" s="283">
        <f>SUM(D178:D184)</f>
        <v>219206233.31</v>
      </c>
      <c r="E185" s="184"/>
      <c r="F185" s="184"/>
      <c r="G185" s="198"/>
      <c r="H185" s="184"/>
      <c r="I185" s="184">
        <f>SUM(I178:I184)</f>
        <v>32992962.61505559</v>
      </c>
      <c r="J185" s="184"/>
      <c r="K185" s="196"/>
      <c r="L185" s="184">
        <f>SUM(L178:L184)</f>
        <v>196688035</v>
      </c>
      <c r="M185" s="184">
        <f>SUM(M178:M184)</f>
        <v>22518198.31</v>
      </c>
    </row>
    <row r="186" spans="1:11" ht="15.75">
      <c r="A186" s="188"/>
      <c r="B186" s="195"/>
      <c r="C186" s="184"/>
      <c r="D186" s="184"/>
      <c r="E186" s="184"/>
      <c r="F186" s="184"/>
      <c r="G186" s="198"/>
      <c r="H186" s="184"/>
      <c r="I186" s="184"/>
      <c r="J186" s="184"/>
      <c r="K186" s="196"/>
    </row>
    <row r="187" spans="1:8" ht="15.75">
      <c r="A187" s="188" t="s">
        <v>4</v>
      </c>
      <c r="B187" s="195" t="s">
        <v>407</v>
      </c>
      <c r="C187" s="184" t="s">
        <v>408</v>
      </c>
      <c r="D187" s="184"/>
      <c r="E187" s="184"/>
      <c r="G187" s="307"/>
      <c r="H187" s="184"/>
    </row>
    <row r="188" spans="1:8" ht="15.75">
      <c r="A188" s="188">
        <v>21</v>
      </c>
      <c r="B188" s="308" t="s">
        <v>409</v>
      </c>
      <c r="C188" s="184"/>
      <c r="D188" s="309">
        <f>IF(D327&gt;0,1-(((1-D328)*(1-D327))/(1-D328*D327*D329)),0)</f>
        <v>0.40749899999999994</v>
      </c>
      <c r="E188" s="184"/>
      <c r="G188" s="307"/>
      <c r="H188" s="184"/>
    </row>
    <row r="189" spans="1:8" ht="15.75">
      <c r="A189" s="188">
        <v>22</v>
      </c>
      <c r="B189" s="176" t="s">
        <v>410</v>
      </c>
      <c r="C189" s="184"/>
      <c r="D189" s="309">
        <f>IF(I275&gt;0,(D188/(1-D188))*(1-I272/I275),0)</f>
        <v>0.5060438789988112</v>
      </c>
      <c r="E189" s="184"/>
      <c r="G189" s="307"/>
      <c r="H189" s="184"/>
    </row>
    <row r="190" spans="1:8" ht="15.75">
      <c r="A190" s="188"/>
      <c r="B190" s="195" t="s">
        <v>411</v>
      </c>
      <c r="C190" s="184"/>
      <c r="D190" s="184"/>
      <c r="E190" s="184"/>
      <c r="G190" s="307"/>
      <c r="H190" s="184"/>
    </row>
    <row r="191" spans="1:8" ht="15.75">
      <c r="A191" s="188"/>
      <c r="B191" s="195" t="s">
        <v>412</v>
      </c>
      <c r="C191" s="184"/>
      <c r="D191" s="184"/>
      <c r="E191" s="184"/>
      <c r="G191" s="307"/>
      <c r="H191" s="184"/>
    </row>
    <row r="192" spans="1:8" ht="15.75">
      <c r="A192" s="188">
        <v>23</v>
      </c>
      <c r="B192" s="308" t="s">
        <v>413</v>
      </c>
      <c r="C192" s="184"/>
      <c r="D192" s="310">
        <f>IF(D188&gt;0,1/(1-D188),0)</f>
        <v>1.687760864538625</v>
      </c>
      <c r="E192" s="184"/>
      <c r="G192" s="307"/>
      <c r="H192" s="184"/>
    </row>
    <row r="193" spans="1:14" ht="15.75">
      <c r="A193" s="188">
        <v>24</v>
      </c>
      <c r="B193" s="195" t="s">
        <v>414</v>
      </c>
      <c r="C193" s="184"/>
      <c r="D193" s="200">
        <f>L193+M193</f>
        <v>-2928560</v>
      </c>
      <c r="E193" s="184"/>
      <c r="G193" s="307"/>
      <c r="H193" s="184"/>
      <c r="L193" s="275">
        <v>-2329000</v>
      </c>
      <c r="M193" s="275">
        <v>-599560</v>
      </c>
      <c r="N193" s="299"/>
    </row>
    <row r="194" spans="1:8" ht="15.75">
      <c r="A194" s="188"/>
      <c r="B194" s="195"/>
      <c r="C194" s="184"/>
      <c r="D194" s="184"/>
      <c r="E194" s="184"/>
      <c r="G194" s="307"/>
      <c r="H194" s="184"/>
    </row>
    <row r="195" spans="1:11" ht="15.75">
      <c r="A195" s="188">
        <v>25</v>
      </c>
      <c r="B195" s="308" t="s">
        <v>415</v>
      </c>
      <c r="C195" s="311"/>
      <c r="D195" s="184">
        <f>D189*D199</f>
        <v>325577079.8159183</v>
      </c>
      <c r="E195" s="184"/>
      <c r="F195" s="184" t="s">
        <v>307</v>
      </c>
      <c r="G195" s="198"/>
      <c r="H195" s="184"/>
      <c r="I195" s="184">
        <f>D189*I199</f>
        <v>82309049.79732879</v>
      </c>
      <c r="J195" s="184"/>
      <c r="K195" s="312" t="s">
        <v>4</v>
      </c>
    </row>
    <row r="196" spans="1:11" ht="16.5" thickBot="1">
      <c r="A196" s="188">
        <v>26</v>
      </c>
      <c r="B196" s="176" t="s">
        <v>416</v>
      </c>
      <c r="C196" s="311"/>
      <c r="D196" s="201">
        <f>D192*D193</f>
        <v>-4942708.957453236</v>
      </c>
      <c r="E196" s="184"/>
      <c r="F196" s="176" t="s">
        <v>343</v>
      </c>
      <c r="G196" s="198">
        <f>G106</f>
        <v>0.22035336090338367</v>
      </c>
      <c r="H196" s="184"/>
      <c r="I196" s="201">
        <f>G196*D196</f>
        <v>-1089142.5307420802</v>
      </c>
      <c r="J196" s="202"/>
      <c r="K196" s="312"/>
    </row>
    <row r="197" spans="1:11" ht="15.75">
      <c r="A197" s="188">
        <v>27</v>
      </c>
      <c r="B197" s="313" t="s">
        <v>15</v>
      </c>
      <c r="C197" s="176" t="s">
        <v>417</v>
      </c>
      <c r="D197" s="314">
        <f>+D195+D196</f>
        <v>320634370.8584651</v>
      </c>
      <c r="E197" s="184"/>
      <c r="F197" s="184" t="s">
        <v>4</v>
      </c>
      <c r="G197" s="198" t="s">
        <v>4</v>
      </c>
      <c r="H197" s="184"/>
      <c r="I197" s="314">
        <f>+I195+I196</f>
        <v>81219907.2665867</v>
      </c>
      <c r="J197" s="314"/>
      <c r="K197" s="196"/>
    </row>
    <row r="198" spans="1:11" ht="15.75">
      <c r="A198" s="188" t="s">
        <v>4</v>
      </c>
      <c r="C198" s="315"/>
      <c r="D198" s="184"/>
      <c r="E198" s="184"/>
      <c r="F198" s="184"/>
      <c r="G198" s="198"/>
      <c r="H198" s="184"/>
      <c r="I198" s="184"/>
      <c r="J198" s="184"/>
      <c r="K198" s="196"/>
    </row>
    <row r="199" spans="1:10" ht="15.75">
      <c r="A199" s="188">
        <v>28</v>
      </c>
      <c r="B199" s="195" t="s">
        <v>16</v>
      </c>
      <c r="C199" s="279"/>
      <c r="D199" s="184">
        <f>+$I275*D128</f>
        <v>643377172.0746042</v>
      </c>
      <c r="E199" s="184"/>
      <c r="F199" s="184" t="s">
        <v>307</v>
      </c>
      <c r="G199" s="307"/>
      <c r="H199" s="184"/>
      <c r="I199" s="184">
        <f>+$I275*I128</f>
        <v>162652001.56194785</v>
      </c>
      <c r="J199" s="184"/>
    </row>
    <row r="200" spans="1:11" ht="15.75">
      <c r="A200" s="188"/>
      <c r="B200" s="313" t="s">
        <v>418</v>
      </c>
      <c r="D200" s="184"/>
      <c r="E200" s="184"/>
      <c r="F200" s="184"/>
      <c r="G200" s="307"/>
      <c r="H200" s="184"/>
      <c r="I200" s="184"/>
      <c r="J200" s="184"/>
      <c r="K200" s="280"/>
    </row>
    <row r="201" spans="1:11" ht="16.5" thickBot="1">
      <c r="A201" s="188"/>
      <c r="B201" s="195"/>
      <c r="D201" s="201"/>
      <c r="E201" s="184"/>
      <c r="F201" s="184"/>
      <c r="G201" s="307"/>
      <c r="H201" s="184"/>
      <c r="I201" s="201"/>
      <c r="J201" s="202"/>
      <c r="K201" s="280"/>
    </row>
    <row r="202" spans="1:11" ht="15.75">
      <c r="A202" s="188">
        <v>29</v>
      </c>
      <c r="B202" s="195" t="s">
        <v>419</v>
      </c>
      <c r="C202" s="184"/>
      <c r="D202" s="283">
        <f>+D199+D197+D185+D174+D166</f>
        <v>1646579999.4519444</v>
      </c>
      <c r="E202" s="184"/>
      <c r="F202" s="184"/>
      <c r="G202" s="184"/>
      <c r="H202" s="184"/>
      <c r="I202" s="202">
        <f>+I199+I197+I185+I174+I166</f>
        <v>413696590.5583849</v>
      </c>
      <c r="J202" s="202"/>
      <c r="K202" s="182"/>
    </row>
    <row r="203" spans="1:11" ht="15.75">
      <c r="A203" s="188"/>
      <c r="B203" s="195"/>
      <c r="C203" s="184"/>
      <c r="D203" s="202"/>
      <c r="E203" s="184"/>
      <c r="F203" s="184"/>
      <c r="G203" s="184"/>
      <c r="H203" s="184"/>
      <c r="I203" s="202"/>
      <c r="J203" s="202"/>
      <c r="K203" s="182"/>
    </row>
    <row r="204" spans="1:11" ht="15.75">
      <c r="A204" s="188">
        <v>30</v>
      </c>
      <c r="B204" s="195" t="s">
        <v>420</v>
      </c>
      <c r="C204" s="184"/>
      <c r="J204" s="202"/>
      <c r="K204" s="182"/>
    </row>
    <row r="205" spans="1:11" ht="15.75">
      <c r="A205" s="188"/>
      <c r="B205" s="195" t="s">
        <v>421</v>
      </c>
      <c r="C205" s="184"/>
      <c r="D205" s="202"/>
      <c r="E205" s="184"/>
      <c r="F205" s="184"/>
      <c r="G205" s="184"/>
      <c r="H205" s="184"/>
      <c r="I205" s="202"/>
      <c r="J205" s="202"/>
      <c r="K205" s="182"/>
    </row>
    <row r="206" spans="1:12" ht="15.75">
      <c r="A206" s="188"/>
      <c r="B206" s="195" t="s">
        <v>422</v>
      </c>
      <c r="C206" s="184"/>
      <c r="D206" s="207">
        <f>L206</f>
        <v>37238545.116149366</v>
      </c>
      <c r="E206" s="184"/>
      <c r="F206" s="184"/>
      <c r="G206" s="184"/>
      <c r="H206" s="184"/>
      <c r="I206" s="207">
        <f>D206</f>
        <v>37238545.116149366</v>
      </c>
      <c r="J206" s="202"/>
      <c r="K206" s="182"/>
      <c r="L206" s="275">
        <v>37238545.116149366</v>
      </c>
    </row>
    <row r="207" spans="1:11" ht="15.75">
      <c r="A207" s="188"/>
      <c r="B207" s="195"/>
      <c r="C207" s="184"/>
      <c r="D207" s="202"/>
      <c r="E207" s="184"/>
      <c r="F207" s="184"/>
      <c r="G207" s="184"/>
      <c r="H207" s="184"/>
      <c r="I207" s="202"/>
      <c r="J207" s="202"/>
      <c r="K207" s="182"/>
    </row>
    <row r="208" spans="1:11" ht="15.75">
      <c r="A208" s="188" t="s">
        <v>423</v>
      </c>
      <c r="B208" s="195" t="s">
        <v>424</v>
      </c>
      <c r="C208" s="184"/>
      <c r="K208" s="182"/>
    </row>
    <row r="209" spans="1:11" ht="15.75">
      <c r="A209" s="188"/>
      <c r="B209" s="195" t="s">
        <v>421</v>
      </c>
      <c r="C209" s="184"/>
      <c r="D209" s="202"/>
      <c r="E209" s="184"/>
      <c r="F209" s="184"/>
      <c r="G209" s="184"/>
      <c r="H209" s="184"/>
      <c r="I209" s="202"/>
      <c r="J209" s="202"/>
      <c r="K209" s="182"/>
    </row>
    <row r="210" spans="1:12" ht="16.5" thickBot="1">
      <c r="A210" s="188"/>
      <c r="B210" s="195" t="s">
        <v>425</v>
      </c>
      <c r="C210" s="184"/>
      <c r="D210" s="211">
        <f>L210</f>
        <v>31379691.585192837</v>
      </c>
      <c r="E210" s="184"/>
      <c r="F210" s="184"/>
      <c r="G210" s="184"/>
      <c r="H210" s="184"/>
      <c r="I210" s="211">
        <f>D210</f>
        <v>31379691.585192837</v>
      </c>
      <c r="J210" s="208"/>
      <c r="K210" s="182"/>
      <c r="L210" s="275">
        <v>31379691.585192837</v>
      </c>
    </row>
    <row r="211" spans="1:11" ht="16.5" thickBot="1">
      <c r="A211" s="188">
        <v>31</v>
      </c>
      <c r="B211" s="195" t="s">
        <v>426</v>
      </c>
      <c r="C211" s="184"/>
      <c r="D211" s="316">
        <f>+D202-D206-D210</f>
        <v>1577961762.750602</v>
      </c>
      <c r="E211" s="184"/>
      <c r="F211" s="184"/>
      <c r="G211" s="184"/>
      <c r="H211" s="184"/>
      <c r="I211" s="316">
        <f>+I202-I206-I210</f>
        <v>345078353.8570427</v>
      </c>
      <c r="J211" s="202"/>
      <c r="K211" s="182"/>
    </row>
    <row r="212" spans="1:11" ht="16.5" thickTop="1">
      <c r="A212" s="188"/>
      <c r="B212" s="195" t="s">
        <v>427</v>
      </c>
      <c r="C212" s="184"/>
      <c r="D212" s="202"/>
      <c r="E212" s="184"/>
      <c r="F212" s="184"/>
      <c r="G212" s="184"/>
      <c r="H212" s="184"/>
      <c r="I212" s="202"/>
      <c r="J212" s="202"/>
      <c r="K212" s="182"/>
    </row>
    <row r="213" spans="1:11" ht="15.75">
      <c r="A213" s="188"/>
      <c r="B213" s="195"/>
      <c r="C213" s="184"/>
      <c r="D213" s="202"/>
      <c r="E213" s="184"/>
      <c r="F213" s="184"/>
      <c r="G213" s="184"/>
      <c r="H213" s="184"/>
      <c r="I213" s="202"/>
      <c r="J213" s="202"/>
      <c r="K213" s="182"/>
    </row>
    <row r="214" spans="1:11" ht="15.75">
      <c r="A214" s="188"/>
      <c r="B214" s="195"/>
      <c r="C214" s="184"/>
      <c r="D214" s="202"/>
      <c r="E214" s="184"/>
      <c r="F214" s="184"/>
      <c r="G214" s="184"/>
      <c r="H214" s="184"/>
      <c r="I214" s="202"/>
      <c r="J214" s="202"/>
      <c r="K214" s="182"/>
    </row>
    <row r="215" spans="1:11" ht="15.75">
      <c r="A215" s="188"/>
      <c r="B215" s="195"/>
      <c r="C215" s="184"/>
      <c r="D215" s="202"/>
      <c r="E215" s="184"/>
      <c r="F215" s="184"/>
      <c r="G215" s="184"/>
      <c r="H215" s="184"/>
      <c r="I215" s="202"/>
      <c r="J215" s="202"/>
      <c r="K215" s="182"/>
    </row>
    <row r="216" spans="1:11" ht="15.75">
      <c r="A216" s="188"/>
      <c r="B216" s="195"/>
      <c r="C216" s="184"/>
      <c r="D216" s="202"/>
      <c r="E216" s="184"/>
      <c r="F216" s="184"/>
      <c r="G216" s="184"/>
      <c r="H216" s="184"/>
      <c r="I216" s="202"/>
      <c r="J216" s="202"/>
      <c r="K216" s="182"/>
    </row>
    <row r="217" spans="1:11" ht="15.75">
      <c r="A217" s="188"/>
      <c r="B217" s="195"/>
      <c r="C217" s="184"/>
      <c r="D217" s="202"/>
      <c r="E217" s="184"/>
      <c r="F217" s="184"/>
      <c r="G217" s="184"/>
      <c r="H217" s="184"/>
      <c r="I217" s="202"/>
      <c r="J217" s="202"/>
      <c r="K217" s="182"/>
    </row>
    <row r="218" spans="1:11" ht="15.75">
      <c r="A218" s="188"/>
      <c r="B218" s="195"/>
      <c r="C218" s="184"/>
      <c r="D218" s="202"/>
      <c r="E218" s="184"/>
      <c r="F218" s="184"/>
      <c r="G218" s="184"/>
      <c r="H218" s="184"/>
      <c r="I218" s="202"/>
      <c r="J218" s="202"/>
      <c r="K218" s="182"/>
    </row>
    <row r="219" spans="1:11" ht="15.75">
      <c r="A219" s="188"/>
      <c r="B219" s="195"/>
      <c r="C219" s="184"/>
      <c r="D219" s="202"/>
      <c r="E219" s="184"/>
      <c r="F219" s="184"/>
      <c r="G219" s="184"/>
      <c r="H219" s="184"/>
      <c r="I219" s="202"/>
      <c r="J219" s="202"/>
      <c r="K219" s="182"/>
    </row>
    <row r="220" spans="1:11" ht="15.75">
      <c r="A220" s="188"/>
      <c r="B220" s="195"/>
      <c r="C220" s="184"/>
      <c r="D220" s="202"/>
      <c r="E220" s="184"/>
      <c r="F220" s="184"/>
      <c r="G220" s="184"/>
      <c r="H220" s="184"/>
      <c r="I220" s="202"/>
      <c r="J220" s="202"/>
      <c r="K220" s="182"/>
    </row>
    <row r="221" spans="2:11" ht="15.75">
      <c r="B221" s="177"/>
      <c r="C221" s="177"/>
      <c r="D221" s="178"/>
      <c r="E221" s="177"/>
      <c r="F221" s="177"/>
      <c r="G221" s="177"/>
      <c r="H221" s="179"/>
      <c r="I221" s="180"/>
      <c r="J221" s="180"/>
      <c r="K221" s="181" t="s">
        <v>428</v>
      </c>
    </row>
    <row r="222" spans="2:11" ht="15.75">
      <c r="B222" s="177" t="s">
        <v>217</v>
      </c>
      <c r="C222" s="177"/>
      <c r="D222" s="178" t="s">
        <v>1</v>
      </c>
      <c r="E222" s="177"/>
      <c r="F222" s="177"/>
      <c r="G222" s="177"/>
      <c r="H222" s="179"/>
      <c r="K222" s="180" t="str">
        <f>K3</f>
        <v>For the 12 months ended 12/31/13</v>
      </c>
    </row>
    <row r="223" spans="2:11" ht="15.75">
      <c r="B223" s="177"/>
      <c r="C223" s="177"/>
      <c r="D223" s="184" t="s">
        <v>219</v>
      </c>
      <c r="E223" s="177"/>
      <c r="F223" s="177"/>
      <c r="G223" s="177"/>
      <c r="H223" s="179"/>
      <c r="I223" s="179"/>
      <c r="J223" s="179"/>
      <c r="K223" s="260"/>
    </row>
    <row r="224" spans="2:11" ht="11.25" customHeight="1">
      <c r="B224" s="177"/>
      <c r="C224" s="177"/>
      <c r="D224" s="184"/>
      <c r="E224" s="177"/>
      <c r="F224" s="177"/>
      <c r="G224" s="177"/>
      <c r="H224" s="179"/>
      <c r="I224" s="179"/>
      <c r="J224" s="179"/>
      <c r="K224" s="260"/>
    </row>
    <row r="225" spans="1:13" ht="15.75">
      <c r="A225" s="332" t="str">
        <f>A6</f>
        <v>Northern States Power Companies</v>
      </c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268" t="s">
        <v>298</v>
      </c>
      <c r="M225" s="268" t="s">
        <v>299</v>
      </c>
    </row>
    <row r="226" spans="2:13" ht="15.75">
      <c r="B226" s="177"/>
      <c r="C226" s="177"/>
      <c r="D226" s="183"/>
      <c r="E226" s="290"/>
      <c r="F226" s="290"/>
      <c r="G226" s="290"/>
      <c r="H226" s="179"/>
      <c r="I226" s="179"/>
      <c r="J226" s="179"/>
      <c r="K226" s="182"/>
      <c r="L226" s="268"/>
      <c r="M226" s="268"/>
    </row>
    <row r="227" spans="1:13" ht="15.75">
      <c r="A227" s="188" t="s">
        <v>2</v>
      </c>
      <c r="B227" s="177"/>
      <c r="C227" s="272" t="s">
        <v>429</v>
      </c>
      <c r="E227" s="184"/>
      <c r="F227" s="184"/>
      <c r="G227" s="184"/>
      <c r="H227" s="179"/>
      <c r="I227" s="179"/>
      <c r="J227" s="179"/>
      <c r="K227" s="182"/>
      <c r="L227" s="268" t="s">
        <v>225</v>
      </c>
      <c r="M227" s="268" t="s">
        <v>225</v>
      </c>
    </row>
    <row r="228" spans="1:11" ht="16.5" thickBot="1">
      <c r="A228" s="190" t="s">
        <v>3</v>
      </c>
      <c r="B228" s="290" t="s">
        <v>430</v>
      </c>
      <c r="C228" s="182"/>
      <c r="D228" s="182"/>
      <c r="E228" s="182"/>
      <c r="F228" s="182"/>
      <c r="G228" s="182"/>
      <c r="H228" s="183"/>
      <c r="I228" s="183"/>
      <c r="J228" s="183"/>
      <c r="K228" s="196"/>
    </row>
    <row r="229" spans="1:11" ht="15.75">
      <c r="A229" s="188">
        <v>1</v>
      </c>
      <c r="B229" s="221" t="s">
        <v>431</v>
      </c>
      <c r="C229" s="182"/>
      <c r="D229" s="196"/>
      <c r="E229" s="196"/>
      <c r="F229" s="196"/>
      <c r="G229" s="196"/>
      <c r="H229" s="196"/>
      <c r="I229" s="196">
        <f>D86</f>
        <v>2806099328.871538</v>
      </c>
      <c r="J229" s="196"/>
      <c r="K229" s="196"/>
    </row>
    <row r="230" spans="1:13" ht="15.75">
      <c r="A230" s="188">
        <v>2</v>
      </c>
      <c r="B230" s="221" t="s">
        <v>432</v>
      </c>
      <c r="C230" s="183"/>
      <c r="D230" s="92"/>
      <c r="E230" s="183"/>
      <c r="F230" s="183"/>
      <c r="G230" s="183"/>
      <c r="H230" s="183"/>
      <c r="I230" s="200">
        <f>L230+M230</f>
        <v>0</v>
      </c>
      <c r="J230" s="196"/>
      <c r="K230" s="196"/>
      <c r="L230" s="299">
        <v>0</v>
      </c>
      <c r="M230" s="275">
        <v>0</v>
      </c>
    </row>
    <row r="231" spans="1:14" ht="16.5" thickBot="1">
      <c r="A231" s="188">
        <v>3</v>
      </c>
      <c r="B231" s="317" t="s">
        <v>433</v>
      </c>
      <c r="C231" s="318"/>
      <c r="D231" s="208"/>
      <c r="E231" s="196"/>
      <c r="F231" s="196"/>
      <c r="G231" s="261"/>
      <c r="H231" s="196"/>
      <c r="I231" s="200">
        <f>L231+M231</f>
        <v>81922913.75</v>
      </c>
      <c r="J231" s="196"/>
      <c r="K231" s="196"/>
      <c r="L231" s="288">
        <v>72776000</v>
      </c>
      <c r="M231" s="288">
        <v>9146913.750000002</v>
      </c>
      <c r="N231" s="299"/>
    </row>
    <row r="232" spans="1:11" ht="15.75">
      <c r="A232" s="188">
        <v>4</v>
      </c>
      <c r="B232" s="221" t="s">
        <v>434</v>
      </c>
      <c r="C232" s="182"/>
      <c r="D232" s="208"/>
      <c r="E232" s="196"/>
      <c r="F232" s="196"/>
      <c r="G232" s="261"/>
      <c r="H232" s="196"/>
      <c r="I232" s="319">
        <f>I229-I230-I231</f>
        <v>2724176415.121538</v>
      </c>
      <c r="J232" s="208"/>
      <c r="K232" s="196"/>
    </row>
    <row r="233" spans="1:11" ht="11.25" customHeight="1">
      <c r="A233" s="188"/>
      <c r="B233" s="183"/>
      <c r="C233" s="182"/>
      <c r="D233" s="208"/>
      <c r="E233" s="196"/>
      <c r="F233" s="196"/>
      <c r="G233" s="261"/>
      <c r="H233" s="196"/>
      <c r="I233" s="183"/>
      <c r="J233" s="183"/>
      <c r="K233" s="196"/>
    </row>
    <row r="234" spans="1:11" ht="15.75">
      <c r="A234" s="188">
        <v>5</v>
      </c>
      <c r="B234" s="221" t="s">
        <v>435</v>
      </c>
      <c r="C234" s="320"/>
      <c r="D234" s="321"/>
      <c r="E234" s="322"/>
      <c r="F234" s="322"/>
      <c r="G234" s="186"/>
      <c r="H234" s="196" t="s">
        <v>436</v>
      </c>
      <c r="I234" s="287">
        <f>IF(I229&gt;0,I232/I229,0)</f>
        <v>0.9708054120154952</v>
      </c>
      <c r="J234" s="287"/>
      <c r="K234" s="196"/>
    </row>
    <row r="235" spans="1:11" ht="11.25" customHeight="1">
      <c r="A235" s="188"/>
      <c r="B235" s="183"/>
      <c r="C235" s="183"/>
      <c r="D235" s="92"/>
      <c r="E235" s="183"/>
      <c r="F235" s="183"/>
      <c r="G235" s="183"/>
      <c r="H235" s="183"/>
      <c r="I235" s="183"/>
      <c r="J235" s="183"/>
      <c r="K235" s="196"/>
    </row>
    <row r="236" spans="1:11" ht="15.75">
      <c r="A236" s="188"/>
      <c r="B236" s="220" t="s">
        <v>437</v>
      </c>
      <c r="C236" s="183"/>
      <c r="D236" s="92"/>
      <c r="E236" s="183"/>
      <c r="F236" s="183"/>
      <c r="G236" s="183"/>
      <c r="H236" s="183"/>
      <c r="I236" s="183"/>
      <c r="J236" s="183"/>
      <c r="K236" s="196"/>
    </row>
    <row r="237" spans="1:19" ht="15.75">
      <c r="A237" s="188"/>
      <c r="B237" s="183"/>
      <c r="C237" s="183"/>
      <c r="D237" s="92"/>
      <c r="E237" s="183"/>
      <c r="F237" s="183"/>
      <c r="G237" s="183"/>
      <c r="H237" s="183"/>
      <c r="I237" s="183"/>
      <c r="J237" s="183"/>
      <c r="K237" s="196"/>
      <c r="N237" s="333" t="s">
        <v>438</v>
      </c>
      <c r="O237" s="304"/>
      <c r="P237" s="304"/>
      <c r="Q237" s="304"/>
      <c r="R237" s="304"/>
      <c r="S237" s="494"/>
    </row>
    <row r="238" spans="1:19" ht="15.75">
      <c r="A238" s="188">
        <v>6</v>
      </c>
      <c r="B238" s="183" t="s">
        <v>439</v>
      </c>
      <c r="C238" s="183"/>
      <c r="D238" s="323"/>
      <c r="E238" s="182"/>
      <c r="F238" s="182"/>
      <c r="G238" s="265"/>
      <c r="H238" s="182"/>
      <c r="I238" s="196">
        <f>D157</f>
        <v>189575755.57</v>
      </c>
      <c r="J238" s="196"/>
      <c r="K238" s="196"/>
      <c r="N238" s="324"/>
      <c r="O238" s="228"/>
      <c r="P238" s="202"/>
      <c r="Q238" s="325"/>
      <c r="R238" s="228"/>
      <c r="S238" s="326"/>
    </row>
    <row r="239" spans="1:19" ht="16.5" thickBot="1">
      <c r="A239" s="188">
        <v>7</v>
      </c>
      <c r="B239" s="317" t="s">
        <v>440</v>
      </c>
      <c r="C239" s="318"/>
      <c r="D239" s="208"/>
      <c r="E239" s="208"/>
      <c r="F239" s="196"/>
      <c r="G239" s="196"/>
      <c r="H239" s="196"/>
      <c r="I239" s="200">
        <f>L239+M239</f>
        <v>7419036</v>
      </c>
      <c r="J239" s="196"/>
      <c r="K239" s="196"/>
      <c r="L239" s="288">
        <v>5638972</v>
      </c>
      <c r="M239" s="288">
        <v>1780064</v>
      </c>
      <c r="N239" s="327">
        <f>+I239</f>
        <v>7419036</v>
      </c>
      <c r="O239" s="328" t="s">
        <v>441</v>
      </c>
      <c r="P239" s="202"/>
      <c r="Q239" s="325"/>
      <c r="R239" s="228"/>
      <c r="S239" s="326"/>
    </row>
    <row r="240" spans="1:19" ht="15.75">
      <c r="A240" s="188">
        <v>8</v>
      </c>
      <c r="B240" s="221" t="s">
        <v>442</v>
      </c>
      <c r="C240" s="320"/>
      <c r="D240" s="321"/>
      <c r="E240" s="322"/>
      <c r="F240" s="322"/>
      <c r="G240" s="186"/>
      <c r="H240" s="322"/>
      <c r="I240" s="319">
        <f>+I238-I239</f>
        <v>182156719.57</v>
      </c>
      <c r="J240" s="208"/>
      <c r="K240" s="196"/>
      <c r="L240" s="288"/>
      <c r="M240" s="288"/>
      <c r="N240" s="329">
        <v>1890149.4</v>
      </c>
      <c r="O240" s="330" t="s">
        <v>443</v>
      </c>
      <c r="S240" s="326"/>
    </row>
    <row r="241" spans="1:19" ht="15.75">
      <c r="A241" s="188"/>
      <c r="B241" s="221"/>
      <c r="C241" s="182"/>
      <c r="D241" s="196"/>
      <c r="E241" s="196"/>
      <c r="F241" s="196"/>
      <c r="G241" s="196"/>
      <c r="H241" s="183"/>
      <c r="I241" s="183"/>
      <c r="J241" s="183"/>
      <c r="N241" s="331">
        <f>N239-N240</f>
        <v>5528886.6</v>
      </c>
      <c r="O241" s="330" t="s">
        <v>444</v>
      </c>
      <c r="S241" s="326"/>
    </row>
    <row r="242" spans="1:19" ht="15.75">
      <c r="A242" s="188">
        <v>9</v>
      </c>
      <c r="B242" s="221" t="s">
        <v>445</v>
      </c>
      <c r="C242" s="182"/>
      <c r="D242" s="196"/>
      <c r="E242" s="196"/>
      <c r="F242" s="196"/>
      <c r="G242" s="196"/>
      <c r="H242" s="196"/>
      <c r="I242" s="289">
        <f>IF(I238&gt;0,I240/I238,0)</f>
        <v>0.9608650590488584</v>
      </c>
      <c r="J242" s="289"/>
      <c r="N242" s="331"/>
      <c r="O242" s="334" t="s">
        <v>446</v>
      </c>
      <c r="P242" s="335"/>
      <c r="Q242" s="335"/>
      <c r="R242" s="228"/>
      <c r="S242" s="326"/>
    </row>
    <row r="243" spans="1:19" ht="15.75">
      <c r="A243" s="188">
        <v>10</v>
      </c>
      <c r="B243" s="221" t="s">
        <v>447</v>
      </c>
      <c r="C243" s="182"/>
      <c r="D243" s="196"/>
      <c r="E243" s="196"/>
      <c r="F243" s="196"/>
      <c r="G243" s="196"/>
      <c r="H243" s="182" t="s">
        <v>228</v>
      </c>
      <c r="I243" s="336">
        <f>I234</f>
        <v>0.9708054120154952</v>
      </c>
      <c r="J243" s="336"/>
      <c r="N243" s="337">
        <v>0</v>
      </c>
      <c r="O243" s="335" t="s">
        <v>448</v>
      </c>
      <c r="P243" s="228"/>
      <c r="Q243" s="335"/>
      <c r="R243" s="228"/>
      <c r="S243" s="326"/>
    </row>
    <row r="244" spans="1:19" ht="15.75">
      <c r="A244" s="188">
        <v>11</v>
      </c>
      <c r="B244" s="221" t="s">
        <v>449</v>
      </c>
      <c r="C244" s="182"/>
      <c r="D244" s="182"/>
      <c r="E244" s="182"/>
      <c r="F244" s="182"/>
      <c r="G244" s="182"/>
      <c r="H244" s="182" t="s">
        <v>450</v>
      </c>
      <c r="I244" s="338">
        <f>+I243*I242</f>
        <v>0.9328129995412201</v>
      </c>
      <c r="J244" s="338"/>
      <c r="N244" s="337">
        <v>0</v>
      </c>
      <c r="O244" s="335" t="s">
        <v>451</v>
      </c>
      <c r="P244" s="228"/>
      <c r="Q244" s="335"/>
      <c r="R244" s="228"/>
      <c r="S244" s="326"/>
    </row>
    <row r="245" spans="1:19" ht="15.75">
      <c r="A245" s="188"/>
      <c r="C245" s="185"/>
      <c r="D245" s="184"/>
      <c r="E245" s="184"/>
      <c r="F245" s="184"/>
      <c r="G245" s="291"/>
      <c r="H245" s="184"/>
      <c r="N245" s="339">
        <v>0</v>
      </c>
      <c r="O245" s="335" t="s">
        <v>452</v>
      </c>
      <c r="P245" s="228"/>
      <c r="Q245" s="340"/>
      <c r="R245" s="228"/>
      <c r="S245" s="326"/>
    </row>
    <row r="246" spans="1:19" ht="15.75">
      <c r="A246" s="188" t="s">
        <v>4</v>
      </c>
      <c r="B246" s="195" t="s">
        <v>453</v>
      </c>
      <c r="C246" s="184"/>
      <c r="D246" s="184"/>
      <c r="E246" s="184"/>
      <c r="F246" s="184"/>
      <c r="G246" s="184"/>
      <c r="H246" s="184"/>
      <c r="I246" s="184"/>
      <c r="J246" s="184"/>
      <c r="N246" s="331">
        <f>SUM(N243:N245)</f>
        <v>0</v>
      </c>
      <c r="O246" s="341" t="s">
        <v>454</v>
      </c>
      <c r="P246" s="202"/>
      <c r="Q246" s="325"/>
      <c r="R246" s="228"/>
      <c r="S246" s="326"/>
    </row>
    <row r="247" spans="1:19" ht="16.5" thickBot="1">
      <c r="A247" s="188" t="s">
        <v>4</v>
      </c>
      <c r="B247" s="195"/>
      <c r="C247" s="201" t="s">
        <v>455</v>
      </c>
      <c r="D247" s="342" t="s">
        <v>456</v>
      </c>
      <c r="E247" s="342" t="s">
        <v>228</v>
      </c>
      <c r="F247" s="184"/>
      <c r="G247" s="342" t="s">
        <v>240</v>
      </c>
      <c r="H247" s="184"/>
      <c r="I247" s="184"/>
      <c r="J247" s="184"/>
      <c r="K247" s="196"/>
      <c r="N247" s="343">
        <f>N241-N246</f>
        <v>5528886.6</v>
      </c>
      <c r="O247" s="344" t="s">
        <v>457</v>
      </c>
      <c r="P247" s="345"/>
      <c r="Q247" s="346"/>
      <c r="R247" s="234"/>
      <c r="S247" s="235"/>
    </row>
    <row r="248" spans="1:13" ht="15.75">
      <c r="A248" s="188">
        <v>12</v>
      </c>
      <c r="B248" s="195" t="s">
        <v>305</v>
      </c>
      <c r="C248" s="184" t="s">
        <v>458</v>
      </c>
      <c r="D248" s="200">
        <f>L248+M248</f>
        <v>280841028.49</v>
      </c>
      <c r="E248" s="347">
        <v>0</v>
      </c>
      <c r="F248" s="347"/>
      <c r="G248" s="184">
        <f>D248*E248</f>
        <v>0</v>
      </c>
      <c r="H248" s="184"/>
      <c r="I248" s="184"/>
      <c r="J248" s="184"/>
      <c r="K248" s="196"/>
      <c r="L248" s="275">
        <v>268076470.7</v>
      </c>
      <c r="M248" s="275">
        <v>12764557.789999997</v>
      </c>
    </row>
    <row r="249" spans="1:13" ht="15.75">
      <c r="A249" s="188">
        <v>13</v>
      </c>
      <c r="B249" s="195" t="s">
        <v>308</v>
      </c>
      <c r="C249" s="184" t="s">
        <v>459</v>
      </c>
      <c r="D249" s="200">
        <f>L249+M249</f>
        <v>26353294.199999996</v>
      </c>
      <c r="E249" s="347">
        <f>+I234</f>
        <v>0.9708054120154952</v>
      </c>
      <c r="F249" s="347"/>
      <c r="G249" s="184">
        <f>D249*E249</f>
        <v>25583920.633796554</v>
      </c>
      <c r="H249" s="184"/>
      <c r="I249" s="184"/>
      <c r="J249" s="184"/>
      <c r="K249" s="196"/>
      <c r="L249" s="275">
        <v>20305048.249999996</v>
      </c>
      <c r="M249" s="275">
        <v>6048245.95</v>
      </c>
    </row>
    <row r="250" spans="1:13" ht="15.75">
      <c r="A250" s="188">
        <v>14</v>
      </c>
      <c r="B250" s="195" t="s">
        <v>310</v>
      </c>
      <c r="C250" s="184" t="s">
        <v>460</v>
      </c>
      <c r="D250" s="200">
        <f>L250+M250</f>
        <v>63879472.07000001</v>
      </c>
      <c r="E250" s="347">
        <v>0</v>
      </c>
      <c r="F250" s="347"/>
      <c r="G250" s="184">
        <f>D250*E250</f>
        <v>0</v>
      </c>
      <c r="H250" s="184"/>
      <c r="I250" s="348" t="s">
        <v>461</v>
      </c>
      <c r="J250" s="348"/>
      <c r="K250" s="196"/>
      <c r="L250" s="275">
        <v>52347828.70000001</v>
      </c>
      <c r="M250" s="275">
        <v>11531643.370000001</v>
      </c>
    </row>
    <row r="251" spans="1:13" ht="16.5" thickBot="1">
      <c r="A251" s="188">
        <v>15</v>
      </c>
      <c r="B251" s="195" t="s">
        <v>462</v>
      </c>
      <c r="C251" s="184" t="s">
        <v>463</v>
      </c>
      <c r="D251" s="200">
        <f>L251+M251</f>
        <v>19714923.080000002</v>
      </c>
      <c r="E251" s="347">
        <v>0</v>
      </c>
      <c r="F251" s="347"/>
      <c r="G251" s="201">
        <f>D251*E251</f>
        <v>0</v>
      </c>
      <c r="H251" s="184"/>
      <c r="I251" s="190" t="s">
        <v>464</v>
      </c>
      <c r="J251" s="191"/>
      <c r="K251" s="196"/>
      <c r="L251" s="277">
        <v>16133533.080000002</v>
      </c>
      <c r="M251" s="277">
        <v>3581390</v>
      </c>
    </row>
    <row r="252" spans="1:17" ht="15.75">
      <c r="A252" s="188">
        <v>16</v>
      </c>
      <c r="B252" s="195" t="s">
        <v>465</v>
      </c>
      <c r="C252" s="184"/>
      <c r="D252" s="283">
        <f>SUM(D248:D251)</f>
        <v>390788717.84</v>
      </c>
      <c r="E252" s="184"/>
      <c r="F252" s="184"/>
      <c r="G252" s="184">
        <f>SUM(G248:G251)</f>
        <v>25583920.633796554</v>
      </c>
      <c r="H252" s="262" t="s">
        <v>466</v>
      </c>
      <c r="I252" s="274">
        <f>IF(G252&gt;0,G252/D252,0)</f>
        <v>0.06546739827906531</v>
      </c>
      <c r="J252" s="349" t="s">
        <v>467</v>
      </c>
      <c r="K252" s="196"/>
      <c r="L252" s="184">
        <f>SUM(L248:L251)</f>
        <v>356862880.72999996</v>
      </c>
      <c r="M252" s="184">
        <f>SUM(M248:M251)</f>
        <v>33925837.11</v>
      </c>
      <c r="N252" s="195"/>
      <c r="P252" s="184"/>
      <c r="Q252" s="195"/>
    </row>
    <row r="253" spans="1:9" ht="15.75">
      <c r="A253" s="188"/>
      <c r="B253" s="195"/>
      <c r="C253" s="184"/>
      <c r="D253" s="184"/>
      <c r="E253" s="184"/>
      <c r="F253" s="184"/>
      <c r="G253" s="184"/>
      <c r="H253" s="184"/>
      <c r="I253" s="184"/>
    </row>
    <row r="254" spans="1:11" ht="15.75">
      <c r="A254" s="188"/>
      <c r="B254" s="195" t="s">
        <v>468</v>
      </c>
      <c r="C254" s="184"/>
      <c r="D254" s="184"/>
      <c r="E254" s="184"/>
      <c r="F254" s="184"/>
      <c r="G254" s="184"/>
      <c r="H254" s="184"/>
      <c r="I254" s="184"/>
      <c r="J254" s="184"/>
      <c r="K254" s="196"/>
    </row>
    <row r="255" spans="1:11" ht="15.75">
      <c r="A255" s="188"/>
      <c r="B255" s="195"/>
      <c r="C255" s="184"/>
      <c r="D255" s="266" t="s">
        <v>456</v>
      </c>
      <c r="E255" s="184"/>
      <c r="F255" s="184"/>
      <c r="G255" s="291" t="s">
        <v>469</v>
      </c>
      <c r="H255" s="307" t="s">
        <v>4</v>
      </c>
      <c r="I255" s="279" t="str">
        <f>+I250</f>
        <v>W&amp;S Allocator</v>
      </c>
      <c r="J255" s="279"/>
      <c r="K255" s="196"/>
    </row>
    <row r="256" spans="1:13" ht="15.75">
      <c r="A256" s="188">
        <v>17</v>
      </c>
      <c r="B256" s="195" t="s">
        <v>470</v>
      </c>
      <c r="C256" s="184" t="s">
        <v>471</v>
      </c>
      <c r="D256" s="200">
        <f>L256+M256</f>
        <v>14522346107.250769</v>
      </c>
      <c r="E256" s="184"/>
      <c r="G256" s="188" t="s">
        <v>472</v>
      </c>
      <c r="H256" s="350"/>
      <c r="I256" s="188" t="s">
        <v>473</v>
      </c>
      <c r="J256" s="188"/>
      <c r="K256" s="265" t="s">
        <v>317</v>
      </c>
      <c r="L256" s="275">
        <v>12661863000</v>
      </c>
      <c r="M256" s="275">
        <v>1860483107.2507691</v>
      </c>
    </row>
    <row r="257" spans="1:13" ht="15.75">
      <c r="A257" s="188">
        <v>18</v>
      </c>
      <c r="B257" s="195" t="s">
        <v>474</v>
      </c>
      <c r="C257" s="184" t="s">
        <v>475</v>
      </c>
      <c r="D257" s="200">
        <f>L257+M257</f>
        <v>1300668862.2776923</v>
      </c>
      <c r="E257" s="184"/>
      <c r="G257" s="198">
        <f>IF(D259&gt;0,D256/D259,0)</f>
        <v>0.9177989236070062</v>
      </c>
      <c r="H257" s="291" t="s">
        <v>476</v>
      </c>
      <c r="I257" s="198">
        <f>I252</f>
        <v>0.06546739827906531</v>
      </c>
      <c r="J257" s="351" t="s">
        <v>466</v>
      </c>
      <c r="K257" s="206">
        <f>I257*G257</f>
        <v>0.06008590767187731</v>
      </c>
      <c r="L257" s="275">
        <v>1070929000</v>
      </c>
      <c r="M257" s="275">
        <v>229739862.2776923</v>
      </c>
    </row>
    <row r="258" spans="1:13" ht="16.5" thickBot="1">
      <c r="A258" s="188">
        <v>19</v>
      </c>
      <c r="B258" s="352" t="s">
        <v>477</v>
      </c>
      <c r="C258" s="201" t="s">
        <v>478</v>
      </c>
      <c r="D258" s="200">
        <f>L258+M258</f>
        <v>0</v>
      </c>
      <c r="E258" s="184"/>
      <c r="F258" s="184"/>
      <c r="G258" s="184" t="s">
        <v>4</v>
      </c>
      <c r="H258" s="184"/>
      <c r="I258" s="353"/>
      <c r="J258" s="353"/>
      <c r="L258" s="277">
        <v>0</v>
      </c>
      <c r="M258" s="277">
        <v>0</v>
      </c>
    </row>
    <row r="259" spans="1:13" ht="15.75">
      <c r="A259" s="188">
        <v>20</v>
      </c>
      <c r="B259" s="195" t="s">
        <v>479</v>
      </c>
      <c r="C259" s="184"/>
      <c r="D259" s="283">
        <f>D256+D257+D258</f>
        <v>15823014969.528461</v>
      </c>
      <c r="E259" s="184"/>
      <c r="F259" s="184"/>
      <c r="G259" s="184"/>
      <c r="H259" s="184"/>
      <c r="I259" s="184"/>
      <c r="J259" s="184"/>
      <c r="K259" s="196"/>
      <c r="L259" s="184">
        <f>L256+L257+L258</f>
        <v>13732792000</v>
      </c>
      <c r="M259" s="184">
        <f>M256+M257+M258</f>
        <v>2090222969.5284615</v>
      </c>
    </row>
    <row r="260" spans="1:11" ht="11.25" customHeight="1">
      <c r="A260" s="188"/>
      <c r="B260" s="195"/>
      <c r="C260" s="184"/>
      <c r="E260" s="184"/>
      <c r="F260" s="184"/>
      <c r="G260" s="184"/>
      <c r="H260" s="184"/>
      <c r="I260" s="184"/>
      <c r="J260" s="184"/>
      <c r="K260" s="196"/>
    </row>
    <row r="261" spans="1:12" ht="16.5" thickBot="1">
      <c r="A261" s="188"/>
      <c r="B261" s="177" t="s">
        <v>480</v>
      </c>
      <c r="C261" s="184"/>
      <c r="D261" s="184"/>
      <c r="E261" s="184"/>
      <c r="F261" s="184"/>
      <c r="G261" s="184"/>
      <c r="H261" s="184"/>
      <c r="I261" s="342" t="s">
        <v>456</v>
      </c>
      <c r="J261" s="354"/>
      <c r="K261" s="196"/>
      <c r="L261" s="195"/>
    </row>
    <row r="262" spans="1:13" ht="15.75">
      <c r="A262" s="188">
        <v>21</v>
      </c>
      <c r="B262" s="179"/>
      <c r="C262" s="184" t="s">
        <v>481</v>
      </c>
      <c r="D262" s="184"/>
      <c r="E262" s="184"/>
      <c r="F262" s="184"/>
      <c r="G262" s="184"/>
      <c r="H262" s="184"/>
      <c r="I262" s="200">
        <f>L262+M262</f>
        <v>225147466.57351008</v>
      </c>
      <c r="J262" s="196"/>
      <c r="K262" s="196"/>
      <c r="L262" s="355">
        <v>196966999.1590815</v>
      </c>
      <c r="M262" s="355">
        <v>28180467.414428588</v>
      </c>
    </row>
    <row r="263" spans="1:13" ht="11.25" customHeight="1">
      <c r="A263" s="188"/>
      <c r="B263" s="195"/>
      <c r="C263" s="184"/>
      <c r="D263" s="184"/>
      <c r="E263" s="184"/>
      <c r="F263" s="184"/>
      <c r="G263" s="184"/>
      <c r="H263" s="184"/>
      <c r="I263" s="184"/>
      <c r="J263" s="196"/>
      <c r="K263" s="196"/>
      <c r="L263" s="281"/>
      <c r="M263" s="281"/>
    </row>
    <row r="264" spans="1:13" ht="15.75">
      <c r="A264" s="188">
        <v>22</v>
      </c>
      <c r="B264" s="177"/>
      <c r="C264" s="184" t="s">
        <v>482</v>
      </c>
      <c r="D264" s="184"/>
      <c r="E264" s="184"/>
      <c r="F264" s="184"/>
      <c r="G264" s="184"/>
      <c r="H264" s="196"/>
      <c r="I264" s="356">
        <f>L264+M264</f>
        <v>0</v>
      </c>
      <c r="J264" s="357"/>
      <c r="K264" s="196"/>
      <c r="L264" s="355">
        <v>0</v>
      </c>
      <c r="M264" s="355">
        <v>0</v>
      </c>
    </row>
    <row r="265" spans="1:13" ht="11.25" customHeight="1">
      <c r="A265" s="188"/>
      <c r="B265" s="177"/>
      <c r="C265" s="184"/>
      <c r="D265" s="184"/>
      <c r="E265" s="184"/>
      <c r="F265" s="184"/>
      <c r="G265" s="184"/>
      <c r="H265" s="184"/>
      <c r="I265" s="184"/>
      <c r="J265" s="196"/>
      <c r="K265" s="196"/>
      <c r="L265" s="184"/>
      <c r="M265" s="184"/>
    </row>
    <row r="266" spans="1:13" ht="15.75">
      <c r="A266" s="188"/>
      <c r="B266" s="177" t="s">
        <v>483</v>
      </c>
      <c r="C266" s="184"/>
      <c r="D266" s="184"/>
      <c r="E266" s="184"/>
      <c r="F266" s="184"/>
      <c r="G266" s="184"/>
      <c r="H266" s="184"/>
      <c r="I266" s="184"/>
      <c r="J266" s="196"/>
      <c r="K266" s="196"/>
      <c r="L266" s="184"/>
      <c r="M266" s="184"/>
    </row>
    <row r="267" spans="1:13" ht="15.75">
      <c r="A267" s="188">
        <v>23</v>
      </c>
      <c r="B267" s="177"/>
      <c r="C267" s="184" t="s">
        <v>484</v>
      </c>
      <c r="D267" s="179"/>
      <c r="E267" s="184"/>
      <c r="F267" s="184"/>
      <c r="G267" s="184"/>
      <c r="H267" s="184"/>
      <c r="I267" s="200">
        <f>L267+M267</f>
        <v>5063912705.724815</v>
      </c>
      <c r="J267" s="196"/>
      <c r="K267" s="196"/>
      <c r="L267" s="275">
        <v>4454865082.172967</v>
      </c>
      <c r="M267" s="275">
        <v>609047623.5518483</v>
      </c>
    </row>
    <row r="268" spans="1:13" ht="15.75">
      <c r="A268" s="188">
        <v>24</v>
      </c>
      <c r="B268" s="177"/>
      <c r="C268" s="184" t="s">
        <v>485</v>
      </c>
      <c r="D268" s="184"/>
      <c r="E268" s="184"/>
      <c r="F268" s="184"/>
      <c r="G268" s="184"/>
      <c r="H268" s="184"/>
      <c r="I268" s="358">
        <f>-D273</f>
        <v>0</v>
      </c>
      <c r="J268" s="358"/>
      <c r="K268" s="196"/>
      <c r="L268" s="358"/>
      <c r="M268" s="358"/>
    </row>
    <row r="269" spans="1:13" ht="16.5" thickBot="1">
      <c r="A269" s="188">
        <v>25</v>
      </c>
      <c r="B269" s="177"/>
      <c r="C269" s="184" t="s">
        <v>486</v>
      </c>
      <c r="D269" s="184"/>
      <c r="E269" s="184"/>
      <c r="F269" s="184"/>
      <c r="G269" s="184"/>
      <c r="H269" s="184"/>
      <c r="I269" s="211">
        <f>L269+M269</f>
        <v>616409</v>
      </c>
      <c r="J269" s="208"/>
      <c r="K269" s="196"/>
      <c r="L269" s="288">
        <v>3206143</v>
      </c>
      <c r="M269" s="288">
        <v>-2589734</v>
      </c>
    </row>
    <row r="270" spans="1:13" s="228" customFormat="1" ht="15.75">
      <c r="A270" s="191">
        <v>26</v>
      </c>
      <c r="B270" s="359"/>
      <c r="C270" s="202" t="s">
        <v>487</v>
      </c>
      <c r="D270" s="359" t="s">
        <v>488</v>
      </c>
      <c r="E270" s="359"/>
      <c r="F270" s="359"/>
      <c r="G270" s="348" t="s">
        <v>489</v>
      </c>
      <c r="H270" s="359"/>
      <c r="I270" s="202">
        <f>+I267+I268+I269</f>
        <v>5064529114.724815</v>
      </c>
      <c r="J270" s="202"/>
      <c r="K270" s="208"/>
      <c r="L270" s="184">
        <f>+L267+L268+L269</f>
        <v>4458071225.172967</v>
      </c>
      <c r="M270" s="184">
        <f>+M267+M268+M269</f>
        <v>606457889.5518483</v>
      </c>
    </row>
    <row r="271" spans="1:11" ht="16.5" thickBot="1">
      <c r="A271" s="188"/>
      <c r="B271" s="195"/>
      <c r="C271" s="184"/>
      <c r="D271" s="190" t="s">
        <v>456</v>
      </c>
      <c r="E271" s="190" t="s">
        <v>490</v>
      </c>
      <c r="F271" s="184"/>
      <c r="G271" s="190" t="s">
        <v>491</v>
      </c>
      <c r="H271" s="184"/>
      <c r="I271" s="190" t="s">
        <v>492</v>
      </c>
      <c r="J271" s="191"/>
      <c r="K271" s="196"/>
    </row>
    <row r="272" spans="1:13" ht="15.75">
      <c r="A272" s="188">
        <v>27</v>
      </c>
      <c r="B272" s="177" t="s">
        <v>493</v>
      </c>
      <c r="D272" s="200">
        <f>L272+M272</f>
        <v>4369164987</v>
      </c>
      <c r="E272" s="360">
        <f>IF($D$275&gt;0,D272/$D$275,0)</f>
        <v>0.46314465360935975</v>
      </c>
      <c r="F272" s="361"/>
      <c r="G272" s="361">
        <f>IF(D272&gt;0,I262/D272,0)</f>
        <v>0.051531005865746236</v>
      </c>
      <c r="I272" s="361">
        <f>G272*E272</f>
        <v>0.023866309861832927</v>
      </c>
      <c r="J272" s="362" t="s">
        <v>494</v>
      </c>
      <c r="K272" s="196"/>
      <c r="L272" s="275">
        <v>3900007537</v>
      </c>
      <c r="M272" s="275">
        <v>469157450</v>
      </c>
    </row>
    <row r="273" spans="1:13" ht="15.75">
      <c r="A273" s="188">
        <v>28</v>
      </c>
      <c r="B273" s="177" t="s">
        <v>495</v>
      </c>
      <c r="D273" s="200">
        <f>L273+M273</f>
        <v>0</v>
      </c>
      <c r="E273" s="360">
        <f>IF($D$275&gt;0,D273/$D$275,0)</f>
        <v>0</v>
      </c>
      <c r="F273" s="361"/>
      <c r="G273" s="361">
        <f>IF(D273&gt;0,I264/D273,0)</f>
        <v>0</v>
      </c>
      <c r="I273" s="361">
        <f>G273*E273</f>
        <v>0</v>
      </c>
      <c r="L273" s="275">
        <v>0</v>
      </c>
      <c r="M273" s="275">
        <v>0</v>
      </c>
    </row>
    <row r="274" spans="1:10" ht="16.5" thickBot="1">
      <c r="A274" s="188">
        <v>29</v>
      </c>
      <c r="B274" s="177" t="s">
        <v>496</v>
      </c>
      <c r="D274" s="201">
        <f>I270</f>
        <v>5064529114.724815</v>
      </c>
      <c r="E274" s="360">
        <f>IF($D$275&gt;0,D274/$D$275,0)</f>
        <v>0.5368553463906403</v>
      </c>
      <c r="F274" s="361"/>
      <c r="G274" s="363">
        <v>0.1238</v>
      </c>
      <c r="I274" s="364">
        <f>G274*E274</f>
        <v>0.06646269188316126</v>
      </c>
      <c r="J274" s="365"/>
    </row>
    <row r="275" spans="1:14" ht="15.75">
      <c r="A275" s="188">
        <v>30</v>
      </c>
      <c r="B275" s="195" t="s">
        <v>497</v>
      </c>
      <c r="D275" s="184">
        <f>D274+D273+D272</f>
        <v>9433694101.724815</v>
      </c>
      <c r="E275" s="184" t="s">
        <v>4</v>
      </c>
      <c r="F275" s="184"/>
      <c r="G275" s="184"/>
      <c r="H275" s="184"/>
      <c r="I275" s="361">
        <f>SUM(I272:I274)</f>
        <v>0.09032900174499418</v>
      </c>
      <c r="J275" s="362" t="s">
        <v>498</v>
      </c>
      <c r="N275" s="278"/>
    </row>
    <row r="276" spans="5:8" ht="11.25" customHeight="1">
      <c r="E276" s="184"/>
      <c r="F276" s="184"/>
      <c r="G276" s="184"/>
      <c r="H276" s="184"/>
    </row>
    <row r="277" spans="1:10" ht="16.5" thickBot="1">
      <c r="A277" s="188"/>
      <c r="B277" s="177" t="s">
        <v>499</v>
      </c>
      <c r="C277" s="179"/>
      <c r="D277" s="179"/>
      <c r="E277" s="179"/>
      <c r="F277" s="179"/>
      <c r="G277" s="179"/>
      <c r="H277" s="179"/>
      <c r="I277" s="190" t="s">
        <v>500</v>
      </c>
      <c r="J277" s="366"/>
    </row>
    <row r="278" spans="1:11" s="183" customFormat="1" ht="11.25" customHeight="1">
      <c r="A278" s="205"/>
      <c r="B278" s="290"/>
      <c r="C278" s="290"/>
      <c r="D278" s="290"/>
      <c r="E278" s="290"/>
      <c r="F278" s="290"/>
      <c r="G278" s="290"/>
      <c r="H278" s="290"/>
      <c r="K278" s="221"/>
    </row>
    <row r="279" spans="1:10" ht="15.75">
      <c r="A279" s="188"/>
      <c r="B279" s="177" t="s">
        <v>501</v>
      </c>
      <c r="C279" s="179"/>
      <c r="D279" s="179" t="s">
        <v>502</v>
      </c>
      <c r="E279" s="179" t="s">
        <v>503</v>
      </c>
      <c r="F279" s="179"/>
      <c r="G279" s="367" t="s">
        <v>4</v>
      </c>
      <c r="H279" s="305"/>
      <c r="I279" s="368"/>
      <c r="J279" s="368"/>
    </row>
    <row r="280" spans="1:13" ht="15.75">
      <c r="A280" s="188">
        <v>31</v>
      </c>
      <c r="B280" s="176" t="s">
        <v>504</v>
      </c>
      <c r="C280" s="179"/>
      <c r="D280" s="179"/>
      <c r="F280" s="179"/>
      <c r="H280" s="305"/>
      <c r="I280" s="369">
        <f>L280+M280</f>
        <v>0</v>
      </c>
      <c r="J280" s="370"/>
      <c r="L280" s="371">
        <v>0</v>
      </c>
      <c r="M280" s="371">
        <v>0</v>
      </c>
    </row>
    <row r="281" spans="1:10" ht="16.5" thickBot="1">
      <c r="A281" s="188">
        <v>32</v>
      </c>
      <c r="B281" s="293" t="s">
        <v>505</v>
      </c>
      <c r="C281" s="372"/>
      <c r="D281" s="228"/>
      <c r="E281" s="359"/>
      <c r="F281" s="359"/>
      <c r="G281" s="359"/>
      <c r="H281" s="179"/>
      <c r="I281" s="373">
        <v>0</v>
      </c>
      <c r="J281" s="370"/>
    </row>
    <row r="282" spans="1:14" ht="15.75">
      <c r="A282" s="188">
        <v>33</v>
      </c>
      <c r="B282" s="176" t="s">
        <v>506</v>
      </c>
      <c r="C282" s="185"/>
      <c r="E282" s="179"/>
      <c r="F282" s="179"/>
      <c r="G282" s="179"/>
      <c r="H282" s="179"/>
      <c r="I282" s="374">
        <f>+I280-I281</f>
        <v>0</v>
      </c>
      <c r="J282" s="374"/>
      <c r="L282" s="183"/>
      <c r="M282" s="183"/>
      <c r="N282" s="375" t="s">
        <v>507</v>
      </c>
    </row>
    <row r="283" spans="1:14" s="183" customFormat="1" ht="11.25" customHeight="1">
      <c r="A283" s="205"/>
      <c r="B283" s="183" t="s">
        <v>4</v>
      </c>
      <c r="C283" s="182"/>
      <c r="E283" s="221"/>
      <c r="F283" s="221"/>
      <c r="G283" s="258"/>
      <c r="H283" s="221"/>
      <c r="I283" s="376" t="s">
        <v>4</v>
      </c>
      <c r="J283" s="376"/>
      <c r="L283" s="176"/>
      <c r="M283" s="176"/>
      <c r="N283" s="377"/>
    </row>
    <row r="284" spans="1:14" ht="15.75">
      <c r="A284" s="188">
        <v>34</v>
      </c>
      <c r="B284" s="177" t="s">
        <v>508</v>
      </c>
      <c r="C284" s="185"/>
      <c r="E284" s="179"/>
      <c r="F284" s="179"/>
      <c r="G284" s="378"/>
      <c r="H284" s="179"/>
      <c r="I284" s="379">
        <f>L284+M284</f>
        <v>156420</v>
      </c>
      <c r="J284" s="380"/>
      <c r="K284" s="381"/>
      <c r="L284" s="275">
        <v>156420</v>
      </c>
      <c r="M284" s="275">
        <v>0</v>
      </c>
      <c r="N284" s="382" t="s">
        <v>509</v>
      </c>
    </row>
    <row r="285" spans="1:14" s="183" customFormat="1" ht="11.25" customHeight="1">
      <c r="A285" s="205"/>
      <c r="C285" s="221"/>
      <c r="D285" s="221"/>
      <c r="E285" s="221"/>
      <c r="F285" s="221"/>
      <c r="G285" s="221"/>
      <c r="H285" s="221"/>
      <c r="I285" s="376"/>
      <c r="J285" s="376"/>
      <c r="K285" s="381"/>
      <c r="L285" s="176"/>
      <c r="M285" s="176"/>
      <c r="N285" s="377"/>
    </row>
    <row r="286" spans="2:14" ht="15.75">
      <c r="B286" s="177" t="s">
        <v>510</v>
      </c>
      <c r="C286" s="179"/>
      <c r="D286" s="179" t="s">
        <v>511</v>
      </c>
      <c r="E286" s="179"/>
      <c r="F286" s="179"/>
      <c r="G286" s="179"/>
      <c r="H286" s="179"/>
      <c r="J286" s="183"/>
      <c r="K286" s="381"/>
      <c r="N286" s="377"/>
    </row>
    <row r="287" spans="1:13" ht="15.75">
      <c r="A287" s="188">
        <v>35</v>
      </c>
      <c r="B287" s="177" t="s">
        <v>512</v>
      </c>
      <c r="C287" s="184"/>
      <c r="D287" s="184"/>
      <c r="E287" s="184"/>
      <c r="F287" s="184"/>
      <c r="G287" s="184"/>
      <c r="H287" s="184"/>
      <c r="I287" s="383">
        <f>L287+M287</f>
        <v>167556253.60543713</v>
      </c>
      <c r="J287" s="384"/>
      <c r="K287" s="385"/>
      <c r="L287" s="355">
        <v>167556253.60543713</v>
      </c>
      <c r="M287" s="275">
        <v>0</v>
      </c>
    </row>
    <row r="288" spans="1:13" ht="15.75">
      <c r="A288" s="188">
        <v>36</v>
      </c>
      <c r="B288" s="386" t="s">
        <v>513</v>
      </c>
      <c r="C288" s="359"/>
      <c r="D288" s="359"/>
      <c r="E288" s="359"/>
      <c r="F288" s="359"/>
      <c r="G288" s="179"/>
      <c r="H288" s="179"/>
      <c r="I288" s="383">
        <f>L288+M288</f>
        <v>68945158.9680793</v>
      </c>
      <c r="J288" s="384"/>
      <c r="K288" s="385"/>
      <c r="L288" s="355">
        <v>68945158.9680793</v>
      </c>
      <c r="M288" s="275">
        <v>0</v>
      </c>
    </row>
    <row r="289" spans="1:13" ht="15.75">
      <c r="A289" s="188" t="s">
        <v>514</v>
      </c>
      <c r="B289" s="386" t="s">
        <v>515</v>
      </c>
      <c r="C289" s="359"/>
      <c r="D289" s="359"/>
      <c r="E289" s="359"/>
      <c r="F289" s="359"/>
      <c r="G289" s="179"/>
      <c r="H289" s="179"/>
      <c r="I289" s="383">
        <f>L289+M289</f>
        <v>38700369.68079407</v>
      </c>
      <c r="J289" s="384"/>
      <c r="K289" s="385"/>
      <c r="L289" s="355">
        <v>38700369.68079407</v>
      </c>
      <c r="M289" s="275">
        <v>0</v>
      </c>
    </row>
    <row r="290" spans="1:13" ht="16.5" thickBot="1">
      <c r="A290" s="188" t="s">
        <v>516</v>
      </c>
      <c r="B290" s="387" t="s">
        <v>517</v>
      </c>
      <c r="C290" s="388"/>
      <c r="D290" s="359"/>
      <c r="E290" s="359"/>
      <c r="F290" s="359"/>
      <c r="G290" s="179"/>
      <c r="H290" s="179"/>
      <c r="I290" s="389">
        <f>L290+M290</f>
        <v>31379691.585192837</v>
      </c>
      <c r="J290" s="384"/>
      <c r="K290" s="390"/>
      <c r="L290" s="355">
        <v>31379691.585192837</v>
      </c>
      <c r="M290" s="275">
        <v>0</v>
      </c>
    </row>
    <row r="291" spans="1:11" ht="15.75">
      <c r="A291" s="188">
        <v>37</v>
      </c>
      <c r="B291" s="391" t="s">
        <v>518</v>
      </c>
      <c r="C291" s="188"/>
      <c r="D291" s="184"/>
      <c r="E291" s="184"/>
      <c r="F291" s="184"/>
      <c r="G291" s="184"/>
      <c r="H291" s="179"/>
      <c r="I291" s="392">
        <f>+I287-I288-I289-I290</f>
        <v>28531033.371370926</v>
      </c>
      <c r="J291" s="392"/>
      <c r="K291" s="390"/>
    </row>
    <row r="292" spans="1:11" ht="15.75">
      <c r="A292" s="188"/>
      <c r="B292" s="391"/>
      <c r="C292" s="188"/>
      <c r="D292" s="184"/>
      <c r="E292" s="184"/>
      <c r="F292" s="184"/>
      <c r="G292" s="184"/>
      <c r="H292" s="179"/>
      <c r="I292" s="392"/>
      <c r="J292" s="392"/>
      <c r="K292" s="393"/>
    </row>
    <row r="293" spans="1:11" ht="15.75">
      <c r="A293" s="188"/>
      <c r="B293" s="391"/>
      <c r="C293" s="188"/>
      <c r="D293" s="184"/>
      <c r="E293" s="184"/>
      <c r="F293" s="184"/>
      <c r="G293" s="184"/>
      <c r="H293" s="179"/>
      <c r="I293" s="392"/>
      <c r="J293" s="392"/>
      <c r="K293" s="393"/>
    </row>
    <row r="294" spans="1:11" ht="15.75">
      <c r="A294" s="188"/>
      <c r="B294" s="391"/>
      <c r="C294" s="188"/>
      <c r="D294" s="184"/>
      <c r="E294" s="184"/>
      <c r="F294" s="184"/>
      <c r="G294" s="184"/>
      <c r="H294" s="179"/>
      <c r="I294" s="392"/>
      <c r="J294" s="392"/>
      <c r="K294" s="393"/>
    </row>
    <row r="295" spans="1:11" ht="15.75">
      <c r="A295" s="188"/>
      <c r="B295" s="391"/>
      <c r="C295" s="188"/>
      <c r="D295" s="184"/>
      <c r="E295" s="184"/>
      <c r="F295" s="184"/>
      <c r="G295" s="184"/>
      <c r="H295" s="179"/>
      <c r="I295" s="392"/>
      <c r="J295" s="392"/>
      <c r="K295" s="393"/>
    </row>
    <row r="296" spans="1:11" ht="15.75">
      <c r="A296" s="394"/>
      <c r="B296" s="395"/>
      <c r="C296" s="395"/>
      <c r="D296" s="395"/>
      <c r="E296" s="395"/>
      <c r="F296" s="395"/>
      <c r="G296" s="395"/>
      <c r="H296" s="395"/>
      <c r="I296" s="395"/>
      <c r="J296" s="395"/>
      <c r="K296" s="314"/>
    </row>
    <row r="297" spans="1:11" ht="15.75">
      <c r="A297" s="395"/>
      <c r="B297" s="395"/>
      <c r="C297" s="395"/>
      <c r="D297" s="395"/>
      <c r="E297" s="395"/>
      <c r="F297" s="395"/>
      <c r="G297" s="395"/>
      <c r="H297" s="395"/>
      <c r="I297" s="395"/>
      <c r="J297" s="395"/>
      <c r="K297" s="395"/>
    </row>
    <row r="298" spans="2:11" ht="15.75">
      <c r="B298" s="177"/>
      <c r="C298" s="177"/>
      <c r="D298" s="178"/>
      <c r="E298" s="177"/>
      <c r="F298" s="177"/>
      <c r="G298" s="177"/>
      <c r="H298" s="179"/>
      <c r="I298" s="179"/>
      <c r="J298" s="179"/>
      <c r="K298" s="260" t="s">
        <v>519</v>
      </c>
    </row>
    <row r="299" spans="2:11" ht="15.75">
      <c r="B299" s="177" t="s">
        <v>217</v>
      </c>
      <c r="C299" s="177"/>
      <c r="D299" s="178" t="s">
        <v>1</v>
      </c>
      <c r="E299" s="177"/>
      <c r="F299" s="177"/>
      <c r="G299" s="177"/>
      <c r="H299" s="179"/>
      <c r="K299" s="180" t="str">
        <f>K222</f>
        <v>For the 12 months ended 12/31/13</v>
      </c>
    </row>
    <row r="300" spans="2:11" ht="15.75">
      <c r="B300" s="177"/>
      <c r="C300" s="184" t="s">
        <v>4</v>
      </c>
      <c r="D300" s="184" t="s">
        <v>219</v>
      </c>
      <c r="E300" s="184"/>
      <c r="F300" s="184"/>
      <c r="G300" s="184"/>
      <c r="H300" s="179"/>
      <c r="I300" s="179"/>
      <c r="J300" s="179"/>
      <c r="K300" s="182"/>
    </row>
    <row r="301" spans="1:11" ht="7.5" customHeight="1">
      <c r="A301" s="188"/>
      <c r="B301" s="391"/>
      <c r="C301" s="188"/>
      <c r="D301" s="184"/>
      <c r="E301" s="184"/>
      <c r="F301" s="184"/>
      <c r="G301" s="184"/>
      <c r="H301" s="179"/>
      <c r="I301" s="396"/>
      <c r="J301" s="396"/>
      <c r="K301" s="182"/>
    </row>
    <row r="302" spans="1:11" ht="15.75">
      <c r="A302" s="495" t="str">
        <f>A6</f>
        <v>Northern States Power Companies</v>
      </c>
      <c r="B302" s="495"/>
      <c r="C302" s="495"/>
      <c r="D302" s="495"/>
      <c r="E302" s="495"/>
      <c r="F302" s="495"/>
      <c r="G302" s="495"/>
      <c r="H302" s="495"/>
      <c r="I302" s="495"/>
      <c r="J302" s="495"/>
      <c r="K302" s="495"/>
    </row>
    <row r="303" spans="1:11" ht="6" customHeight="1">
      <c r="A303" s="188"/>
      <c r="B303" s="391"/>
      <c r="C303" s="188"/>
      <c r="D303" s="184"/>
      <c r="E303" s="184"/>
      <c r="F303" s="184"/>
      <c r="G303" s="184"/>
      <c r="H303" s="179"/>
      <c r="I303" s="396"/>
      <c r="J303" s="396"/>
      <c r="K303" s="393"/>
    </row>
    <row r="304" spans="1:11" ht="15.75">
      <c r="A304" s="188"/>
      <c r="B304" s="177" t="s">
        <v>520</v>
      </c>
      <c r="C304" s="188"/>
      <c r="D304" s="184"/>
      <c r="E304" s="184"/>
      <c r="F304" s="184"/>
      <c r="G304" s="184"/>
      <c r="H304" s="179"/>
      <c r="I304" s="184"/>
      <c r="J304" s="184"/>
      <c r="K304" s="393"/>
    </row>
    <row r="305" spans="1:11" ht="15.75">
      <c r="A305" s="188"/>
      <c r="B305" s="397" t="s">
        <v>521</v>
      </c>
      <c r="C305" s="188"/>
      <c r="D305" s="184"/>
      <c r="E305" s="184"/>
      <c r="F305" s="184"/>
      <c r="G305" s="184"/>
      <c r="H305" s="179"/>
      <c r="I305" s="184"/>
      <c r="J305" s="184"/>
      <c r="K305" s="196"/>
    </row>
    <row r="306" spans="1:11" ht="15.75">
      <c r="A306" s="188" t="s">
        <v>17</v>
      </c>
      <c r="B306" s="177"/>
      <c r="C306" s="179"/>
      <c r="D306" s="184"/>
      <c r="E306" s="184"/>
      <c r="F306" s="184"/>
      <c r="G306" s="184"/>
      <c r="H306" s="179"/>
      <c r="I306" s="184"/>
      <c r="J306" s="184"/>
      <c r="K306" s="196"/>
    </row>
    <row r="307" spans="1:11" ht="16.5" thickBot="1">
      <c r="A307" s="190" t="s">
        <v>18</v>
      </c>
      <c r="B307" s="177"/>
      <c r="C307" s="179"/>
      <c r="D307" s="184"/>
      <c r="E307" s="184"/>
      <c r="F307" s="184"/>
      <c r="G307" s="184"/>
      <c r="H307" s="179"/>
      <c r="I307" s="184"/>
      <c r="J307" s="184"/>
      <c r="K307" s="196"/>
    </row>
    <row r="308" spans="1:11" ht="15.75">
      <c r="A308" s="188" t="s">
        <v>19</v>
      </c>
      <c r="B308" s="290" t="s">
        <v>522</v>
      </c>
      <c r="C308" s="221"/>
      <c r="D308" s="196"/>
      <c r="E308" s="196"/>
      <c r="F308" s="196"/>
      <c r="G308" s="196"/>
      <c r="H308" s="221"/>
      <c r="I308" s="196"/>
      <c r="J308" s="196"/>
      <c r="K308" s="196"/>
    </row>
    <row r="309" spans="1:11" ht="15.75">
      <c r="A309" s="188" t="s">
        <v>20</v>
      </c>
      <c r="B309" s="290" t="s">
        <v>523</v>
      </c>
      <c r="C309" s="221"/>
      <c r="D309" s="196"/>
      <c r="E309" s="196"/>
      <c r="F309" s="196"/>
      <c r="G309" s="196"/>
      <c r="H309" s="221"/>
      <c r="I309" s="196"/>
      <c r="J309" s="196"/>
      <c r="K309" s="196"/>
    </row>
    <row r="310" spans="1:11" ht="15.75">
      <c r="A310" s="188" t="s">
        <v>21</v>
      </c>
      <c r="B310" s="290" t="s">
        <v>524</v>
      </c>
      <c r="C310" s="221"/>
      <c r="D310" s="221"/>
      <c r="E310" s="221"/>
      <c r="F310" s="221"/>
      <c r="G310" s="221"/>
      <c r="H310" s="221"/>
      <c r="I310" s="196"/>
      <c r="J310" s="196"/>
      <c r="K310" s="196"/>
    </row>
    <row r="311" spans="1:11" ht="15.75">
      <c r="A311" s="188" t="s">
        <v>22</v>
      </c>
      <c r="B311" s="290" t="s">
        <v>525</v>
      </c>
      <c r="C311" s="221"/>
      <c r="D311" s="221"/>
      <c r="E311" s="221"/>
      <c r="F311" s="221"/>
      <c r="G311" s="221"/>
      <c r="H311" s="221"/>
      <c r="I311" s="196"/>
      <c r="J311" s="196"/>
      <c r="K311" s="221"/>
    </row>
    <row r="312" spans="1:11" ht="15.75">
      <c r="A312" s="188" t="s">
        <v>23</v>
      </c>
      <c r="B312" s="221" t="s">
        <v>526</v>
      </c>
      <c r="C312" s="221"/>
      <c r="D312" s="221"/>
      <c r="E312" s="221"/>
      <c r="F312" s="221"/>
      <c r="G312" s="221"/>
      <c r="H312" s="221"/>
      <c r="I312" s="221"/>
      <c r="J312" s="221"/>
      <c r="K312" s="221"/>
    </row>
    <row r="313" spans="1:11" ht="15.75">
      <c r="A313" s="188" t="s">
        <v>24</v>
      </c>
      <c r="B313" s="221" t="s">
        <v>527</v>
      </c>
      <c r="C313" s="221"/>
      <c r="D313" s="221"/>
      <c r="E313" s="221"/>
      <c r="F313" s="221"/>
      <c r="G313" s="221"/>
      <c r="H313" s="221"/>
      <c r="I313" s="221"/>
      <c r="J313" s="221"/>
      <c r="K313" s="221"/>
    </row>
    <row r="314" spans="1:11" ht="15.75">
      <c r="A314" s="188"/>
      <c r="B314" s="221" t="s">
        <v>528</v>
      </c>
      <c r="C314" s="221"/>
      <c r="D314" s="221"/>
      <c r="E314" s="221"/>
      <c r="F314" s="221"/>
      <c r="G314" s="221"/>
      <c r="H314" s="221"/>
      <c r="I314" s="221"/>
      <c r="J314" s="221"/>
      <c r="K314" s="221"/>
    </row>
    <row r="315" spans="1:11" ht="15.75">
      <c r="A315" s="188"/>
      <c r="B315" s="221" t="s">
        <v>529</v>
      </c>
      <c r="C315" s="221"/>
      <c r="D315" s="221"/>
      <c r="E315" s="221"/>
      <c r="F315" s="221"/>
      <c r="G315" s="221"/>
      <c r="H315" s="221"/>
      <c r="I315" s="221"/>
      <c r="J315" s="221"/>
      <c r="K315" s="221"/>
    </row>
    <row r="316" spans="1:11" ht="15.75">
      <c r="A316" s="188" t="s">
        <v>25</v>
      </c>
      <c r="B316" s="221" t="s">
        <v>530</v>
      </c>
      <c r="C316" s="221"/>
      <c r="D316" s="221"/>
      <c r="E316" s="221"/>
      <c r="F316" s="221"/>
      <c r="G316" s="221"/>
      <c r="H316" s="221"/>
      <c r="I316" s="221"/>
      <c r="J316" s="221"/>
      <c r="K316" s="221"/>
    </row>
    <row r="317" spans="1:11" ht="15.75">
      <c r="A317" s="188" t="s">
        <v>98</v>
      </c>
      <c r="B317" s="221" t="s">
        <v>531</v>
      </c>
      <c r="C317" s="221"/>
      <c r="D317" s="221"/>
      <c r="E317" s="221"/>
      <c r="F317" s="221"/>
      <c r="G317" s="221"/>
      <c r="H317" s="221"/>
      <c r="I317" s="221"/>
      <c r="J317" s="221"/>
      <c r="K317" s="221"/>
    </row>
    <row r="318" spans="1:11" ht="15.75">
      <c r="A318" s="188"/>
      <c r="B318" s="221" t="s">
        <v>532</v>
      </c>
      <c r="C318" s="221"/>
      <c r="D318" s="221"/>
      <c r="E318" s="221"/>
      <c r="F318" s="221"/>
      <c r="G318" s="221"/>
      <c r="H318" s="221"/>
      <c r="I318" s="221"/>
      <c r="J318" s="221"/>
      <c r="K318" s="221"/>
    </row>
    <row r="319" spans="1:11" ht="15.75">
      <c r="A319" s="188" t="s">
        <v>533</v>
      </c>
      <c r="B319" s="221" t="s">
        <v>534</v>
      </c>
      <c r="C319" s="221"/>
      <c r="D319" s="221"/>
      <c r="E319" s="221"/>
      <c r="F319" s="221"/>
      <c r="G319" s="221"/>
      <c r="H319" s="221"/>
      <c r="I319" s="221"/>
      <c r="J319" s="221"/>
      <c r="K319" s="221"/>
    </row>
    <row r="320" spans="1:11" ht="15.75">
      <c r="A320" s="188"/>
      <c r="B320" s="183" t="s">
        <v>535</v>
      </c>
      <c r="C320" s="221"/>
      <c r="D320" s="221"/>
      <c r="E320" s="221"/>
      <c r="F320" s="221"/>
      <c r="G320" s="221"/>
      <c r="H320" s="221"/>
      <c r="I320" s="221"/>
      <c r="J320" s="221"/>
      <c r="K320" s="221"/>
    </row>
    <row r="321" spans="1:11" ht="15.75">
      <c r="A321" s="188" t="s">
        <v>536</v>
      </c>
      <c r="B321" s="221" t="s">
        <v>537</v>
      </c>
      <c r="C321" s="221"/>
      <c r="D321" s="221"/>
      <c r="E321" s="221"/>
      <c r="F321" s="221"/>
      <c r="G321" s="221"/>
      <c r="H321" s="221"/>
      <c r="I321" s="221"/>
      <c r="J321" s="221"/>
      <c r="K321" s="221"/>
    </row>
    <row r="322" spans="1:11" ht="15.75">
      <c r="A322" s="188"/>
      <c r="B322" s="221" t="s">
        <v>538</v>
      </c>
      <c r="C322" s="221"/>
      <c r="D322" s="221"/>
      <c r="E322" s="221"/>
      <c r="F322" s="221"/>
      <c r="G322" s="221"/>
      <c r="H322" s="221"/>
      <c r="I322" s="221"/>
      <c r="J322" s="221"/>
      <c r="K322" s="221"/>
    </row>
    <row r="323" spans="1:11" ht="15.75">
      <c r="A323" s="188" t="s">
        <v>539</v>
      </c>
      <c r="B323" s="221" t="s">
        <v>540</v>
      </c>
      <c r="C323" s="221"/>
      <c r="D323" s="221"/>
      <c r="E323" s="221"/>
      <c r="F323" s="221"/>
      <c r="G323" s="221"/>
      <c r="H323" s="221"/>
      <c r="I323" s="221"/>
      <c r="J323" s="221"/>
      <c r="K323" s="221"/>
    </row>
    <row r="324" spans="1:11" ht="15.75">
      <c r="A324" s="188"/>
      <c r="B324" s="221" t="s">
        <v>541</v>
      </c>
      <c r="C324" s="221"/>
      <c r="D324" s="221"/>
      <c r="E324" s="221"/>
      <c r="F324" s="221"/>
      <c r="G324" s="221"/>
      <c r="H324" s="221"/>
      <c r="I324" s="221"/>
      <c r="J324" s="221"/>
      <c r="K324" s="221"/>
    </row>
    <row r="325" spans="1:11" ht="15.75">
      <c r="A325" s="188"/>
      <c r="B325" s="221" t="s">
        <v>542</v>
      </c>
      <c r="C325" s="221"/>
      <c r="D325" s="221"/>
      <c r="E325" s="221"/>
      <c r="F325" s="221"/>
      <c r="G325" s="221"/>
      <c r="H325" s="221"/>
      <c r="I325" s="221"/>
      <c r="J325" s="221"/>
      <c r="K325" s="221"/>
    </row>
    <row r="326" spans="1:11" ht="15.75">
      <c r="A326" s="188"/>
      <c r="B326" s="221" t="s">
        <v>543</v>
      </c>
      <c r="C326" s="221"/>
      <c r="D326" s="221"/>
      <c r="E326" s="221"/>
      <c r="F326" s="221"/>
      <c r="G326" s="221"/>
      <c r="H326" s="221"/>
      <c r="I326" s="221"/>
      <c r="J326" s="221"/>
      <c r="K326" s="221"/>
    </row>
    <row r="327" spans="1:11" ht="15.75">
      <c r="A327" s="188" t="s">
        <v>4</v>
      </c>
      <c r="B327" s="221" t="s">
        <v>544</v>
      </c>
      <c r="C327" s="221" t="s">
        <v>545</v>
      </c>
      <c r="D327" s="398">
        <v>0.35</v>
      </c>
      <c r="E327" s="221"/>
      <c r="F327" s="221"/>
      <c r="G327" s="221"/>
      <c r="H327" s="221"/>
      <c r="I327" s="221"/>
      <c r="J327" s="221"/>
      <c r="K327" s="221"/>
    </row>
    <row r="328" spans="1:11" ht="15.75">
      <c r="A328" s="188"/>
      <c r="B328" s="221"/>
      <c r="C328" s="221" t="s">
        <v>546</v>
      </c>
      <c r="D328" s="398">
        <v>0.08846</v>
      </c>
      <c r="E328" s="221" t="s">
        <v>547</v>
      </c>
      <c r="F328" s="221"/>
      <c r="G328" s="221"/>
      <c r="H328" s="221"/>
      <c r="I328" s="221"/>
      <c r="J328" s="221"/>
      <c r="K328" s="221"/>
    </row>
    <row r="329" spans="1:11" ht="15.75">
      <c r="A329" s="188"/>
      <c r="B329" s="221"/>
      <c r="C329" s="221" t="s">
        <v>548</v>
      </c>
      <c r="D329" s="398">
        <v>0</v>
      </c>
      <c r="E329" s="221" t="s">
        <v>549</v>
      </c>
      <c r="F329" s="221"/>
      <c r="G329" s="221"/>
      <c r="H329" s="221"/>
      <c r="I329" s="221"/>
      <c r="J329" s="221"/>
      <c r="K329" s="221"/>
    </row>
    <row r="330" spans="1:11" ht="15.75">
      <c r="A330" s="188" t="s">
        <v>550</v>
      </c>
      <c r="B330" s="221" t="s">
        <v>551</v>
      </c>
      <c r="C330" s="221"/>
      <c r="D330" s="221"/>
      <c r="E330" s="221"/>
      <c r="F330" s="221"/>
      <c r="G330" s="221"/>
      <c r="H330" s="221"/>
      <c r="I330" s="399"/>
      <c r="J330" s="399"/>
      <c r="K330" s="221"/>
    </row>
    <row r="331" spans="1:11" ht="15.75">
      <c r="A331" s="188" t="s">
        <v>552</v>
      </c>
      <c r="B331" s="221" t="s">
        <v>553</v>
      </c>
      <c r="C331" s="221"/>
      <c r="D331" s="221"/>
      <c r="E331" s="221"/>
      <c r="F331" s="221"/>
      <c r="G331" s="221"/>
      <c r="H331" s="221"/>
      <c r="I331" s="221"/>
      <c r="J331" s="221"/>
      <c r="K331" s="221"/>
    </row>
    <row r="332" spans="1:11" ht="15.75">
      <c r="A332" s="188"/>
      <c r="B332" s="221" t="s">
        <v>554</v>
      </c>
      <c r="C332" s="221"/>
      <c r="D332" s="221"/>
      <c r="E332" s="221"/>
      <c r="F332" s="221"/>
      <c r="G332" s="221"/>
      <c r="H332" s="221"/>
      <c r="I332" s="221"/>
      <c r="J332" s="221"/>
      <c r="K332" s="221"/>
    </row>
    <row r="333" spans="1:11" ht="15.75">
      <c r="A333" s="188" t="s">
        <v>555</v>
      </c>
      <c r="B333" s="221" t="s">
        <v>556</v>
      </c>
      <c r="C333" s="221"/>
      <c r="D333" s="221"/>
      <c r="E333" s="221"/>
      <c r="F333" s="221"/>
      <c r="G333" s="221"/>
      <c r="H333" s="221"/>
      <c r="I333" s="221"/>
      <c r="J333" s="221"/>
      <c r="K333" s="221"/>
    </row>
    <row r="334" spans="1:11" ht="15.75">
      <c r="A334" s="188"/>
      <c r="B334" s="221" t="s">
        <v>557</v>
      </c>
      <c r="C334" s="221"/>
      <c r="D334" s="221"/>
      <c r="E334" s="221"/>
      <c r="F334" s="221"/>
      <c r="G334" s="221"/>
      <c r="H334" s="221"/>
      <c r="I334" s="221"/>
      <c r="J334" s="221"/>
      <c r="K334" s="221"/>
    </row>
    <row r="335" spans="1:11" ht="15.75">
      <c r="A335" s="188"/>
      <c r="B335" s="221" t="s">
        <v>558</v>
      </c>
      <c r="C335" s="221"/>
      <c r="D335" s="221"/>
      <c r="E335" s="221"/>
      <c r="F335" s="221"/>
      <c r="G335" s="221"/>
      <c r="H335" s="221"/>
      <c r="I335" s="221"/>
      <c r="J335" s="221"/>
      <c r="K335" s="221"/>
    </row>
    <row r="336" spans="1:11" ht="15.75">
      <c r="A336" s="188" t="s">
        <v>559</v>
      </c>
      <c r="B336" s="221" t="s">
        <v>560</v>
      </c>
      <c r="C336" s="221"/>
      <c r="D336" s="221"/>
      <c r="E336" s="221"/>
      <c r="F336" s="221"/>
      <c r="G336" s="221"/>
      <c r="H336" s="221"/>
      <c r="I336" s="221"/>
      <c r="J336" s="221"/>
      <c r="K336" s="221"/>
    </row>
    <row r="337" spans="1:11" ht="15.75">
      <c r="A337" s="188" t="s">
        <v>561</v>
      </c>
      <c r="B337" s="221" t="s">
        <v>562</v>
      </c>
      <c r="C337" s="221"/>
      <c r="D337" s="221"/>
      <c r="E337" s="221"/>
      <c r="F337" s="221"/>
      <c r="G337" s="221"/>
      <c r="H337" s="221"/>
      <c r="I337" s="221"/>
      <c r="J337" s="221"/>
      <c r="K337" s="221"/>
    </row>
    <row r="338" spans="1:11" ht="15.75">
      <c r="A338" s="188"/>
      <c r="B338" s="221" t="s">
        <v>563</v>
      </c>
      <c r="C338" s="221"/>
      <c r="D338" s="221"/>
      <c r="E338" s="221"/>
      <c r="F338" s="221"/>
      <c r="G338" s="221"/>
      <c r="H338" s="221"/>
      <c r="I338" s="221"/>
      <c r="J338" s="221"/>
      <c r="K338" s="221"/>
    </row>
    <row r="339" spans="1:11" ht="15.75">
      <c r="A339" s="188" t="s">
        <v>564</v>
      </c>
      <c r="B339" s="221" t="s">
        <v>565</v>
      </c>
      <c r="C339" s="221"/>
      <c r="D339" s="221"/>
      <c r="E339" s="221"/>
      <c r="F339" s="221"/>
      <c r="G339" s="221"/>
      <c r="H339" s="221"/>
      <c r="I339" s="221"/>
      <c r="J339" s="221"/>
      <c r="K339" s="221"/>
    </row>
    <row r="340" spans="1:11" ht="15.75">
      <c r="A340" s="188"/>
      <c r="B340" s="221" t="s">
        <v>566</v>
      </c>
      <c r="C340" s="221"/>
      <c r="D340" s="221"/>
      <c r="E340" s="221"/>
      <c r="F340" s="221"/>
      <c r="G340" s="221"/>
      <c r="H340" s="221"/>
      <c r="I340" s="221"/>
      <c r="J340" s="221"/>
      <c r="K340" s="221"/>
    </row>
    <row r="341" spans="1:11" ht="15.75">
      <c r="A341" s="188" t="s">
        <v>567</v>
      </c>
      <c r="B341" s="221" t="s">
        <v>568</v>
      </c>
      <c r="C341" s="221"/>
      <c r="D341" s="221"/>
      <c r="E341" s="221"/>
      <c r="F341" s="221"/>
      <c r="G341" s="221"/>
      <c r="H341" s="221"/>
      <c r="I341" s="221"/>
      <c r="J341" s="221"/>
      <c r="K341" s="221"/>
    </row>
    <row r="342" spans="1:11" ht="15.75">
      <c r="A342" s="188" t="s">
        <v>569</v>
      </c>
      <c r="B342" s="221" t="s">
        <v>570</v>
      </c>
      <c r="C342" s="221"/>
      <c r="D342" s="221"/>
      <c r="E342" s="221"/>
      <c r="F342" s="221"/>
      <c r="G342" s="221"/>
      <c r="H342" s="221"/>
      <c r="I342" s="221"/>
      <c r="J342" s="221"/>
      <c r="K342" s="221"/>
    </row>
    <row r="343" spans="2:11" ht="15.75">
      <c r="B343" s="221" t="s">
        <v>571</v>
      </c>
      <c r="C343" s="221"/>
      <c r="D343" s="221"/>
      <c r="E343" s="221"/>
      <c r="F343" s="221"/>
      <c r="G343" s="221"/>
      <c r="H343" s="221"/>
      <c r="I343" s="221"/>
      <c r="J343" s="221"/>
      <c r="K343" s="221"/>
    </row>
    <row r="344" spans="2:11" ht="15.75">
      <c r="B344" s="182" t="s">
        <v>572</v>
      </c>
      <c r="C344" s="182"/>
      <c r="D344" s="182"/>
      <c r="E344" s="182"/>
      <c r="F344" s="182"/>
      <c r="G344" s="182"/>
      <c r="H344" s="182"/>
      <c r="I344" s="182"/>
      <c r="J344" s="182"/>
      <c r="K344" s="221"/>
    </row>
    <row r="345" spans="1:11" ht="15.75">
      <c r="A345" s="253" t="s">
        <v>573</v>
      </c>
      <c r="B345" s="182" t="s">
        <v>574</v>
      </c>
      <c r="C345" s="182"/>
      <c r="D345" s="182"/>
      <c r="E345" s="182"/>
      <c r="F345" s="182"/>
      <c r="G345" s="182"/>
      <c r="H345" s="182"/>
      <c r="I345" s="182"/>
      <c r="J345" s="182"/>
      <c r="K345" s="182"/>
    </row>
    <row r="346" spans="2:11" ht="15.75">
      <c r="B346" s="182" t="s">
        <v>575</v>
      </c>
      <c r="C346" s="400"/>
      <c r="D346" s="182"/>
      <c r="E346" s="182"/>
      <c r="F346" s="182"/>
      <c r="G346" s="182"/>
      <c r="H346" s="182"/>
      <c r="I346" s="182"/>
      <c r="J346" s="182"/>
      <c r="K346" s="182"/>
    </row>
    <row r="347" spans="2:11" ht="15.75">
      <c r="B347" s="182" t="s">
        <v>576</v>
      </c>
      <c r="C347" s="182"/>
      <c r="D347" s="182"/>
      <c r="E347" s="182"/>
      <c r="F347" s="182"/>
      <c r="G347" s="182"/>
      <c r="H347" s="182"/>
      <c r="I347" s="182"/>
      <c r="J347" s="182"/>
      <c r="K347" s="182"/>
    </row>
    <row r="348" spans="1:11" ht="15.75">
      <c r="A348" s="253" t="s">
        <v>577</v>
      </c>
      <c r="B348" s="182" t="s">
        <v>578</v>
      </c>
      <c r="C348" s="185"/>
      <c r="D348" s="185"/>
      <c r="E348" s="185"/>
      <c r="F348" s="185"/>
      <c r="G348" s="185"/>
      <c r="H348" s="185"/>
      <c r="I348" s="182"/>
      <c r="J348" s="182"/>
      <c r="K348" s="182"/>
    </row>
    <row r="349" spans="1:11" ht="15.75">
      <c r="A349" s="203" t="s">
        <v>579</v>
      </c>
      <c r="B349" s="182" t="s">
        <v>580</v>
      </c>
      <c r="C349" s="182"/>
      <c r="D349" s="182"/>
      <c r="E349" s="182"/>
      <c r="F349" s="182"/>
      <c r="G349" s="182"/>
      <c r="H349" s="182"/>
      <c r="I349" s="182"/>
      <c r="J349" s="182"/>
      <c r="K349" s="182"/>
    </row>
    <row r="350" spans="1:11" s="183" customFormat="1" ht="15.75">
      <c r="A350" s="203" t="s">
        <v>581</v>
      </c>
      <c r="B350" s="185" t="s">
        <v>582</v>
      </c>
      <c r="C350" s="182"/>
      <c r="D350" s="182"/>
      <c r="E350" s="182"/>
      <c r="F350" s="182"/>
      <c r="G350" s="182"/>
      <c r="H350" s="182"/>
      <c r="I350" s="182"/>
      <c r="J350" s="182"/>
      <c r="K350" s="182"/>
    </row>
    <row r="351" spans="1:11" s="183" customFormat="1" ht="15.75">
      <c r="A351" s="203"/>
      <c r="B351" s="182" t="s">
        <v>583</v>
      </c>
      <c r="C351" s="182"/>
      <c r="D351" s="182"/>
      <c r="E351" s="182"/>
      <c r="F351" s="182"/>
      <c r="G351" s="185"/>
      <c r="H351" s="176"/>
      <c r="I351" s="182"/>
      <c r="J351" s="182"/>
      <c r="K351" s="182"/>
    </row>
    <row r="352" spans="1:11" ht="15.75">
      <c r="A352" s="203"/>
      <c r="B352" s="182" t="s">
        <v>584</v>
      </c>
      <c r="C352" s="182"/>
      <c r="D352" s="182"/>
      <c r="E352" s="182"/>
      <c r="F352" s="182"/>
      <c r="G352" s="185"/>
      <c r="H352" s="185"/>
      <c r="I352" s="182"/>
      <c r="J352" s="182"/>
      <c r="K352" s="182"/>
    </row>
    <row r="353" spans="1:11" ht="15.75">
      <c r="A353" s="203"/>
      <c r="B353" s="182" t="s">
        <v>585</v>
      </c>
      <c r="C353" s="182"/>
      <c r="D353" s="182"/>
      <c r="E353" s="182"/>
      <c r="F353" s="182"/>
      <c r="G353" s="185"/>
      <c r="H353" s="185"/>
      <c r="I353" s="182"/>
      <c r="J353" s="182"/>
      <c r="K353" s="182"/>
    </row>
    <row r="354" spans="1:11" ht="15.75">
      <c r="A354" s="203"/>
      <c r="B354" s="182" t="s">
        <v>586</v>
      </c>
      <c r="C354" s="182"/>
      <c r="D354" s="182"/>
      <c r="E354" s="182"/>
      <c r="F354" s="182"/>
      <c r="G354" s="185"/>
      <c r="H354" s="185"/>
      <c r="I354" s="182"/>
      <c r="J354" s="182"/>
      <c r="K354" s="182"/>
    </row>
    <row r="355" spans="1:11" ht="15.75">
      <c r="A355" s="203"/>
      <c r="B355" s="182" t="s">
        <v>587</v>
      </c>
      <c r="C355" s="182"/>
      <c r="D355" s="182"/>
      <c r="E355" s="182"/>
      <c r="F355" s="182"/>
      <c r="G355" s="185"/>
      <c r="H355" s="185"/>
      <c r="I355" s="182"/>
      <c r="J355" s="182"/>
      <c r="K355" s="182"/>
    </row>
    <row r="356" spans="1:11" ht="15.75">
      <c r="A356" s="253" t="s">
        <v>588</v>
      </c>
      <c r="B356" s="182" t="s">
        <v>589</v>
      </c>
      <c r="C356" s="182"/>
      <c r="D356" s="182"/>
      <c r="E356" s="182"/>
      <c r="F356" s="182"/>
      <c r="G356" s="182"/>
      <c r="H356" s="185"/>
      <c r="I356" s="182"/>
      <c r="J356" s="182"/>
      <c r="K356" s="182"/>
    </row>
    <row r="357" spans="1:11" ht="15.75">
      <c r="A357" s="253" t="s">
        <v>590</v>
      </c>
      <c r="B357" s="182" t="s">
        <v>591</v>
      </c>
      <c r="C357" s="182"/>
      <c r="D357" s="182"/>
      <c r="E357" s="182"/>
      <c r="F357" s="182"/>
      <c r="G357" s="182"/>
      <c r="H357" s="185"/>
      <c r="I357" s="182"/>
      <c r="J357" s="182"/>
      <c r="K357" s="182"/>
    </row>
    <row r="358" spans="1:11" ht="15.75">
      <c r="A358" s="253"/>
      <c r="B358" s="182" t="s">
        <v>592</v>
      </c>
      <c r="C358" s="182"/>
      <c r="D358" s="182"/>
      <c r="E358" s="182"/>
      <c r="F358" s="182"/>
      <c r="G358" s="182"/>
      <c r="H358" s="185"/>
      <c r="I358" s="182"/>
      <c r="J358" s="182"/>
      <c r="K358" s="182"/>
    </row>
    <row r="359" spans="1:11" ht="15.75">
      <c r="A359" s="253" t="s">
        <v>593</v>
      </c>
      <c r="B359" s="182" t="s">
        <v>594</v>
      </c>
      <c r="C359" s="183"/>
      <c r="D359" s="183"/>
      <c r="E359" s="183"/>
      <c r="F359" s="182"/>
      <c r="G359" s="182"/>
      <c r="H359" s="185"/>
      <c r="I359" s="182"/>
      <c r="J359" s="182"/>
      <c r="K359" s="182"/>
    </row>
    <row r="360" spans="1:11" ht="15.75">
      <c r="A360" s="253"/>
      <c r="B360" s="401" t="s">
        <v>595</v>
      </c>
      <c r="C360" s="182" t="s">
        <v>596</v>
      </c>
      <c r="D360" s="183"/>
      <c r="E360" s="183"/>
      <c r="F360" s="182"/>
      <c r="G360" s="182"/>
      <c r="H360" s="185"/>
      <c r="I360" s="182"/>
      <c r="J360" s="182"/>
      <c r="K360" s="182"/>
    </row>
    <row r="361" spans="1:11" ht="15.75">
      <c r="A361" s="253"/>
      <c r="B361" s="401" t="s">
        <v>597</v>
      </c>
      <c r="C361" s="182" t="s">
        <v>596</v>
      </c>
      <c r="D361" s="92"/>
      <c r="E361" s="183"/>
      <c r="F361" s="182"/>
      <c r="G361" s="182"/>
      <c r="H361" s="185"/>
      <c r="I361" s="182"/>
      <c r="J361" s="182"/>
      <c r="K361" s="182"/>
    </row>
    <row r="362" spans="1:11" ht="15.75">
      <c r="A362" s="253"/>
      <c r="B362" s="402" t="s">
        <v>598</v>
      </c>
      <c r="C362" s="182"/>
      <c r="D362" s="183"/>
      <c r="E362" s="183"/>
      <c r="F362" s="182"/>
      <c r="G362" s="182"/>
      <c r="H362" s="185"/>
      <c r="I362" s="182"/>
      <c r="J362" s="182"/>
      <c r="K362" s="182"/>
    </row>
    <row r="363" spans="1:11" ht="15.75">
      <c r="A363" s="253"/>
      <c r="B363" s="401" t="s">
        <v>599</v>
      </c>
      <c r="C363" s="182" t="s">
        <v>600</v>
      </c>
      <c r="D363" s="183"/>
      <c r="E363" s="183"/>
      <c r="F363" s="182"/>
      <c r="G363" s="182"/>
      <c r="H363" s="185"/>
      <c r="I363" s="182"/>
      <c r="J363" s="182"/>
      <c r="K363" s="182"/>
    </row>
    <row r="364" spans="1:11" ht="15.75">
      <c r="A364" s="253"/>
      <c r="B364" s="401" t="s">
        <v>601</v>
      </c>
      <c r="C364" s="182"/>
      <c r="D364" s="183"/>
      <c r="E364" s="182"/>
      <c r="F364" s="182"/>
      <c r="G364" s="182"/>
      <c r="H364" s="185"/>
      <c r="I364" s="182"/>
      <c r="J364" s="182"/>
      <c r="K364" s="182"/>
    </row>
    <row r="365" spans="1:11" ht="15.75">
      <c r="A365" s="253" t="s">
        <v>602</v>
      </c>
      <c r="B365" s="403" t="s">
        <v>603</v>
      </c>
      <c r="C365" s="182"/>
      <c r="D365" s="183"/>
      <c r="E365" s="182"/>
      <c r="F365" s="182"/>
      <c r="G365" s="182"/>
      <c r="H365" s="185"/>
      <c r="I365" s="182"/>
      <c r="J365" s="182"/>
      <c r="K365" s="182"/>
    </row>
    <row r="366" spans="1:11" ht="15.75">
      <c r="A366" s="253"/>
      <c r="B366" s="403" t="s">
        <v>604</v>
      </c>
      <c r="C366" s="182"/>
      <c r="D366" s="183"/>
      <c r="E366" s="182"/>
      <c r="F366" s="182"/>
      <c r="G366" s="182"/>
      <c r="H366" s="185"/>
      <c r="I366" s="182"/>
      <c r="J366" s="182"/>
      <c r="K366" s="182"/>
    </row>
    <row r="367" spans="1:11" ht="15.75">
      <c r="A367" s="253" t="s">
        <v>605</v>
      </c>
      <c r="B367" s="403" t="s">
        <v>606</v>
      </c>
      <c r="C367" s="182"/>
      <c r="D367" s="183"/>
      <c r="E367" s="182"/>
      <c r="F367" s="182"/>
      <c r="G367" s="182"/>
      <c r="H367" s="185"/>
      <c r="I367" s="182"/>
      <c r="J367" s="182"/>
      <c r="K367" s="182"/>
    </row>
    <row r="368" spans="1:11" ht="15.75">
      <c r="A368" s="253"/>
      <c r="B368" s="403" t="s">
        <v>607</v>
      </c>
      <c r="C368" s="182"/>
      <c r="D368" s="183"/>
      <c r="E368" s="182"/>
      <c r="F368" s="182"/>
      <c r="G368" s="182"/>
      <c r="H368" s="185"/>
      <c r="I368" s="182"/>
      <c r="J368" s="182"/>
      <c r="K368" s="182"/>
    </row>
    <row r="369" spans="1:2" ht="15.75">
      <c r="A369" s="253" t="s">
        <v>608</v>
      </c>
      <c r="B369" s="403" t="s">
        <v>609</v>
      </c>
    </row>
    <row r="370" spans="1:2" ht="15.75">
      <c r="A370" s="253"/>
      <c r="B370" s="403" t="s">
        <v>610</v>
      </c>
    </row>
    <row r="371" spans="1:11" ht="15.75">
      <c r="A371" s="253" t="s">
        <v>611</v>
      </c>
      <c r="B371" s="403" t="s">
        <v>612</v>
      </c>
      <c r="C371" s="185"/>
      <c r="D371" s="185"/>
      <c r="E371" s="185"/>
      <c r="F371" s="185"/>
      <c r="G371" s="185"/>
      <c r="H371" s="185"/>
      <c r="I371" s="185"/>
      <c r="J371" s="185"/>
      <c r="K371" s="182"/>
    </row>
    <row r="372" spans="1:11" ht="15.75">
      <c r="A372" s="253"/>
      <c r="B372" s="403" t="s">
        <v>613</v>
      </c>
      <c r="C372" s="185"/>
      <c r="D372" s="185"/>
      <c r="E372" s="185"/>
      <c r="F372" s="185"/>
      <c r="G372" s="185"/>
      <c r="H372" s="185"/>
      <c r="I372" s="185"/>
      <c r="J372" s="185"/>
      <c r="K372" s="182"/>
    </row>
    <row r="373" spans="1:11" ht="15.75">
      <c r="A373" s="253" t="s">
        <v>614</v>
      </c>
      <c r="B373" s="404" t="s">
        <v>615</v>
      </c>
      <c r="K373" s="182"/>
    </row>
    <row r="374" spans="1:2" ht="15.75">
      <c r="A374" s="253" t="s">
        <v>616</v>
      </c>
      <c r="B374" s="404" t="s">
        <v>617</v>
      </c>
    </row>
  </sheetData>
  <mergeCells count="8">
    <mergeCell ref="F155:G155"/>
    <mergeCell ref="A225:K225"/>
    <mergeCell ref="N237:S237"/>
    <mergeCell ref="A302:K302"/>
    <mergeCell ref="A6:K6"/>
    <mergeCell ref="Q26:S26"/>
    <mergeCell ref="A78:K78"/>
    <mergeCell ref="A150:K150"/>
  </mergeCells>
  <conditionalFormatting sqref="N21">
    <cfRule type="cellIs" priority="1" dxfId="0" operator="equal" stopIfTrue="1">
      <formula>"ERROR in RR detail"</formula>
    </cfRule>
  </conditionalFormatting>
  <conditionalFormatting sqref="N25">
    <cfRule type="cellIs" priority="2" dxfId="0" operator="equal" stopIfTrue="1">
      <formula>"ERROR MW detail"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BM306"/>
  <sheetViews>
    <sheetView showGridLines="0" zoomScale="80" zoomScaleNormal="80" zoomScalePageLayoutView="0" workbookViewId="0" topLeftCell="A70">
      <selection activeCell="C5" sqref="C5"/>
    </sheetView>
  </sheetViews>
  <sheetFormatPr defaultColWidth="8.88671875" defaultRowHeight="15"/>
  <cols>
    <col min="1" max="1" width="5.99609375" style="2" customWidth="1"/>
    <col min="2" max="2" width="1.4375" style="2" customWidth="1"/>
    <col min="3" max="3" width="39.10546875" style="2" customWidth="1"/>
    <col min="4" max="4" width="11.99609375" style="2" customWidth="1"/>
    <col min="5" max="5" width="14.4453125" style="2" customWidth="1"/>
    <col min="6" max="6" width="11.88671875" style="2" customWidth="1"/>
    <col min="7" max="7" width="14.10546875" style="2" customWidth="1"/>
    <col min="8" max="8" width="13.88671875" style="2" customWidth="1"/>
    <col min="9" max="9" width="12.77734375" style="2" customWidth="1"/>
    <col min="10" max="10" width="13.6640625" style="2" customWidth="1"/>
    <col min="11" max="11" width="13.5546875" style="2" customWidth="1"/>
    <col min="12" max="12" width="15.99609375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2.99609375" style="2" customWidth="1"/>
    <col min="17" max="17" width="11.3359375" style="2" bestFit="1" customWidth="1"/>
    <col min="18" max="16384" width="8.88671875" style="2" customWidth="1"/>
  </cols>
  <sheetData>
    <row r="1" ht="15">
      <c r="N1" s="3"/>
    </row>
    <row r="2" ht="15">
      <c r="N2" s="3"/>
    </row>
    <row r="4" ht="15">
      <c r="N4" s="3" t="s">
        <v>26</v>
      </c>
    </row>
    <row r="5" spans="3:65" ht="15">
      <c r="C5" s="17" t="s">
        <v>86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108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3:65" ht="15">
      <c r="C6" s="17"/>
      <c r="D6" s="17"/>
      <c r="E6" s="12" t="s">
        <v>4</v>
      </c>
      <c r="F6" s="12"/>
      <c r="G6" s="12" t="s">
        <v>27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3:65" ht="1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28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5">
      <c r="A8" s="25"/>
      <c r="C8" s="20"/>
      <c r="D8" s="20"/>
      <c r="E8" s="20"/>
      <c r="F8" s="20"/>
      <c r="G8" s="26" t="s">
        <v>107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5">
      <c r="A10" s="25"/>
      <c r="C10" s="20" t="s">
        <v>87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1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3:65" ht="1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3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5">
      <c r="A18" s="36">
        <v>1</v>
      </c>
      <c r="C18" s="14" t="s">
        <v>29</v>
      </c>
      <c r="D18" s="14"/>
      <c r="E18" s="13" t="s">
        <v>59</v>
      </c>
      <c r="F18" s="13"/>
      <c r="G18" s="5">
        <v>3015935881.680949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5">
      <c r="A19" s="36">
        <v>2</v>
      </c>
      <c r="C19" s="14" t="s">
        <v>30</v>
      </c>
      <c r="D19" s="14"/>
      <c r="E19" s="13" t="s">
        <v>104</v>
      </c>
      <c r="F19" s="13"/>
      <c r="G19" s="6">
        <v>2163406765.8874836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5">
      <c r="A21" s="36"/>
      <c r="C21" s="14" t="s">
        <v>31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5">
      <c r="A22" s="36">
        <v>3</v>
      </c>
      <c r="C22" s="14" t="s">
        <v>61</v>
      </c>
      <c r="D22" s="14"/>
      <c r="E22" s="13" t="s">
        <v>60</v>
      </c>
      <c r="F22" s="13"/>
      <c r="G22" s="5">
        <v>68751800.22525635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77</v>
      </c>
      <c r="D23" s="14"/>
      <c r="E23" s="13" t="s">
        <v>63</v>
      </c>
      <c r="F23" s="13"/>
      <c r="G23" s="37">
        <f>IF(G22=0,0,G22/G18)</f>
        <v>0.02279617436261183</v>
      </c>
      <c r="L23" s="38">
        <f>G23</f>
        <v>0.02279617436261183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91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48</v>
      </c>
      <c r="B26" s="23"/>
      <c r="C26" s="14" t="s">
        <v>88</v>
      </c>
      <c r="D26" s="14"/>
      <c r="E26" s="13" t="s">
        <v>89</v>
      </c>
      <c r="F26" s="13"/>
      <c r="G26" s="5">
        <v>4045242.4631127543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33</v>
      </c>
      <c r="B27" s="23"/>
      <c r="C27" s="14" t="s">
        <v>90</v>
      </c>
      <c r="D27" s="14"/>
      <c r="E27" s="13" t="s">
        <v>64</v>
      </c>
      <c r="F27" s="13"/>
      <c r="G27" s="37">
        <f>IF(G26=0,0,G26/G18)</f>
        <v>0.001341289278622898</v>
      </c>
      <c r="H27" s="23"/>
      <c r="I27" s="23"/>
      <c r="J27" s="23"/>
      <c r="K27" s="23"/>
      <c r="L27" s="38">
        <f>G27</f>
        <v>0.001341289278622898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5">
      <c r="A29" s="42"/>
      <c r="C29" s="14" t="s">
        <v>32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35</v>
      </c>
      <c r="C30" s="14" t="s">
        <v>34</v>
      </c>
      <c r="D30" s="14"/>
      <c r="E30" s="13" t="s">
        <v>62</v>
      </c>
      <c r="F30" s="13"/>
      <c r="G30" s="5">
        <v>32992962.61505559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36</v>
      </c>
      <c r="C31" s="14" t="s">
        <v>78</v>
      </c>
      <c r="D31" s="14"/>
      <c r="E31" s="13" t="s">
        <v>95</v>
      </c>
      <c r="F31" s="13"/>
      <c r="G31" s="37">
        <f>IF(G30=0,0,G30/G18)</f>
        <v>0.010939543779911784</v>
      </c>
      <c r="L31" s="38">
        <f>G31</f>
        <v>0.010939543779911784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1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5" t="s">
        <v>37</v>
      </c>
      <c r="B33" s="46"/>
      <c r="C33" s="15" t="s">
        <v>82</v>
      </c>
      <c r="D33" s="15"/>
      <c r="E33" s="16" t="s">
        <v>92</v>
      </c>
      <c r="F33" s="16"/>
      <c r="G33" s="47"/>
      <c r="L33" s="48">
        <f>L23+L27+L31</f>
        <v>0.035077007421146514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ht="1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ht="15">
      <c r="A35" s="50"/>
      <c r="B35" s="51"/>
      <c r="C35" s="12" t="s">
        <v>39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ht="15">
      <c r="A36" s="42" t="s">
        <v>40</v>
      </c>
      <c r="B36" s="51"/>
      <c r="C36" s="12" t="s">
        <v>15</v>
      </c>
      <c r="D36" s="12"/>
      <c r="E36" s="13" t="s">
        <v>66</v>
      </c>
      <c r="F36" s="13"/>
      <c r="G36" s="5">
        <v>81219907.2665867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ht="15">
      <c r="A37" s="42" t="s">
        <v>41</v>
      </c>
      <c r="B37" s="51"/>
      <c r="C37" s="12" t="s">
        <v>79</v>
      </c>
      <c r="D37" s="12"/>
      <c r="E37" s="13" t="s">
        <v>65</v>
      </c>
      <c r="F37" s="13"/>
      <c r="G37" s="37">
        <f>IF(G36=0,0,G36/G19)</f>
        <v>0.037542596495147906</v>
      </c>
      <c r="L37" s="38">
        <f>G37</f>
        <v>0.037542596495147906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ht="1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ht="1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ht="15">
      <c r="A40" s="42" t="s">
        <v>42</v>
      </c>
      <c r="C40" s="14" t="s">
        <v>43</v>
      </c>
      <c r="D40" s="14"/>
      <c r="E40" s="13" t="s">
        <v>44</v>
      </c>
      <c r="F40" s="13"/>
      <c r="G40" s="5">
        <v>162652001.56194785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15">
      <c r="A41" s="42" t="s">
        <v>93</v>
      </c>
      <c r="B41" s="51"/>
      <c r="C41" s="12" t="s">
        <v>80</v>
      </c>
      <c r="D41" s="12"/>
      <c r="E41" s="13" t="s">
        <v>96</v>
      </c>
      <c r="F41" s="13"/>
      <c r="G41" s="53">
        <f>IF(G40=0,0,G40/G19)</f>
        <v>0.07518327303336501</v>
      </c>
      <c r="L41" s="38">
        <f>G41</f>
        <v>0.07518327303336501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1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5" t="s">
        <v>94</v>
      </c>
      <c r="B43" s="46"/>
      <c r="C43" s="15" t="s">
        <v>81</v>
      </c>
      <c r="D43" s="15"/>
      <c r="E43" s="16" t="s">
        <v>97</v>
      </c>
      <c r="F43" s="16"/>
      <c r="G43" s="47"/>
      <c r="L43" s="48">
        <f>L37+L41</f>
        <v>0.11272586952851292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3:65" ht="1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3:65" ht="1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3:65" ht="1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3:65" ht="1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3:65" ht="1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3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3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3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1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4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1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1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ht="15">
      <c r="N58" s="3"/>
    </row>
    <row r="59" ht="15">
      <c r="N59" s="3"/>
    </row>
    <row r="61" spans="1:65" ht="1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">
        <v>26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15">
      <c r="A62" s="25"/>
      <c r="C62" s="14" t="str">
        <f>C5</f>
        <v>Formula Rate calculation</v>
      </c>
      <c r="D62" s="14"/>
      <c r="E62" s="56"/>
      <c r="F62" s="56"/>
      <c r="G62" s="56" t="str">
        <f>G5</f>
        <v>     Rate Formula Template</v>
      </c>
      <c r="H62" s="56"/>
      <c r="I62" s="56"/>
      <c r="J62" s="56"/>
      <c r="K62" s="56"/>
      <c r="M62" s="12"/>
      <c r="N62" s="59" t="str">
        <f>N5</f>
        <v>For  the 12 months ended 12/31/2013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15">
      <c r="A63" s="25"/>
      <c r="C63" s="14"/>
      <c r="D63" s="14"/>
      <c r="E63" s="56"/>
      <c r="F63" s="56"/>
      <c r="G63" s="56" t="str">
        <f>G6</f>
        <v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45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15">
      <c r="A65" s="25"/>
      <c r="E65" s="56"/>
      <c r="F65" s="56"/>
      <c r="G65" s="56" t="str">
        <f>G8</f>
        <v>Northern States Power Companies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1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46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52</v>
      </c>
      <c r="B70" s="62"/>
      <c r="C70" s="62" t="s">
        <v>47</v>
      </c>
      <c r="D70" s="63" t="s">
        <v>51</v>
      </c>
      <c r="E70" s="64" t="s">
        <v>73</v>
      </c>
      <c r="F70" s="64" t="s">
        <v>82</v>
      </c>
      <c r="G70" s="65" t="s">
        <v>53</v>
      </c>
      <c r="H70" s="64" t="s">
        <v>74</v>
      </c>
      <c r="I70" s="64" t="s">
        <v>81</v>
      </c>
      <c r="J70" s="65" t="s">
        <v>54</v>
      </c>
      <c r="K70" s="64" t="s">
        <v>38</v>
      </c>
      <c r="L70" s="66" t="s">
        <v>58</v>
      </c>
      <c r="M70" s="67" t="s">
        <v>56</v>
      </c>
      <c r="N70" s="66" t="s">
        <v>84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100</v>
      </c>
      <c r="G71" s="71" t="s">
        <v>67</v>
      </c>
      <c r="H71" s="70" t="s">
        <v>7</v>
      </c>
      <c r="I71" s="70" t="s">
        <v>101</v>
      </c>
      <c r="J71" s="71" t="s">
        <v>68</v>
      </c>
      <c r="K71" s="70" t="s">
        <v>69</v>
      </c>
      <c r="L71" s="71" t="s">
        <v>70</v>
      </c>
      <c r="M71" s="72" t="s">
        <v>71</v>
      </c>
      <c r="N71" s="83" t="s">
        <v>83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1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21" ht="15">
      <c r="A73" s="76" t="s">
        <v>14</v>
      </c>
      <c r="C73" s="97" t="s">
        <v>109</v>
      </c>
      <c r="D73" s="101" t="s">
        <v>125</v>
      </c>
      <c r="E73" s="7">
        <v>7072819</v>
      </c>
      <c r="F73" s="38">
        <f>$L$33</f>
        <v>0.035077007421146514</v>
      </c>
      <c r="G73" s="102">
        <f>E73*F73</f>
        <v>248093.32455142608</v>
      </c>
      <c r="H73" s="7">
        <v>6120833</v>
      </c>
      <c r="I73" s="38">
        <f>$L$43</f>
        <v>0.11272586952851292</v>
      </c>
      <c r="J73" s="102">
        <f>H73*I73</f>
        <v>689976.2221638163</v>
      </c>
      <c r="K73" s="8">
        <v>185753</v>
      </c>
      <c r="L73" s="102">
        <f>G73+J73+K73</f>
        <v>1123822.5467152423</v>
      </c>
      <c r="M73" s="9">
        <v>-45475.04</v>
      </c>
      <c r="N73" s="75">
        <f>L73+M73</f>
        <v>1078347.5067152423</v>
      </c>
      <c r="O73" s="77"/>
      <c r="P73" s="77"/>
      <c r="Q73" s="77"/>
      <c r="R73" s="77"/>
      <c r="S73" s="77"/>
      <c r="T73" s="77"/>
      <c r="U73" s="77"/>
    </row>
    <row r="74" spans="1:21" ht="15">
      <c r="A74" s="76" t="s">
        <v>49</v>
      </c>
      <c r="C74" s="97" t="s">
        <v>110</v>
      </c>
      <c r="D74" s="101" t="s">
        <v>126</v>
      </c>
      <c r="E74" s="7">
        <v>3487898</v>
      </c>
      <c r="F74" s="38">
        <f>$L$33</f>
        <v>0.035077007421146514</v>
      </c>
      <c r="G74" s="102">
        <f>E74*F74</f>
        <v>122345.02403020208</v>
      </c>
      <c r="H74" s="7">
        <v>3026068</v>
      </c>
      <c r="I74" s="38">
        <f>$L$43</f>
        <v>0.11272586952851292</v>
      </c>
      <c r="J74" s="102">
        <f>H74*I74</f>
        <v>341116.14655240806</v>
      </c>
      <c r="K74" s="8">
        <v>91603</v>
      </c>
      <c r="L74" s="102">
        <f>G74+J74+K74</f>
        <v>555064.1705826102</v>
      </c>
      <c r="M74" s="9">
        <v>-22476.8</v>
      </c>
      <c r="N74" s="75">
        <f>L74+M74</f>
        <v>532587.3705826101</v>
      </c>
      <c r="O74" s="77"/>
      <c r="P74" s="77"/>
      <c r="Q74" s="77"/>
      <c r="R74" s="77"/>
      <c r="S74" s="77"/>
      <c r="T74" s="77"/>
      <c r="U74" s="77"/>
    </row>
    <row r="75" spans="1:21" ht="15">
      <c r="A75" s="76" t="s">
        <v>50</v>
      </c>
      <c r="C75" s="97" t="s">
        <v>111</v>
      </c>
      <c r="D75" s="101" t="s">
        <v>127</v>
      </c>
      <c r="E75" s="7">
        <v>4462295</v>
      </c>
      <c r="F75" s="38">
        <f>$L$33</f>
        <v>0.035077007421146514</v>
      </c>
      <c r="G75" s="102">
        <f>E75*F75</f>
        <v>156523.95483034497</v>
      </c>
      <c r="H75" s="7">
        <v>4164429</v>
      </c>
      <c r="I75" s="38">
        <f>$L$43</f>
        <v>0.11272586952851292</v>
      </c>
      <c r="J75" s="102">
        <f>H75*I75</f>
        <v>469438.88011475554</v>
      </c>
      <c r="K75" s="8">
        <v>117193</v>
      </c>
      <c r="L75" s="102">
        <f>G75+J75+K75</f>
        <v>743155.8349451005</v>
      </c>
      <c r="M75" s="7">
        <v>-35439.4699999999</v>
      </c>
      <c r="N75" s="75">
        <f>L75+M75</f>
        <v>707716.3649451006</v>
      </c>
      <c r="O75" s="77"/>
      <c r="P75" s="77"/>
      <c r="Q75" s="77"/>
      <c r="R75" s="77"/>
      <c r="S75" s="77"/>
      <c r="T75" s="77"/>
      <c r="U75" s="77"/>
    </row>
    <row r="76" spans="1:21" ht="15">
      <c r="A76" s="76" t="s">
        <v>117</v>
      </c>
      <c r="C76" s="97" t="s">
        <v>112</v>
      </c>
      <c r="D76" s="101" t="s">
        <v>128</v>
      </c>
      <c r="E76" s="7">
        <v>7706681</v>
      </c>
      <c r="F76" s="38">
        <f aca="true" t="shared" si="0" ref="F76:F86">$L$33</f>
        <v>0.035077007421146514</v>
      </c>
      <c r="G76" s="102">
        <f>E76*F76</f>
        <v>270327.30662940885</v>
      </c>
      <c r="H76" s="7">
        <v>7192247</v>
      </c>
      <c r="I76" s="38">
        <f aca="true" t="shared" si="1" ref="I76:I86">$L$43</f>
        <v>0.11272586952851292</v>
      </c>
      <c r="J76" s="102">
        <f>H76*I76</f>
        <v>810752.2969388384</v>
      </c>
      <c r="K76" s="8">
        <v>202401</v>
      </c>
      <c r="L76" s="102">
        <f>G76+J76+K76</f>
        <v>1283480.6035682473</v>
      </c>
      <c r="M76" s="7">
        <v>-61879.0150802013</v>
      </c>
      <c r="N76" s="75">
        <f>L76+M76</f>
        <v>1221601.588488046</v>
      </c>
      <c r="O76" s="77"/>
      <c r="P76" s="77"/>
      <c r="Q76" s="77"/>
      <c r="R76" s="77"/>
      <c r="S76" s="77"/>
      <c r="T76" s="77"/>
      <c r="U76" s="77"/>
    </row>
    <row r="77" spans="1:21" ht="15">
      <c r="A77" s="76" t="s">
        <v>118</v>
      </c>
      <c r="C77" s="97" t="s">
        <v>136</v>
      </c>
      <c r="D77" s="101" t="s">
        <v>129</v>
      </c>
      <c r="E77" s="7">
        <v>31447576.24769231</v>
      </c>
      <c r="F77" s="38">
        <f t="shared" si="0"/>
        <v>0.035077007421146514</v>
      </c>
      <c r="G77" s="102">
        <f>E77*F77</f>
        <v>1103086.865417374</v>
      </c>
      <c r="H77" s="7">
        <v>30990100.073947888</v>
      </c>
      <c r="I77" s="38">
        <f t="shared" si="1"/>
        <v>0.11272586952851292</v>
      </c>
      <c r="J77" s="102">
        <f>H77*I77</f>
        <v>3493385.977611408</v>
      </c>
      <c r="K77" s="8">
        <v>570814.3388754819</v>
      </c>
      <c r="L77" s="102">
        <f>G77+J77+K77</f>
        <v>5167287.181904264</v>
      </c>
      <c r="M77" s="7">
        <v>271153</v>
      </c>
      <c r="N77" s="75">
        <f>L77+M77</f>
        <v>5438440.181904264</v>
      </c>
      <c r="O77" s="77"/>
      <c r="P77" s="77"/>
      <c r="Q77" s="77"/>
      <c r="R77" s="77"/>
      <c r="S77" s="77"/>
      <c r="T77" s="77"/>
      <c r="U77" s="77"/>
    </row>
    <row r="78" spans="1:21" ht="15">
      <c r="A78" s="76" t="s">
        <v>119</v>
      </c>
      <c r="C78" s="98" t="s">
        <v>137</v>
      </c>
      <c r="D78" s="101" t="s">
        <v>130</v>
      </c>
      <c r="E78" s="7">
        <f>81815711+47596576</f>
        <v>129412287</v>
      </c>
      <c r="F78" s="38">
        <f t="shared" si="0"/>
        <v>0.035077007421146514</v>
      </c>
      <c r="G78" s="102">
        <f aca="true" t="shared" si="2" ref="G78:G83">E78*F78</f>
        <v>4539395.751486543</v>
      </c>
      <c r="H78" s="7">
        <f>81815711+46478577</f>
        <v>128294288</v>
      </c>
      <c r="I78" s="38">
        <f t="shared" si="1"/>
        <v>0.11272586952851292</v>
      </c>
      <c r="J78" s="102">
        <f aca="true" t="shared" si="3" ref="J78:J83">H78*I78</f>
        <v>14462085.17034146</v>
      </c>
      <c r="K78" s="8">
        <f>0+766040</f>
        <v>766040</v>
      </c>
      <c r="L78" s="102">
        <f aca="true" t="shared" si="4" ref="L78:L83">G78+J78+K78</f>
        <v>19767520.921828</v>
      </c>
      <c r="M78" s="7">
        <v>846675</v>
      </c>
      <c r="N78" s="75">
        <f aca="true" t="shared" si="5" ref="N78:N83">L78+M78</f>
        <v>20614195.921828</v>
      </c>
      <c r="O78" s="77"/>
      <c r="P78" s="77"/>
      <c r="Q78" s="77"/>
      <c r="R78" s="77"/>
      <c r="S78" s="77"/>
      <c r="T78" s="77"/>
      <c r="U78" s="77"/>
    </row>
    <row r="79" spans="1:21" ht="15">
      <c r="A79" s="76" t="s">
        <v>120</v>
      </c>
      <c r="C79" s="97" t="s">
        <v>138</v>
      </c>
      <c r="D79" s="101" t="s">
        <v>131</v>
      </c>
      <c r="E79" s="7">
        <f>19896902+12885321-1</f>
        <v>32782222</v>
      </c>
      <c r="F79" s="38">
        <f t="shared" si="0"/>
        <v>0.035077007421146514</v>
      </c>
      <c r="G79" s="102">
        <f t="shared" si="2"/>
        <v>1149902.2443756724</v>
      </c>
      <c r="H79" s="7">
        <f>19896902+12823072-1</f>
        <v>32719973</v>
      </c>
      <c r="I79" s="38">
        <f t="shared" si="1"/>
        <v>0.11272586952851292</v>
      </c>
      <c r="J79" s="102">
        <f t="shared" si="3"/>
        <v>3688387.4073744654</v>
      </c>
      <c r="K79" s="8">
        <f>0+119569</f>
        <v>119569</v>
      </c>
      <c r="L79" s="102">
        <f t="shared" si="4"/>
        <v>4957858.651750138</v>
      </c>
      <c r="M79" s="7">
        <v>437982</v>
      </c>
      <c r="N79" s="75">
        <f t="shared" si="5"/>
        <v>5395840.651750138</v>
      </c>
      <c r="O79" s="77"/>
      <c r="P79" s="77"/>
      <c r="Q79" s="77"/>
      <c r="R79" s="77"/>
      <c r="S79" s="77"/>
      <c r="T79" s="77"/>
      <c r="U79" s="77"/>
    </row>
    <row r="80" spans="1:21" ht="15">
      <c r="A80" s="76" t="s">
        <v>121</v>
      </c>
      <c r="C80" s="99" t="s">
        <v>113</v>
      </c>
      <c r="D80" s="101" t="s">
        <v>132</v>
      </c>
      <c r="E80" s="7">
        <v>468202</v>
      </c>
      <c r="F80" s="38">
        <f t="shared" si="0"/>
        <v>0.035077007421146514</v>
      </c>
      <c r="G80" s="102">
        <f t="shared" si="2"/>
        <v>16423.12502859564</v>
      </c>
      <c r="H80" s="7">
        <v>437126</v>
      </c>
      <c r="I80" s="38">
        <f t="shared" si="1"/>
        <v>0.11272586952851292</v>
      </c>
      <c r="J80" s="102">
        <f t="shared" si="3"/>
        <v>49275.40844352074</v>
      </c>
      <c r="K80" s="8">
        <v>12296</v>
      </c>
      <c r="L80" s="102">
        <f t="shared" si="4"/>
        <v>77994.53347211638</v>
      </c>
      <c r="M80" s="7">
        <v>-3179.41395734654</v>
      </c>
      <c r="N80" s="75">
        <f t="shared" si="5"/>
        <v>74815.11951476985</v>
      </c>
      <c r="O80" s="77"/>
      <c r="P80" s="77"/>
      <c r="Q80" s="77"/>
      <c r="R80" s="77"/>
      <c r="S80" s="77"/>
      <c r="T80" s="77"/>
      <c r="U80" s="77"/>
    </row>
    <row r="81" spans="1:21" ht="15">
      <c r="A81" s="76" t="s">
        <v>122</v>
      </c>
      <c r="C81" s="99" t="s">
        <v>114</v>
      </c>
      <c r="D81" s="101" t="s">
        <v>133</v>
      </c>
      <c r="E81" s="7">
        <v>127736</v>
      </c>
      <c r="F81" s="38">
        <f t="shared" si="0"/>
        <v>0.035077007421146514</v>
      </c>
      <c r="G81" s="102">
        <f t="shared" si="2"/>
        <v>4480.5966199475715</v>
      </c>
      <c r="H81" s="7">
        <v>114782</v>
      </c>
      <c r="I81" s="38">
        <f t="shared" si="1"/>
        <v>0.11272586952851292</v>
      </c>
      <c r="J81" s="102">
        <f t="shared" si="3"/>
        <v>12938.90075622177</v>
      </c>
      <c r="K81" s="8">
        <v>3355</v>
      </c>
      <c r="L81" s="102">
        <f t="shared" si="4"/>
        <v>20774.49737616934</v>
      </c>
      <c r="M81" s="7">
        <v>-838.104128300056</v>
      </c>
      <c r="N81" s="75">
        <f t="shared" si="5"/>
        <v>19936.393247869284</v>
      </c>
      <c r="O81" s="77"/>
      <c r="P81" s="77"/>
      <c r="Q81" s="77"/>
      <c r="R81" s="77"/>
      <c r="S81" s="77"/>
      <c r="T81" s="77"/>
      <c r="U81" s="77"/>
    </row>
    <row r="82" spans="1:21" ht="15">
      <c r="A82" s="76" t="s">
        <v>123</v>
      </c>
      <c r="C82" s="100" t="s">
        <v>115</v>
      </c>
      <c r="D82" s="101" t="s">
        <v>134</v>
      </c>
      <c r="E82" s="7">
        <v>47487</v>
      </c>
      <c r="F82" s="38">
        <f t="shared" si="0"/>
        <v>0.035077007421146514</v>
      </c>
      <c r="G82" s="102">
        <f t="shared" si="2"/>
        <v>1665.7018514079846</v>
      </c>
      <c r="H82" s="7">
        <v>40230</v>
      </c>
      <c r="I82" s="38">
        <f t="shared" si="1"/>
        <v>0.11272586952851292</v>
      </c>
      <c r="J82" s="102">
        <f t="shared" si="3"/>
        <v>4534.961731132074</v>
      </c>
      <c r="K82" s="8">
        <v>1118</v>
      </c>
      <c r="L82" s="102">
        <f t="shared" si="4"/>
        <v>7318.663582540059</v>
      </c>
      <c r="M82" s="7">
        <v>7660.40781053681</v>
      </c>
      <c r="N82" s="75">
        <f t="shared" si="5"/>
        <v>14979.071393076869</v>
      </c>
      <c r="O82" s="77"/>
      <c r="P82" s="77"/>
      <c r="Q82" s="77"/>
      <c r="R82" s="77"/>
      <c r="S82" s="77"/>
      <c r="T82" s="77"/>
      <c r="U82" s="77"/>
    </row>
    <row r="83" spans="1:21" ht="15">
      <c r="A83" s="76" t="s">
        <v>124</v>
      </c>
      <c r="C83" s="100" t="s">
        <v>116</v>
      </c>
      <c r="D83" s="101" t="s">
        <v>135</v>
      </c>
      <c r="E83" s="7">
        <v>230828</v>
      </c>
      <c r="F83" s="38">
        <f t="shared" si="0"/>
        <v>0.035077007421146514</v>
      </c>
      <c r="G83" s="102">
        <f t="shared" si="2"/>
        <v>8096.755469008407</v>
      </c>
      <c r="H83" s="7">
        <v>205180</v>
      </c>
      <c r="I83" s="38">
        <f t="shared" si="1"/>
        <v>0.11272586952851292</v>
      </c>
      <c r="J83" s="102">
        <f t="shared" si="3"/>
        <v>23129.09390986028</v>
      </c>
      <c r="K83" s="8">
        <v>4957</v>
      </c>
      <c r="L83" s="102">
        <f t="shared" si="4"/>
        <v>36182.84937886869</v>
      </c>
      <c r="M83" s="7">
        <v>37746</v>
      </c>
      <c r="N83" s="75">
        <f t="shared" si="5"/>
        <v>73928.84937886869</v>
      </c>
      <c r="O83" s="77"/>
      <c r="P83" s="77"/>
      <c r="Q83" s="77"/>
      <c r="R83" s="77"/>
      <c r="S83" s="77"/>
      <c r="T83" s="77"/>
      <c r="U83" s="77"/>
    </row>
    <row r="84" spans="1:21" ht="15">
      <c r="A84" s="76" t="s">
        <v>176</v>
      </c>
      <c r="C84" s="99" t="s">
        <v>174</v>
      </c>
      <c r="D84" s="101" t="s">
        <v>173</v>
      </c>
      <c r="E84" s="7">
        <v>4249292</v>
      </c>
      <c r="F84" s="38">
        <f t="shared" si="0"/>
        <v>0.035077007421146514</v>
      </c>
      <c r="G84" s="102">
        <f>E84*F84</f>
        <v>149052.44701861852</v>
      </c>
      <c r="H84" s="7">
        <v>4150278</v>
      </c>
      <c r="I84" s="38">
        <f t="shared" si="1"/>
        <v>0.11272586952851292</v>
      </c>
      <c r="J84" s="102">
        <f>H84*I84</f>
        <v>467843.69633505755</v>
      </c>
      <c r="K84" s="8">
        <v>66460</v>
      </c>
      <c r="L84" s="102">
        <f>G84+J84+K84</f>
        <v>683356.1433536761</v>
      </c>
      <c r="M84" s="7">
        <v>29896</v>
      </c>
      <c r="N84" s="75">
        <f>L84+M84</f>
        <v>713252.1433536761</v>
      </c>
      <c r="O84" s="77"/>
      <c r="P84" s="77"/>
      <c r="Q84" s="77"/>
      <c r="R84" s="77"/>
      <c r="S84" s="77"/>
      <c r="T84" s="77"/>
      <c r="U84" s="77"/>
    </row>
    <row r="85" spans="1:21" ht="15">
      <c r="A85" s="76" t="s">
        <v>177</v>
      </c>
      <c r="C85" s="100" t="s">
        <v>179</v>
      </c>
      <c r="D85" s="101" t="s">
        <v>175</v>
      </c>
      <c r="E85" s="7">
        <v>6398117</v>
      </c>
      <c r="F85" s="38">
        <f t="shared" si="0"/>
        <v>0.035077007421146514</v>
      </c>
      <c r="G85" s="102">
        <f>E85*F85</f>
        <v>224426.79749036368</v>
      </c>
      <c r="H85" s="7">
        <v>6310868</v>
      </c>
      <c r="I85" s="38">
        <f t="shared" si="1"/>
        <v>0.11272586952851292</v>
      </c>
      <c r="J85" s="102">
        <f>H85*I85</f>
        <v>711398.0827796672</v>
      </c>
      <c r="K85" s="8">
        <v>154540</v>
      </c>
      <c r="L85" s="102">
        <f>G85+J85+K85</f>
        <v>1090364.8802700308</v>
      </c>
      <c r="M85" s="7">
        <v>0</v>
      </c>
      <c r="N85" s="75">
        <f>L85+M85</f>
        <v>1090364.8802700308</v>
      </c>
      <c r="O85" s="77"/>
      <c r="P85" s="77"/>
      <c r="Q85" s="77"/>
      <c r="R85" s="77"/>
      <c r="S85" s="77"/>
      <c r="T85" s="77"/>
      <c r="U85" s="77"/>
    </row>
    <row r="86" spans="1:21" ht="15">
      <c r="A86" s="76" t="s">
        <v>178</v>
      </c>
      <c r="C86" s="100" t="s">
        <v>180</v>
      </c>
      <c r="D86" s="101" t="s">
        <v>181</v>
      </c>
      <c r="E86" s="7">
        <v>10453826</v>
      </c>
      <c r="F86" s="38">
        <f t="shared" si="0"/>
        <v>0.035077007421146514</v>
      </c>
      <c r="G86" s="102">
        <f>E86*F86</f>
        <v>366688.9321813744</v>
      </c>
      <c r="H86" s="7">
        <v>10397176</v>
      </c>
      <c r="I86" s="38">
        <f t="shared" si="1"/>
        <v>0.11272586952851292</v>
      </c>
      <c r="J86" s="102">
        <f>H86*I86</f>
        <v>1172030.7052409858</v>
      </c>
      <c r="K86" s="8">
        <v>185644</v>
      </c>
      <c r="L86" s="102">
        <f>G86+J86+K86</f>
        <v>1724363.6374223602</v>
      </c>
      <c r="M86" s="7"/>
      <c r="N86" s="75">
        <f>L86+M86</f>
        <v>1724363.6374223602</v>
      </c>
      <c r="O86" s="77"/>
      <c r="P86" s="77"/>
      <c r="Q86" s="77"/>
      <c r="R86" s="77"/>
      <c r="S86" s="77"/>
      <c r="T86" s="77"/>
      <c r="U86" s="77"/>
    </row>
    <row r="87" spans="1:21" ht="15">
      <c r="A87" s="76"/>
      <c r="C87" s="77"/>
      <c r="D87" s="77"/>
      <c r="E87" s="77"/>
      <c r="F87" s="77"/>
      <c r="G87" s="78"/>
      <c r="H87" s="77"/>
      <c r="I87" s="77"/>
      <c r="J87" s="78"/>
      <c r="K87" s="77"/>
      <c r="L87" s="78"/>
      <c r="M87" s="77"/>
      <c r="N87" s="78"/>
      <c r="O87" s="77"/>
      <c r="P87" s="77"/>
      <c r="Q87" s="77"/>
      <c r="R87" s="77"/>
      <c r="S87" s="77"/>
      <c r="T87" s="77"/>
      <c r="U87" s="77"/>
    </row>
    <row r="88" spans="1:21" ht="15">
      <c r="A88" s="76"/>
      <c r="C88" s="77"/>
      <c r="D88" s="77"/>
      <c r="E88" s="77"/>
      <c r="F88" s="77"/>
      <c r="G88" s="78"/>
      <c r="H88" s="77"/>
      <c r="I88" s="77"/>
      <c r="J88" s="78"/>
      <c r="K88" s="77"/>
      <c r="L88" s="78"/>
      <c r="M88" s="77"/>
      <c r="N88" s="78"/>
      <c r="O88" s="77"/>
      <c r="P88" s="77"/>
      <c r="Q88" s="77"/>
      <c r="R88" s="77"/>
      <c r="S88" s="77"/>
      <c r="T88" s="77"/>
      <c r="U88" s="77"/>
    </row>
    <row r="89" spans="1:21" ht="15">
      <c r="A89" s="76"/>
      <c r="C89" s="77"/>
      <c r="D89" s="77"/>
      <c r="E89" s="77"/>
      <c r="F89" s="77"/>
      <c r="G89" s="78"/>
      <c r="H89" s="77"/>
      <c r="I89" s="77"/>
      <c r="J89" s="78"/>
      <c r="K89" s="77"/>
      <c r="L89" s="78"/>
      <c r="M89" s="77"/>
      <c r="N89" s="78"/>
      <c r="O89" s="77"/>
      <c r="P89" s="77"/>
      <c r="Q89" s="77"/>
      <c r="R89" s="77"/>
      <c r="S89" s="77"/>
      <c r="T89" s="77"/>
      <c r="U89" s="77"/>
    </row>
    <row r="90" spans="1:21" ht="15">
      <c r="A90" s="76"/>
      <c r="C90" s="77"/>
      <c r="D90" s="77"/>
      <c r="E90" s="77"/>
      <c r="F90" s="77"/>
      <c r="G90" s="78"/>
      <c r="H90" s="77"/>
      <c r="I90" s="77"/>
      <c r="J90" s="78"/>
      <c r="K90" s="77"/>
      <c r="L90" s="78"/>
      <c r="M90" s="77"/>
      <c r="N90" s="78"/>
      <c r="O90" s="77"/>
      <c r="P90" s="77"/>
      <c r="Q90" s="77"/>
      <c r="R90" s="77"/>
      <c r="S90" s="77"/>
      <c r="T90" s="77"/>
      <c r="U90" s="77"/>
    </row>
    <row r="91" spans="1:21" ht="15">
      <c r="A91" s="76"/>
      <c r="C91" s="77"/>
      <c r="D91" s="77"/>
      <c r="E91" s="77"/>
      <c r="F91" s="77"/>
      <c r="G91" s="78"/>
      <c r="H91" s="77"/>
      <c r="I91" s="77"/>
      <c r="J91" s="78"/>
      <c r="K91" s="77"/>
      <c r="L91" s="78"/>
      <c r="M91" s="77"/>
      <c r="N91" s="78"/>
      <c r="O91" s="77"/>
      <c r="P91" s="77"/>
      <c r="Q91" s="77"/>
      <c r="R91" s="77"/>
      <c r="S91" s="77"/>
      <c r="T91" s="77"/>
      <c r="U91" s="77"/>
    </row>
    <row r="92" spans="1:21" ht="15">
      <c r="A92" s="79"/>
      <c r="B92" s="10"/>
      <c r="C92" s="80"/>
      <c r="D92" s="80"/>
      <c r="E92" s="80"/>
      <c r="F92" s="80"/>
      <c r="G92" s="81"/>
      <c r="H92" s="80"/>
      <c r="I92" s="80"/>
      <c r="J92" s="81"/>
      <c r="K92" s="80"/>
      <c r="L92" s="81"/>
      <c r="M92" s="80"/>
      <c r="N92" s="81"/>
      <c r="O92" s="77"/>
      <c r="P92" s="77"/>
      <c r="Q92" s="77"/>
      <c r="R92" s="77"/>
      <c r="S92" s="77"/>
      <c r="T92" s="77"/>
      <c r="U92" s="77"/>
    </row>
    <row r="93" spans="1:21" ht="15">
      <c r="A93" s="26" t="s">
        <v>55</v>
      </c>
      <c r="B93" s="51"/>
      <c r="C93" s="14" t="s">
        <v>57</v>
      </c>
      <c r="D93" s="14"/>
      <c r="E93" s="174">
        <f>SUM(E73:E92)</f>
        <v>238347266.24769232</v>
      </c>
      <c r="F93" s="43"/>
      <c r="G93" s="12"/>
      <c r="H93" s="12"/>
      <c r="I93" s="12"/>
      <c r="J93" s="12"/>
      <c r="K93" s="12"/>
      <c r="L93" s="84">
        <f>SUM(L73:L92)</f>
        <v>37238545.116149366</v>
      </c>
      <c r="M93" s="84">
        <f>SUM(M73:M92)</f>
        <v>1461824.5646446892</v>
      </c>
      <c r="N93" s="84">
        <f>SUM(N73:N92)</f>
        <v>38700369.68079407</v>
      </c>
      <c r="O93" s="77"/>
      <c r="P93" s="77"/>
      <c r="Q93" s="77"/>
      <c r="R93" s="77"/>
      <c r="S93" s="77"/>
      <c r="T93" s="77"/>
      <c r="U93" s="77"/>
    </row>
    <row r="94" spans="1:21" ht="15">
      <c r="A94" s="88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5">
      <c r="A95" s="89">
        <v>3</v>
      </c>
      <c r="B95" s="77"/>
      <c r="C95" s="56" t="s">
        <v>72</v>
      </c>
      <c r="D95" s="77"/>
      <c r="E95" s="77"/>
      <c r="F95" s="77"/>
      <c r="G95" s="77"/>
      <c r="H95" s="77"/>
      <c r="I95" s="77"/>
      <c r="J95" s="77"/>
      <c r="K95" s="77"/>
      <c r="L95" s="84">
        <f>L93</f>
        <v>37238545.116149366</v>
      </c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1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1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15">
      <c r="A98" s="56" t="s">
        <v>17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thickBot="1">
      <c r="A99" s="90" t="s">
        <v>18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>
      <c r="A100" s="87" t="s">
        <v>19</v>
      </c>
      <c r="B100" s="86"/>
      <c r="C100" s="498" t="s">
        <v>102</v>
      </c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77"/>
      <c r="P100" s="77"/>
      <c r="Q100" s="77"/>
      <c r="R100" s="77"/>
      <c r="S100" s="77"/>
      <c r="T100" s="77"/>
      <c r="U100" s="77"/>
    </row>
    <row r="101" spans="1:21" ht="34.5" customHeight="1">
      <c r="A101" s="87" t="s">
        <v>20</v>
      </c>
      <c r="B101" s="86"/>
      <c r="C101" s="498" t="s">
        <v>103</v>
      </c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77"/>
      <c r="P101" s="77"/>
      <c r="Q101" s="77"/>
      <c r="R101" s="77"/>
      <c r="S101" s="77"/>
      <c r="T101" s="77"/>
      <c r="U101" s="77"/>
    </row>
    <row r="102" spans="1:21" ht="34.5" customHeight="1">
      <c r="A102" s="87" t="s">
        <v>21</v>
      </c>
      <c r="B102" s="86"/>
      <c r="C102" s="502" t="s">
        <v>105</v>
      </c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77"/>
      <c r="P102" s="77"/>
      <c r="Q102" s="77"/>
      <c r="R102" s="77"/>
      <c r="S102" s="77"/>
      <c r="T102" s="77"/>
      <c r="U102" s="77"/>
    </row>
    <row r="103" spans="1:21" ht="15">
      <c r="A103" s="87" t="s">
        <v>22</v>
      </c>
      <c r="B103" s="86"/>
      <c r="C103" s="504" t="s">
        <v>75</v>
      </c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77"/>
      <c r="P103" s="77"/>
      <c r="Q103" s="77"/>
      <c r="R103" s="77"/>
      <c r="S103" s="77"/>
      <c r="T103" s="77"/>
      <c r="U103" s="77"/>
    </row>
    <row r="104" spans="1:21" ht="15">
      <c r="A104" s="85" t="s">
        <v>23</v>
      </c>
      <c r="B104" s="86"/>
      <c r="C104" s="499" t="s">
        <v>76</v>
      </c>
      <c r="D104" s="499"/>
      <c r="E104" s="499"/>
      <c r="F104" s="499"/>
      <c r="G104" s="499"/>
      <c r="H104" s="499"/>
      <c r="I104" s="499"/>
      <c r="J104" s="499"/>
      <c r="K104" s="499"/>
      <c r="L104" s="499"/>
      <c r="M104" s="499"/>
      <c r="N104" s="499"/>
      <c r="O104" s="77"/>
      <c r="P104" s="77"/>
      <c r="Q104" s="77"/>
      <c r="R104" s="77"/>
      <c r="S104" s="77"/>
      <c r="T104" s="77"/>
      <c r="U104" s="77"/>
    </row>
    <row r="105" spans="1:21" ht="15">
      <c r="A105" s="85" t="s">
        <v>24</v>
      </c>
      <c r="B105" s="86"/>
      <c r="C105" s="500" t="s">
        <v>106</v>
      </c>
      <c r="D105" s="499"/>
      <c r="E105" s="499"/>
      <c r="F105" s="499"/>
      <c r="G105" s="499"/>
      <c r="H105" s="499"/>
      <c r="I105" s="499"/>
      <c r="J105" s="499"/>
      <c r="K105" s="499"/>
      <c r="L105" s="499"/>
      <c r="M105" s="499"/>
      <c r="N105" s="499"/>
      <c r="O105" s="77"/>
      <c r="P105" s="77"/>
      <c r="Q105" s="77"/>
      <c r="R105" s="77"/>
      <c r="S105" s="77"/>
      <c r="T105" s="77"/>
      <c r="U105" s="77"/>
    </row>
    <row r="106" spans="1:21" ht="15">
      <c r="A106" s="85" t="s">
        <v>25</v>
      </c>
      <c r="B106" s="86"/>
      <c r="C106" s="499" t="s">
        <v>85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77"/>
      <c r="P106" s="77"/>
      <c r="Q106" s="77"/>
      <c r="R106" s="77"/>
      <c r="S106" s="77"/>
      <c r="T106" s="77"/>
      <c r="U106" s="77"/>
    </row>
    <row r="107" spans="1:21" ht="15">
      <c r="A107" s="96" t="s">
        <v>98</v>
      </c>
      <c r="B107" s="23"/>
      <c r="C107" s="501" t="s">
        <v>99</v>
      </c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77"/>
      <c r="P107" s="77"/>
      <c r="Q107" s="77"/>
      <c r="R107" s="77"/>
      <c r="S107" s="77"/>
      <c r="T107" s="77"/>
      <c r="U107" s="77"/>
    </row>
    <row r="108" spans="1:21" ht="15">
      <c r="A108" s="82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5.75">
      <c r="A109" s="91"/>
      <c r="B109" s="92"/>
      <c r="C109" s="93"/>
      <c r="D109" s="50"/>
      <c r="E109" s="43"/>
      <c r="F109" s="43"/>
      <c r="G109" s="12"/>
      <c r="H109" s="56"/>
      <c r="I109" s="56"/>
      <c r="J109" s="37"/>
      <c r="K109" s="56"/>
      <c r="M109" s="12"/>
      <c r="N109" s="94"/>
      <c r="O109" s="77"/>
      <c r="P109" s="77"/>
      <c r="Q109" s="77"/>
      <c r="R109" s="77"/>
      <c r="S109" s="77"/>
      <c r="T109" s="77"/>
      <c r="U109" s="77"/>
    </row>
    <row r="110" spans="1:21" ht="15.75">
      <c r="A110" s="91"/>
      <c r="B110" s="92"/>
      <c r="C110" s="93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7"/>
      <c r="P110" s="77"/>
      <c r="Q110" s="77"/>
      <c r="R110" s="77"/>
      <c r="S110" s="77"/>
      <c r="T110" s="77"/>
      <c r="U110" s="77"/>
    </row>
    <row r="111" spans="3:21" ht="1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3:21" ht="1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 ht="1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 ht="1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 ht="1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 ht="1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 ht="1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 ht="1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 ht="1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 ht="1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 ht="1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 ht="1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 ht="1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 ht="1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 ht="1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 ht="1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 ht="1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 ht="1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 ht="1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 ht="1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 ht="1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 ht="1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 ht="1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 ht="1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 ht="1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 ht="1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 ht="1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 ht="1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 ht="1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 ht="1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 ht="1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 ht="1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 ht="1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 ht="1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 ht="1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 ht="1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 ht="1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 ht="1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 ht="1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 ht="1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 ht="1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 ht="1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 ht="1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 ht="1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 ht="1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 ht="1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 ht="1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 ht="1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 ht="1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 ht="1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 ht="1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 ht="1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 ht="1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 ht="1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 ht="1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 ht="1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 ht="1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 ht="1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 ht="1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 ht="1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 ht="1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 ht="1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 ht="1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 ht="1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 ht="1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 ht="1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 ht="1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 ht="1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 ht="1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 ht="1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 ht="1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 ht="1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 ht="1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 ht="1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 ht="1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 ht="1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 ht="1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 ht="1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 ht="1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 ht="1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 ht="1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 ht="1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 ht="1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 ht="1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 ht="1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 ht="1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 ht="1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 ht="1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 ht="1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 ht="1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 ht="1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 ht="1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 ht="1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 ht="1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 ht="1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 ht="1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 ht="1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 ht="1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 ht="1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 ht="1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 ht="1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 ht="1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 ht="1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 ht="1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 ht="1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 ht="1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 ht="1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 ht="1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 ht="1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 ht="1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 ht="1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 ht="1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 ht="1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 ht="1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 ht="1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 ht="1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 ht="1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 ht="1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 ht="1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 ht="1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 ht="1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 ht="1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 ht="1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 ht="1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 ht="1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 ht="1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 ht="1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 ht="1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 ht="1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 ht="1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 ht="1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 ht="1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 ht="1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 ht="1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 ht="1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 ht="1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 ht="1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 ht="1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 ht="1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 ht="1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 ht="1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 ht="1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 ht="1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 ht="1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 ht="1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 ht="1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 ht="1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 ht="1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 ht="1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 ht="1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 ht="1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 ht="1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 ht="1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 ht="1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 ht="1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 ht="1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 ht="1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 ht="1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 ht="1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 ht="1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 ht="1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 ht="1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 ht="1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 ht="1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 ht="1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 ht="1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 ht="1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 ht="1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 ht="1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 ht="1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 ht="1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 ht="1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 ht="1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 ht="1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 ht="1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 ht="1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 ht="1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 ht="1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 ht="1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 ht="1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 ht="1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 ht="1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 ht="1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1" ht="1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1" ht="1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1" ht="1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3:14" ht="1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14" ht="1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14" ht="1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14" ht="1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14" ht="1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3:14" ht="1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3:14" ht="1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3:14" ht="1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</sheetData>
  <sheetProtection/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rintOptions horizontalCentered="1"/>
  <pageMargins left="0.32" right="0.3" top="0.77" bottom="0.75" header="0.5" footer="0.5"/>
  <pageSetup fitToHeight="0" horizontalDpi="600" verticalDpi="600" orientation="landscape" scale="53" r:id="rId1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62"/>
  <sheetViews>
    <sheetView showGridLines="0" workbookViewId="0" topLeftCell="A1">
      <selection activeCell="A2" sqref="A2"/>
    </sheetView>
  </sheetViews>
  <sheetFormatPr defaultColWidth="8.88671875" defaultRowHeight="15"/>
  <cols>
    <col min="1" max="1" width="16.5546875" style="97" customWidth="1"/>
    <col min="2" max="2" width="25.5546875" style="97" customWidth="1"/>
    <col min="3" max="16" width="10.77734375" style="97" customWidth="1"/>
    <col min="17" max="17" width="7.10546875" style="97" hidden="1" customWidth="1"/>
    <col min="18" max="16384" width="8.88671875" style="97" customWidth="1"/>
  </cols>
  <sheetData>
    <row r="1" s="104" customFormat="1" ht="18">
      <c r="A1" s="103" t="s">
        <v>139</v>
      </c>
    </row>
    <row r="2" ht="15">
      <c r="A2" s="105"/>
    </row>
    <row r="3" spans="1:5" ht="15">
      <c r="A3" s="106" t="s">
        <v>140</v>
      </c>
      <c r="B3" s="136" t="s">
        <v>172</v>
      </c>
      <c r="C3" s="107"/>
      <c r="D3" s="107"/>
      <c r="E3" s="107"/>
    </row>
    <row r="4" spans="1:5" ht="15">
      <c r="A4" s="105"/>
      <c r="B4" s="107"/>
      <c r="C4" s="107"/>
      <c r="D4" s="107"/>
      <c r="E4" s="107"/>
    </row>
    <row r="5" spans="1:5" ht="15">
      <c r="A5" s="106" t="s">
        <v>141</v>
      </c>
      <c r="B5" s="137" t="s">
        <v>107</v>
      </c>
      <c r="C5" s="107"/>
      <c r="D5" s="107"/>
      <c r="E5" s="107"/>
    </row>
    <row r="6" spans="1:17" ht="15">
      <c r="A6" s="105"/>
      <c r="B6" s="107"/>
      <c r="C6" s="107"/>
      <c r="D6" s="107"/>
      <c r="E6" s="107"/>
      <c r="Q6" s="108" t="s">
        <v>142</v>
      </c>
    </row>
    <row r="7" spans="1:17" ht="15">
      <c r="A7" s="109"/>
      <c r="B7" s="110" t="s">
        <v>143</v>
      </c>
      <c r="C7" s="138" t="s">
        <v>125</v>
      </c>
      <c r="D7" s="138" t="s">
        <v>126</v>
      </c>
      <c r="E7" s="138" t="s">
        <v>127</v>
      </c>
      <c r="F7" s="138" t="s">
        <v>128</v>
      </c>
      <c r="G7" s="138" t="s">
        <v>129</v>
      </c>
      <c r="H7" s="138" t="s">
        <v>130</v>
      </c>
      <c r="I7" s="138" t="s">
        <v>131</v>
      </c>
      <c r="J7" s="138" t="s">
        <v>132</v>
      </c>
      <c r="K7" s="138" t="s">
        <v>133</v>
      </c>
      <c r="L7" s="138" t="s">
        <v>134</v>
      </c>
      <c r="M7" s="138" t="s">
        <v>135</v>
      </c>
      <c r="N7" s="138" t="s">
        <v>173</v>
      </c>
      <c r="O7" s="138" t="s">
        <v>175</v>
      </c>
      <c r="P7" s="138" t="s">
        <v>181</v>
      </c>
      <c r="Q7" s="112" t="s">
        <v>144</v>
      </c>
    </row>
    <row r="8" spans="1:16" ht="15">
      <c r="A8" s="109"/>
      <c r="B8" s="110" t="s">
        <v>145</v>
      </c>
      <c r="C8" s="111" t="s">
        <v>171</v>
      </c>
      <c r="D8" s="111" t="s">
        <v>171</v>
      </c>
      <c r="E8" s="111" t="s">
        <v>171</v>
      </c>
      <c r="F8" s="111" t="s">
        <v>171</v>
      </c>
      <c r="G8" s="111" t="s">
        <v>171</v>
      </c>
      <c r="H8" s="111" t="s">
        <v>171</v>
      </c>
      <c r="I8" s="111" t="s">
        <v>171</v>
      </c>
      <c r="J8" s="111" t="s">
        <v>171</v>
      </c>
      <c r="K8" s="111" t="s">
        <v>171</v>
      </c>
      <c r="L8" s="111" t="s">
        <v>171</v>
      </c>
      <c r="M8" s="111" t="s">
        <v>171</v>
      </c>
      <c r="N8" s="111" t="s">
        <v>171</v>
      </c>
      <c r="O8" s="111" t="s">
        <v>171</v>
      </c>
      <c r="P8" s="111" t="s">
        <v>171</v>
      </c>
    </row>
    <row r="9" spans="1:16" ht="15" customHeight="1">
      <c r="A9" s="109"/>
      <c r="B9" s="110" t="s">
        <v>146</v>
      </c>
      <c r="C9" s="111" t="s">
        <v>144</v>
      </c>
      <c r="D9" s="111" t="s">
        <v>144</v>
      </c>
      <c r="E9" s="111" t="s">
        <v>142</v>
      </c>
      <c r="F9" s="111" t="s">
        <v>142</v>
      </c>
      <c r="G9" s="111" t="s">
        <v>142</v>
      </c>
      <c r="H9" s="111" t="s">
        <v>142</v>
      </c>
      <c r="I9" s="111" t="s">
        <v>142</v>
      </c>
      <c r="J9" s="111" t="s">
        <v>142</v>
      </c>
      <c r="K9" s="111" t="s">
        <v>144</v>
      </c>
      <c r="L9" s="111" t="s">
        <v>144</v>
      </c>
      <c r="M9" s="111" t="s">
        <v>144</v>
      </c>
      <c r="N9" s="111" t="s">
        <v>144</v>
      </c>
      <c r="O9" s="111" t="s">
        <v>142</v>
      </c>
      <c r="P9" s="111" t="s">
        <v>142</v>
      </c>
    </row>
    <row r="10" spans="1:16" ht="15">
      <c r="A10" s="113" t="s">
        <v>147</v>
      </c>
      <c r="B10" s="114" t="str">
        <f>"December "&amp;B3-1</f>
        <v>December 2012</v>
      </c>
      <c r="C10" s="151">
        <v>7072818.7</v>
      </c>
      <c r="D10" s="152">
        <v>3487897.51</v>
      </c>
      <c r="E10" s="151">
        <v>4462295.25</v>
      </c>
      <c r="F10" s="152">
        <v>7706681.27</v>
      </c>
      <c r="G10" s="151">
        <v>31369515.94</v>
      </c>
      <c r="H10" s="152">
        <v>99377736.86</v>
      </c>
      <c r="I10" s="151">
        <v>18304399.339999996</v>
      </c>
      <c r="J10" s="152">
        <v>468201.81</v>
      </c>
      <c r="K10" s="151">
        <v>127736.33</v>
      </c>
      <c r="L10" s="152">
        <v>47486.63</v>
      </c>
      <c r="M10" s="151">
        <v>230828.44</v>
      </c>
      <c r="N10" s="152">
        <v>4249291.56</v>
      </c>
      <c r="O10" s="151">
        <v>1312220.33</v>
      </c>
      <c r="P10" s="152">
        <v>1219203.23</v>
      </c>
    </row>
    <row r="11" spans="1:16" ht="15">
      <c r="A11" s="115" t="s">
        <v>148</v>
      </c>
      <c r="B11" s="116" t="str">
        <f>"January "&amp;B3</f>
        <v>January 2013</v>
      </c>
      <c r="C11" s="153">
        <v>7072818.7</v>
      </c>
      <c r="D11" s="154">
        <v>3487897.51</v>
      </c>
      <c r="E11" s="153">
        <v>4462295.25</v>
      </c>
      <c r="F11" s="154">
        <v>7706681.27</v>
      </c>
      <c r="G11" s="153">
        <v>31302801.94</v>
      </c>
      <c r="H11" s="154">
        <v>105697731.86</v>
      </c>
      <c r="I11" s="153">
        <v>19718399.339999996</v>
      </c>
      <c r="J11" s="154">
        <v>468201.81</v>
      </c>
      <c r="K11" s="153">
        <v>127736.33</v>
      </c>
      <c r="L11" s="154">
        <v>47486.63</v>
      </c>
      <c r="M11" s="153">
        <v>230828.44</v>
      </c>
      <c r="N11" s="154">
        <v>4249291.56</v>
      </c>
      <c r="O11" s="153">
        <v>1362220.33</v>
      </c>
      <c r="P11" s="154">
        <v>1219173.75</v>
      </c>
    </row>
    <row r="12" spans="1:16" ht="15">
      <c r="A12" s="115"/>
      <c r="B12" s="117" t="s">
        <v>149</v>
      </c>
      <c r="C12" s="153">
        <v>7072818.7</v>
      </c>
      <c r="D12" s="154">
        <v>3487897.51</v>
      </c>
      <c r="E12" s="153">
        <v>4462295.25</v>
      </c>
      <c r="F12" s="154">
        <v>7706681.27</v>
      </c>
      <c r="G12" s="153">
        <v>31358171.94</v>
      </c>
      <c r="H12" s="154">
        <v>111948777.86</v>
      </c>
      <c r="I12" s="153">
        <v>22141999.339999996</v>
      </c>
      <c r="J12" s="154">
        <v>468201.81</v>
      </c>
      <c r="K12" s="153">
        <v>127736.33</v>
      </c>
      <c r="L12" s="154">
        <v>47486.63</v>
      </c>
      <c r="M12" s="153">
        <v>230828.44</v>
      </c>
      <c r="N12" s="154">
        <v>4249291.56</v>
      </c>
      <c r="O12" s="153">
        <v>1412220.33</v>
      </c>
      <c r="P12" s="154">
        <v>1287773.75</v>
      </c>
    </row>
    <row r="13" spans="1:16" ht="15">
      <c r="A13" s="115"/>
      <c r="B13" s="117" t="s">
        <v>150</v>
      </c>
      <c r="C13" s="153">
        <v>7072818.7</v>
      </c>
      <c r="D13" s="154">
        <v>3487897.51</v>
      </c>
      <c r="E13" s="153">
        <v>4462295.25</v>
      </c>
      <c r="F13" s="154">
        <v>7706681.27</v>
      </c>
      <c r="G13" s="153">
        <v>31413541.94</v>
      </c>
      <c r="H13" s="154">
        <v>117448589.85999998</v>
      </c>
      <c r="I13" s="153">
        <v>24000199.339999996</v>
      </c>
      <c r="J13" s="154">
        <v>468201.81</v>
      </c>
      <c r="K13" s="153">
        <v>127736.33</v>
      </c>
      <c r="L13" s="154">
        <v>47486.63</v>
      </c>
      <c r="M13" s="153">
        <v>230828.44</v>
      </c>
      <c r="N13" s="154">
        <v>4249291.56</v>
      </c>
      <c r="O13" s="153">
        <v>1430220.33</v>
      </c>
      <c r="P13" s="154">
        <v>2040758.76</v>
      </c>
    </row>
    <row r="14" spans="1:16" ht="15">
      <c r="A14" s="115"/>
      <c r="B14" s="117" t="s">
        <v>151</v>
      </c>
      <c r="C14" s="153">
        <v>7072818.7</v>
      </c>
      <c r="D14" s="154">
        <v>3487897.51</v>
      </c>
      <c r="E14" s="153">
        <v>4462295.25</v>
      </c>
      <c r="F14" s="154">
        <v>7706681.27</v>
      </c>
      <c r="G14" s="153">
        <v>31423929.94</v>
      </c>
      <c r="H14" s="154">
        <v>122596287.85999998</v>
      </c>
      <c r="I14" s="153">
        <v>25832599.339999996</v>
      </c>
      <c r="J14" s="154">
        <v>468201.81</v>
      </c>
      <c r="K14" s="153">
        <v>127736.33</v>
      </c>
      <c r="L14" s="154">
        <v>47486.63</v>
      </c>
      <c r="M14" s="153">
        <v>230828.44</v>
      </c>
      <c r="N14" s="154">
        <v>4249291.56</v>
      </c>
      <c r="O14" s="153">
        <v>1480220.33</v>
      </c>
      <c r="P14" s="154">
        <v>3153921.99</v>
      </c>
    </row>
    <row r="15" spans="1:16" ht="15">
      <c r="A15" s="115"/>
      <c r="B15" s="117" t="s">
        <v>152</v>
      </c>
      <c r="C15" s="153">
        <v>7072818.7</v>
      </c>
      <c r="D15" s="154">
        <v>3487897.51</v>
      </c>
      <c r="E15" s="153">
        <v>4462295.25</v>
      </c>
      <c r="F15" s="154">
        <v>7706681.27</v>
      </c>
      <c r="G15" s="153">
        <v>31430593.94</v>
      </c>
      <c r="H15" s="154">
        <v>127385155.85999998</v>
      </c>
      <c r="I15" s="153">
        <v>27613699.339999996</v>
      </c>
      <c r="J15" s="154">
        <v>468201.81</v>
      </c>
      <c r="K15" s="153">
        <v>127736.33</v>
      </c>
      <c r="L15" s="154">
        <v>47486.63</v>
      </c>
      <c r="M15" s="153">
        <v>230828.44</v>
      </c>
      <c r="N15" s="154">
        <v>4249291.56</v>
      </c>
      <c r="O15" s="153">
        <v>1505220.33</v>
      </c>
      <c r="P15" s="154">
        <v>6232437.63</v>
      </c>
    </row>
    <row r="16" spans="1:16" ht="15">
      <c r="A16" s="115"/>
      <c r="B16" s="117" t="s">
        <v>153</v>
      </c>
      <c r="C16" s="153">
        <v>7072818.7</v>
      </c>
      <c r="D16" s="154">
        <v>3487897.51</v>
      </c>
      <c r="E16" s="153">
        <v>4462295.25</v>
      </c>
      <c r="F16" s="154">
        <v>7706681.27</v>
      </c>
      <c r="G16" s="153">
        <v>31469401.94</v>
      </c>
      <c r="H16" s="154">
        <v>130081301.86</v>
      </c>
      <c r="I16" s="153">
        <v>29411999.339999996</v>
      </c>
      <c r="J16" s="154">
        <v>468201.81</v>
      </c>
      <c r="K16" s="153">
        <v>127736.33</v>
      </c>
      <c r="L16" s="154">
        <v>47486.63</v>
      </c>
      <c r="M16" s="153">
        <v>230828.44</v>
      </c>
      <c r="N16" s="154">
        <v>4249291.56</v>
      </c>
      <c r="O16" s="153">
        <v>10630969.94</v>
      </c>
      <c r="P16" s="154">
        <v>14437869.47</v>
      </c>
    </row>
    <row r="17" spans="1:16" ht="15">
      <c r="A17" s="115"/>
      <c r="B17" s="117" t="s">
        <v>154</v>
      </c>
      <c r="C17" s="153">
        <v>7072818.7</v>
      </c>
      <c r="D17" s="154">
        <v>3487897.51</v>
      </c>
      <c r="E17" s="153">
        <v>4462295.25</v>
      </c>
      <c r="F17" s="154">
        <v>7706681.27</v>
      </c>
      <c r="G17" s="153">
        <v>31475771.94</v>
      </c>
      <c r="H17" s="154">
        <v>133947221.86</v>
      </c>
      <c r="I17" s="153">
        <v>30568399.339999996</v>
      </c>
      <c r="J17" s="154">
        <v>468201.81</v>
      </c>
      <c r="K17" s="153">
        <v>127736.33</v>
      </c>
      <c r="L17" s="154">
        <v>47486.63</v>
      </c>
      <c r="M17" s="153">
        <v>230828.44</v>
      </c>
      <c r="N17" s="154">
        <v>4249291.56</v>
      </c>
      <c r="O17" s="153">
        <v>10644468.43</v>
      </c>
      <c r="P17" s="154">
        <v>17583174.66</v>
      </c>
    </row>
    <row r="18" spans="1:16" ht="15">
      <c r="A18" s="115"/>
      <c r="B18" s="117" t="s">
        <v>155</v>
      </c>
      <c r="C18" s="153">
        <v>7072818.7</v>
      </c>
      <c r="D18" s="154">
        <v>3487897.51</v>
      </c>
      <c r="E18" s="153">
        <v>4462295.25</v>
      </c>
      <c r="F18" s="154">
        <v>7706681.27</v>
      </c>
      <c r="G18" s="153">
        <v>31482141.94</v>
      </c>
      <c r="H18" s="154">
        <v>138683245.86</v>
      </c>
      <c r="I18" s="153">
        <v>31086099.339999996</v>
      </c>
      <c r="J18" s="154">
        <v>468201.81</v>
      </c>
      <c r="K18" s="153">
        <v>127736.33</v>
      </c>
      <c r="L18" s="154">
        <v>47486.63</v>
      </c>
      <c r="M18" s="153">
        <v>230828.44</v>
      </c>
      <c r="N18" s="154">
        <v>4249291.56</v>
      </c>
      <c r="O18" s="153">
        <v>10679552.43</v>
      </c>
      <c r="P18" s="154">
        <v>17574059.740000002</v>
      </c>
    </row>
    <row r="19" spans="1:16" ht="15">
      <c r="A19" s="115"/>
      <c r="B19" s="117" t="s">
        <v>156</v>
      </c>
      <c r="C19" s="153">
        <v>7072818.7</v>
      </c>
      <c r="D19" s="154">
        <v>3487897.51</v>
      </c>
      <c r="E19" s="153">
        <v>4462295.25</v>
      </c>
      <c r="F19" s="154">
        <v>7706681.27</v>
      </c>
      <c r="G19" s="153">
        <v>31488413.94</v>
      </c>
      <c r="H19" s="154">
        <v>142813568.86</v>
      </c>
      <c r="I19" s="153">
        <v>32274899.339999996</v>
      </c>
      <c r="J19" s="154">
        <v>468201.81</v>
      </c>
      <c r="K19" s="153">
        <v>127736.33</v>
      </c>
      <c r="L19" s="154">
        <v>47486.63</v>
      </c>
      <c r="M19" s="153">
        <v>230828.44</v>
      </c>
      <c r="N19" s="154">
        <v>4249291.56</v>
      </c>
      <c r="O19" s="153">
        <v>10679552.43</v>
      </c>
      <c r="P19" s="154">
        <v>17574059.740000002</v>
      </c>
    </row>
    <row r="20" spans="1:16" ht="15">
      <c r="A20" s="115"/>
      <c r="B20" s="117" t="s">
        <v>157</v>
      </c>
      <c r="C20" s="153">
        <v>7072818.7</v>
      </c>
      <c r="D20" s="154">
        <v>3487897.51</v>
      </c>
      <c r="E20" s="153">
        <v>4462295.25</v>
      </c>
      <c r="F20" s="154">
        <v>7706681.27</v>
      </c>
      <c r="G20" s="153">
        <v>31533689.94</v>
      </c>
      <c r="H20" s="154">
        <v>146843896.86</v>
      </c>
      <c r="I20" s="153">
        <v>43424999.339999996</v>
      </c>
      <c r="J20" s="154">
        <v>468201.81</v>
      </c>
      <c r="K20" s="153">
        <v>127736.33</v>
      </c>
      <c r="L20" s="154">
        <v>47486.63</v>
      </c>
      <c r="M20" s="153">
        <v>230828.44</v>
      </c>
      <c r="N20" s="154">
        <v>4249291.56</v>
      </c>
      <c r="O20" s="153">
        <v>10679552.43</v>
      </c>
      <c r="P20" s="154">
        <v>17850132.93</v>
      </c>
    </row>
    <row r="21" spans="1:16" ht="15">
      <c r="A21" s="115"/>
      <c r="B21" s="117" t="s">
        <v>158</v>
      </c>
      <c r="C21" s="153">
        <v>7072818.7</v>
      </c>
      <c r="D21" s="154">
        <v>3487897.51</v>
      </c>
      <c r="E21" s="153">
        <v>4462295.25</v>
      </c>
      <c r="F21" s="154">
        <v>7706681.27</v>
      </c>
      <c r="G21" s="153">
        <v>31534179.94</v>
      </c>
      <c r="H21" s="154">
        <v>150871135.86</v>
      </c>
      <c r="I21" s="153">
        <v>54873499.33999999</v>
      </c>
      <c r="J21" s="154">
        <v>468201.81</v>
      </c>
      <c r="K21" s="153">
        <v>127736.33</v>
      </c>
      <c r="L21" s="154">
        <v>47486.63</v>
      </c>
      <c r="M21" s="153">
        <v>230828.44</v>
      </c>
      <c r="N21" s="154">
        <v>4249291.56</v>
      </c>
      <c r="O21" s="153">
        <v>10679552.43</v>
      </c>
      <c r="P21" s="154">
        <v>17863097.2</v>
      </c>
    </row>
    <row r="22" spans="1:16" ht="15">
      <c r="A22" s="118"/>
      <c r="B22" s="119" t="str">
        <f>"December "&amp;B3</f>
        <v>December 2013</v>
      </c>
      <c r="C22" s="153">
        <v>7072818.7</v>
      </c>
      <c r="D22" s="154">
        <v>3487897.51</v>
      </c>
      <c r="E22" s="153">
        <v>4462295.25</v>
      </c>
      <c r="F22" s="154">
        <v>7706681.27</v>
      </c>
      <c r="G22" s="153">
        <v>31536335.94</v>
      </c>
      <c r="H22" s="154">
        <v>154665080.86</v>
      </c>
      <c r="I22" s="153">
        <v>66917699.33999999</v>
      </c>
      <c r="J22" s="154">
        <v>468201.81</v>
      </c>
      <c r="K22" s="153">
        <v>127736.33</v>
      </c>
      <c r="L22" s="154">
        <v>47486.63</v>
      </c>
      <c r="M22" s="153">
        <v>230828.44</v>
      </c>
      <c r="N22" s="154">
        <v>4249291.56</v>
      </c>
      <c r="O22" s="153">
        <v>10679552.43</v>
      </c>
      <c r="P22" s="154">
        <v>17864077.2</v>
      </c>
    </row>
    <row r="23" spans="1:16" ht="15">
      <c r="A23" s="120"/>
      <c r="B23" s="121" t="s">
        <v>159</v>
      </c>
      <c r="C23" s="139">
        <f>AVERAGE(C10:C22)</f>
        <v>7072818.700000002</v>
      </c>
      <c r="D23" s="140">
        <f>AVERAGE(D10:D22)</f>
        <v>3487897.5099999984</v>
      </c>
      <c r="E23" s="139">
        <f aca="true" t="shared" si="0" ref="E23:L23">AVERAGE(E10:E22)</f>
        <v>4462295.25</v>
      </c>
      <c r="F23" s="140">
        <f t="shared" si="0"/>
        <v>7706681.269999997</v>
      </c>
      <c r="G23" s="139">
        <f t="shared" si="0"/>
        <v>31447576.24769231</v>
      </c>
      <c r="H23" s="140">
        <f t="shared" si="0"/>
        <v>129412287.09076926</v>
      </c>
      <c r="I23" s="139">
        <f t="shared" si="0"/>
        <v>32782222.416923072</v>
      </c>
      <c r="J23" s="140">
        <f t="shared" si="0"/>
        <v>468201.8099999999</v>
      </c>
      <c r="K23" s="139">
        <f t="shared" si="0"/>
        <v>127736.33000000002</v>
      </c>
      <c r="L23" s="140">
        <f t="shared" si="0"/>
        <v>47486.63</v>
      </c>
      <c r="M23" s="139">
        <f>AVERAGE(M10:M22)</f>
        <v>230828.43999999997</v>
      </c>
      <c r="N23" s="140">
        <f>AVERAGE(N10:N22)</f>
        <v>4249291.5600000005</v>
      </c>
      <c r="O23" s="139">
        <f>AVERAGE(O10:O22)</f>
        <v>6398117.115384615</v>
      </c>
      <c r="P23" s="140">
        <f>AVERAGE(P10:P22)</f>
        <v>10453826.15769231</v>
      </c>
    </row>
    <row r="24" spans="1:16" ht="15">
      <c r="A24" s="120"/>
      <c r="B24" s="121"/>
      <c r="C24" s="141"/>
      <c r="D24" s="142"/>
      <c r="E24" s="141"/>
      <c r="F24" s="142"/>
      <c r="G24" s="141"/>
      <c r="H24" s="142"/>
      <c r="I24" s="141"/>
      <c r="J24" s="142"/>
      <c r="K24" s="141"/>
      <c r="L24" s="142"/>
      <c r="M24" s="141"/>
      <c r="N24" s="142"/>
      <c r="O24" s="141"/>
      <c r="P24" s="142"/>
    </row>
    <row r="25" spans="1:16" ht="15">
      <c r="A25" s="120"/>
      <c r="B25" s="121"/>
      <c r="C25" s="141"/>
      <c r="D25" s="142"/>
      <c r="E25" s="141"/>
      <c r="F25" s="142"/>
      <c r="G25" s="141"/>
      <c r="H25" s="142"/>
      <c r="I25" s="141"/>
      <c r="J25" s="142"/>
      <c r="K25" s="141"/>
      <c r="L25" s="142"/>
      <c r="M25" s="141"/>
      <c r="N25" s="142"/>
      <c r="O25" s="141"/>
      <c r="P25" s="142"/>
    </row>
    <row r="26" spans="1:16" ht="15">
      <c r="A26" s="113" t="s">
        <v>160</v>
      </c>
      <c r="B26" s="114" t="str">
        <f>B10</f>
        <v>December 2012</v>
      </c>
      <c r="C26" s="151">
        <v>859109.479999999</v>
      </c>
      <c r="D26" s="152">
        <v>416028.48</v>
      </c>
      <c r="E26" s="151">
        <v>239269.575</v>
      </c>
      <c r="F26" s="152">
        <v>413234.4</v>
      </c>
      <c r="G26" s="151">
        <v>172436.7612480615</v>
      </c>
      <c r="H26" s="152">
        <v>745116.6332142613</v>
      </c>
      <c r="I26" s="151">
        <v>4696.013651069963</v>
      </c>
      <c r="J26" s="152">
        <v>24927.69</v>
      </c>
      <c r="K26" s="151">
        <v>11276.52</v>
      </c>
      <c r="L26" s="152">
        <v>6697.35</v>
      </c>
      <c r="M26" s="151">
        <v>23170.13</v>
      </c>
      <c r="N26" s="152">
        <v>65783.0686767002</v>
      </c>
      <c r="O26" s="151">
        <v>37387.460470069724</v>
      </c>
      <c r="P26" s="152">
        <v>10.375814682077635</v>
      </c>
    </row>
    <row r="27" spans="1:16" ht="15">
      <c r="A27" s="115" t="s">
        <v>161</v>
      </c>
      <c r="B27" s="116" t="str">
        <f>B11</f>
        <v>January 2013</v>
      </c>
      <c r="C27" s="153">
        <v>874588.929999999</v>
      </c>
      <c r="D27" s="154">
        <v>423662.03</v>
      </c>
      <c r="E27" s="153">
        <v>249035.68</v>
      </c>
      <c r="F27" s="154">
        <v>430101.11</v>
      </c>
      <c r="G27" s="153">
        <v>219741.17913669598</v>
      </c>
      <c r="H27" s="154">
        <v>804931.1321362104</v>
      </c>
      <c r="I27" s="153">
        <v>14087.166095803186</v>
      </c>
      <c r="J27" s="154">
        <v>25952.39</v>
      </c>
      <c r="K27" s="153">
        <f>--11556.08</f>
        <v>11556.08</v>
      </c>
      <c r="L27" s="154">
        <v>6790.52</v>
      </c>
      <c r="M27" s="153">
        <v>23583.23</v>
      </c>
      <c r="N27" s="154">
        <v>71321.40505152424</v>
      </c>
      <c r="O27" s="153">
        <v>39405.54954213329</v>
      </c>
      <c r="P27" s="154">
        <v>31.09532894292756</v>
      </c>
    </row>
    <row r="28" spans="1:16" ht="15">
      <c r="A28" s="115"/>
      <c r="B28" s="122" t="s">
        <v>149</v>
      </c>
      <c r="C28" s="153">
        <v>890068.379999999</v>
      </c>
      <c r="D28" s="154">
        <v>431295.58</v>
      </c>
      <c r="E28" s="153">
        <v>258801.785</v>
      </c>
      <c r="F28" s="154">
        <v>446967.82</v>
      </c>
      <c r="G28" s="153">
        <v>267133.99931108666</v>
      </c>
      <c r="H28" s="154">
        <v>864745.6310581596</v>
      </c>
      <c r="I28" s="153">
        <v>23477.443683129706</v>
      </c>
      <c r="J28" s="154">
        <v>26977.09</v>
      </c>
      <c r="K28" s="153">
        <v>11835.64</v>
      </c>
      <c r="L28" s="154">
        <v>6883.69</v>
      </c>
      <c r="M28" s="153">
        <v>23996.33</v>
      </c>
      <c r="N28" s="154">
        <v>76859.74142634828</v>
      </c>
      <c r="O28" s="153">
        <v>41423.638614196854</v>
      </c>
      <c r="P28" s="154">
        <v>51.78272810047214</v>
      </c>
    </row>
    <row r="29" spans="1:16" ht="15">
      <c r="A29" s="115"/>
      <c r="B29" s="122" t="s">
        <v>150</v>
      </c>
      <c r="C29" s="153">
        <v>905547.829999999</v>
      </c>
      <c r="D29" s="154">
        <v>438929.13</v>
      </c>
      <c r="E29" s="153">
        <v>268567.89</v>
      </c>
      <c r="F29" s="154">
        <v>463834.53</v>
      </c>
      <c r="G29" s="153">
        <v>314613.75994057267</v>
      </c>
      <c r="H29" s="154">
        <v>924560.1299801088</v>
      </c>
      <c r="I29" s="153">
        <v>32867.721270456226</v>
      </c>
      <c r="J29" s="154">
        <v>28001.79</v>
      </c>
      <c r="K29" s="153">
        <v>12115.2</v>
      </c>
      <c r="L29" s="154">
        <v>6976.86</v>
      </c>
      <c r="M29" s="153">
        <v>24409.43</v>
      </c>
      <c r="N29" s="154">
        <v>82398.07780117232</v>
      </c>
      <c r="O29" s="153">
        <v>43441.72768626042</v>
      </c>
      <c r="P29" s="154">
        <v>698.8509241663852</v>
      </c>
    </row>
    <row r="30" spans="1:16" ht="15">
      <c r="A30" s="115"/>
      <c r="B30" s="122" t="s">
        <v>151</v>
      </c>
      <c r="C30" s="153">
        <v>921027.279999999</v>
      </c>
      <c r="D30" s="154">
        <v>446562.68</v>
      </c>
      <c r="E30" s="153">
        <v>278333.995</v>
      </c>
      <c r="F30" s="154">
        <v>480701.24</v>
      </c>
      <c r="G30" s="153">
        <v>362145.14627392497</v>
      </c>
      <c r="H30" s="154">
        <v>984374.628902058</v>
      </c>
      <c r="I30" s="153">
        <v>42257.998857782746</v>
      </c>
      <c r="J30" s="154">
        <v>29026.49</v>
      </c>
      <c r="K30" s="153">
        <v>12394.76</v>
      </c>
      <c r="L30" s="154">
        <v>7070.03</v>
      </c>
      <c r="M30" s="153">
        <v>24822.53</v>
      </c>
      <c r="N30" s="154">
        <v>87936.41417599635</v>
      </c>
      <c r="O30" s="153">
        <v>45459.816758323985</v>
      </c>
      <c r="P30" s="154">
        <v>2904.365206213219</v>
      </c>
    </row>
    <row r="31" spans="1:16" ht="15">
      <c r="A31" s="115"/>
      <c r="B31" s="122" t="s">
        <v>152</v>
      </c>
      <c r="C31" s="153">
        <v>936506.729999999</v>
      </c>
      <c r="D31" s="154">
        <v>454196.23</v>
      </c>
      <c r="E31" s="153">
        <v>288100.1</v>
      </c>
      <c r="F31" s="154">
        <v>497567.95</v>
      </c>
      <c r="G31" s="153">
        <v>409689.91989859287</v>
      </c>
      <c r="H31" s="154">
        <v>1044189.1278240072</v>
      </c>
      <c r="I31" s="153">
        <v>51648.276445109266</v>
      </c>
      <c r="J31" s="154">
        <v>30051.19</v>
      </c>
      <c r="K31" s="153">
        <v>12674.32</v>
      </c>
      <c r="L31" s="154">
        <v>7163.2</v>
      </c>
      <c r="M31" s="153">
        <v>25235.63</v>
      </c>
      <c r="N31" s="154">
        <v>93474.75055082039</v>
      </c>
      <c r="O31" s="153">
        <v>47477.90583038755</v>
      </c>
      <c r="P31" s="154">
        <v>8591.370547224018</v>
      </c>
    </row>
    <row r="32" spans="1:16" ht="15">
      <c r="A32" s="115"/>
      <c r="B32" s="122" t="s">
        <v>153</v>
      </c>
      <c r="C32" s="153">
        <v>951986.179999999</v>
      </c>
      <c r="D32" s="154">
        <v>461829.78</v>
      </c>
      <c r="E32" s="153">
        <v>297866.205</v>
      </c>
      <c r="F32" s="154">
        <v>514434.66</v>
      </c>
      <c r="G32" s="153">
        <v>457270.3929667689</v>
      </c>
      <c r="H32" s="154">
        <v>1107721.0046298406</v>
      </c>
      <c r="I32" s="153">
        <v>61038.554032435786</v>
      </c>
      <c r="J32" s="154">
        <v>31075.89</v>
      </c>
      <c r="K32" s="153">
        <v>12953.88</v>
      </c>
      <c r="L32" s="154">
        <v>7256.37</v>
      </c>
      <c r="M32" s="153">
        <v>25648.73</v>
      </c>
      <c r="N32" s="154">
        <v>99013.08692564443</v>
      </c>
      <c r="O32" s="153">
        <v>59482.07726181615</v>
      </c>
      <c r="P32" s="154">
        <v>23698.39573258197</v>
      </c>
    </row>
    <row r="33" spans="1:16" ht="15">
      <c r="A33" s="115"/>
      <c r="B33" s="122" t="s">
        <v>154</v>
      </c>
      <c r="C33" s="153">
        <v>967465.629999999</v>
      </c>
      <c r="D33" s="154">
        <v>469463.33</v>
      </c>
      <c r="E33" s="153">
        <v>307632.31</v>
      </c>
      <c r="F33" s="154">
        <v>531301.37</v>
      </c>
      <c r="G33" s="153">
        <v>504886.3346630856</v>
      </c>
      <c r="H33" s="154">
        <v>1174962.4887609277</v>
      </c>
      <c r="I33" s="153">
        <v>70428.8316197623</v>
      </c>
      <c r="J33" s="154">
        <v>32100.59</v>
      </c>
      <c r="K33" s="153">
        <v>13233.44</v>
      </c>
      <c r="L33" s="154">
        <v>7349.54</v>
      </c>
      <c r="M33" s="153">
        <v>26061.83</v>
      </c>
      <c r="N33" s="154">
        <v>104551.42330046846</v>
      </c>
      <c r="O33" s="153">
        <v>81486.8270417746</v>
      </c>
      <c r="P33" s="154">
        <v>48309.61778498767</v>
      </c>
    </row>
    <row r="34" spans="1:16" ht="15">
      <c r="A34" s="115"/>
      <c r="B34" s="122" t="s">
        <v>155</v>
      </c>
      <c r="C34" s="153">
        <v>982945.079999999</v>
      </c>
      <c r="D34" s="154">
        <v>477096.88</v>
      </c>
      <c r="E34" s="153">
        <v>317398.415</v>
      </c>
      <c r="F34" s="154">
        <v>548168.08</v>
      </c>
      <c r="G34" s="153">
        <v>552512.278358661</v>
      </c>
      <c r="H34" s="154">
        <v>1242199.0608826065</v>
      </c>
      <c r="I34" s="153">
        <v>79819.10920708883</v>
      </c>
      <c r="J34" s="154">
        <v>33125.29</v>
      </c>
      <c r="K34" s="153">
        <v>13513</v>
      </c>
      <c r="L34" s="154">
        <v>7442.71</v>
      </c>
      <c r="M34" s="153">
        <v>26474.93</v>
      </c>
      <c r="N34" s="154">
        <v>110089.7596752925</v>
      </c>
      <c r="O34" s="153">
        <v>103544.29283411239</v>
      </c>
      <c r="P34" s="154">
        <v>75546.81059515374</v>
      </c>
    </row>
    <row r="35" spans="1:16" ht="15">
      <c r="A35" s="115"/>
      <c r="B35" s="122" t="s">
        <v>156</v>
      </c>
      <c r="C35" s="153">
        <v>998424.529999999</v>
      </c>
      <c r="D35" s="154">
        <v>484730.43</v>
      </c>
      <c r="E35" s="153">
        <v>327164.52</v>
      </c>
      <c r="F35" s="154">
        <v>565034.79</v>
      </c>
      <c r="G35" s="153">
        <v>600148.1471150393</v>
      </c>
      <c r="H35" s="154">
        <v>1309438.4915535077</v>
      </c>
      <c r="I35" s="153">
        <v>90192.98233520982</v>
      </c>
      <c r="J35" s="154">
        <v>34149.99</v>
      </c>
      <c r="K35" s="153">
        <v>13792.56</v>
      </c>
      <c r="L35" s="154">
        <v>7535.88</v>
      </c>
      <c r="M35" s="153">
        <v>26888.03</v>
      </c>
      <c r="N35" s="154">
        <v>115628.09605011654</v>
      </c>
      <c r="O35" s="153">
        <v>125639.97864966473</v>
      </c>
      <c r="P35" s="154">
        <v>102776.37137048815</v>
      </c>
    </row>
    <row r="36" spans="1:16" ht="15">
      <c r="A36" s="115"/>
      <c r="B36" s="122" t="s">
        <v>157</v>
      </c>
      <c r="C36" s="153">
        <v>1013903.98</v>
      </c>
      <c r="D36" s="154">
        <v>492363.98</v>
      </c>
      <c r="E36" s="153">
        <v>336930.625</v>
      </c>
      <c r="F36" s="154">
        <v>581901.5</v>
      </c>
      <c r="G36" s="153">
        <v>647824.4854991877</v>
      </c>
      <c r="H36" s="154">
        <v>1376677.9222244092</v>
      </c>
      <c r="I36" s="153">
        <v>101550.45100412528</v>
      </c>
      <c r="J36" s="154">
        <v>35174.69</v>
      </c>
      <c r="K36" s="153">
        <v>14072.12</v>
      </c>
      <c r="L36" s="154">
        <v>7629.05</v>
      </c>
      <c r="M36" s="153">
        <v>27301.13</v>
      </c>
      <c r="N36" s="154">
        <v>121166.43242494058</v>
      </c>
      <c r="O36" s="153">
        <v>147735.66446521707</v>
      </c>
      <c r="P36" s="154">
        <v>130237.09162963208</v>
      </c>
    </row>
    <row r="37" spans="1:16" ht="15">
      <c r="A37" s="115"/>
      <c r="B37" s="122" t="s">
        <v>158</v>
      </c>
      <c r="C37" s="153">
        <v>1029383.43</v>
      </c>
      <c r="D37" s="154">
        <v>499997.53</v>
      </c>
      <c r="E37" s="153">
        <v>346696.73</v>
      </c>
      <c r="F37" s="154">
        <v>598768.21</v>
      </c>
      <c r="G37" s="153">
        <v>695536.7541422118</v>
      </c>
      <c r="H37" s="154">
        <v>1443917.3528953106</v>
      </c>
      <c r="I37" s="153">
        <v>112907.91967304074</v>
      </c>
      <c r="J37" s="154">
        <v>36199.39</v>
      </c>
      <c r="K37" s="153">
        <v>14351.68</v>
      </c>
      <c r="L37" s="154">
        <v>7722.22</v>
      </c>
      <c r="M37" s="153">
        <v>27714.23</v>
      </c>
      <c r="N37" s="154">
        <v>126704.76879976461</v>
      </c>
      <c r="O37" s="153">
        <v>169831.3502807694</v>
      </c>
      <c r="P37" s="154">
        <v>157939.82651560454</v>
      </c>
    </row>
    <row r="38" spans="1:16" ht="15">
      <c r="A38" s="118"/>
      <c r="B38" s="119" t="str">
        <f>+B22</f>
        <v>December 2013</v>
      </c>
      <c r="C38" s="153">
        <v>1044862.88</v>
      </c>
      <c r="D38" s="154">
        <v>507631.079999999</v>
      </c>
      <c r="E38" s="153">
        <v>356462.835</v>
      </c>
      <c r="F38" s="154">
        <v>615634.92</v>
      </c>
      <c r="G38" s="153">
        <v>743251.1001235434</v>
      </c>
      <c r="H38" s="154">
        <v>1511156.7835662118</v>
      </c>
      <c r="I38" s="153">
        <v>124265.3883419562</v>
      </c>
      <c r="J38" s="154">
        <v>37224.09</v>
      </c>
      <c r="K38" s="153">
        <v>14631.24</v>
      </c>
      <c r="L38" s="154">
        <v>7815.39</v>
      </c>
      <c r="M38" s="153">
        <v>28127.33</v>
      </c>
      <c r="N38" s="154">
        <v>132243.10517458865</v>
      </c>
      <c r="O38" s="153">
        <v>191927.03609632174</v>
      </c>
      <c r="P38" s="154">
        <v>185654.23711067176</v>
      </c>
    </row>
    <row r="39" spans="1:16" ht="15">
      <c r="A39" s="120"/>
      <c r="B39" s="121" t="s">
        <v>159</v>
      </c>
      <c r="C39" s="139">
        <f aca="true" t="shared" si="1" ref="C39:L39">AVERAGE(C26:C38)</f>
        <v>951986.1799999995</v>
      </c>
      <c r="D39" s="140">
        <f t="shared" si="1"/>
        <v>461829.7799999999</v>
      </c>
      <c r="E39" s="139">
        <f t="shared" si="1"/>
        <v>297866.205</v>
      </c>
      <c r="F39" s="140">
        <f t="shared" si="1"/>
        <v>514434.66000000003</v>
      </c>
      <c r="G39" s="139">
        <f t="shared" si="1"/>
        <v>457476.17374441784</v>
      </c>
      <c r="H39" s="140">
        <f t="shared" si="1"/>
        <v>1117999.26058674</v>
      </c>
      <c r="I39" s="139">
        <f t="shared" si="1"/>
        <v>62249.06586284385</v>
      </c>
      <c r="J39" s="140">
        <f t="shared" si="1"/>
        <v>31075.889999999996</v>
      </c>
      <c r="K39" s="139">
        <f t="shared" si="1"/>
        <v>12953.880000000001</v>
      </c>
      <c r="L39" s="140">
        <f t="shared" si="1"/>
        <v>7256.370000000001</v>
      </c>
      <c r="M39" s="139">
        <f>AVERAGE(M26:M38)</f>
        <v>25648.73</v>
      </c>
      <c r="N39" s="140">
        <f>AVERAGE(N26:N38)</f>
        <v>99013.08692564444</v>
      </c>
      <c r="O39" s="139">
        <f>AVERAGE(O26:O38)</f>
        <v>87249.48657931137</v>
      </c>
      <c r="P39" s="140">
        <f>AVERAGE(P26:P38)</f>
        <v>56650.014714496065</v>
      </c>
    </row>
    <row r="40" spans="1:16" s="98" customFormat="1" ht="15">
      <c r="A40" s="123"/>
      <c r="B40" s="12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ht="15">
      <c r="A41" s="120"/>
      <c r="B41" s="125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ht="15">
      <c r="A42" s="120"/>
      <c r="B42" s="126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</row>
    <row r="43" spans="1:16" ht="15">
      <c r="A43" s="113" t="s">
        <v>162</v>
      </c>
      <c r="B43" s="127" t="str">
        <f>B10</f>
        <v>December 2012</v>
      </c>
      <c r="C43" s="146">
        <f aca="true" t="shared" si="2" ref="C43:L55">+C10-C26</f>
        <v>6213709.220000001</v>
      </c>
      <c r="D43" s="147">
        <f t="shared" si="2"/>
        <v>3071869.03</v>
      </c>
      <c r="E43" s="146">
        <f t="shared" si="2"/>
        <v>4223025.675</v>
      </c>
      <c r="F43" s="147">
        <f t="shared" si="2"/>
        <v>7293446.869999999</v>
      </c>
      <c r="G43" s="146">
        <f t="shared" si="2"/>
        <v>31197079.178751938</v>
      </c>
      <c r="H43" s="147">
        <f t="shared" si="2"/>
        <v>98632620.22678573</v>
      </c>
      <c r="I43" s="146">
        <f t="shared" si="2"/>
        <v>18299703.326348927</v>
      </c>
      <c r="J43" s="147">
        <f t="shared" si="2"/>
        <v>443274.12</v>
      </c>
      <c r="K43" s="146">
        <f t="shared" si="2"/>
        <v>116459.81</v>
      </c>
      <c r="L43" s="147">
        <f t="shared" si="2"/>
        <v>40789.28</v>
      </c>
      <c r="M43" s="146">
        <f aca="true" t="shared" si="3" ref="M43:N55">+M10-M26</f>
        <v>207658.31</v>
      </c>
      <c r="N43" s="147">
        <f t="shared" si="3"/>
        <v>4183508.4913232992</v>
      </c>
      <c r="O43" s="146">
        <f aca="true" t="shared" si="4" ref="O43:P55">+O10-O26</f>
        <v>1274832.8695299304</v>
      </c>
      <c r="P43" s="147">
        <f t="shared" si="4"/>
        <v>1219192.8541853179</v>
      </c>
    </row>
    <row r="44" spans="1:16" ht="15">
      <c r="A44" s="115" t="s">
        <v>163</v>
      </c>
      <c r="B44" s="128" t="str">
        <f>B11</f>
        <v>January 2013</v>
      </c>
      <c r="C44" s="148">
        <f t="shared" si="2"/>
        <v>6198229.770000001</v>
      </c>
      <c r="D44" s="142">
        <f t="shared" si="2"/>
        <v>3064235.4799999995</v>
      </c>
      <c r="E44" s="148">
        <f t="shared" si="2"/>
        <v>4213259.57</v>
      </c>
      <c r="F44" s="142">
        <f t="shared" si="2"/>
        <v>7276580.159999999</v>
      </c>
      <c r="G44" s="148">
        <f t="shared" si="2"/>
        <v>31083060.760863304</v>
      </c>
      <c r="H44" s="142">
        <f t="shared" si="2"/>
        <v>104892800.72786379</v>
      </c>
      <c r="I44" s="148">
        <f t="shared" si="2"/>
        <v>19704312.17390419</v>
      </c>
      <c r="J44" s="142">
        <f t="shared" si="2"/>
        <v>442249.42</v>
      </c>
      <c r="K44" s="148">
        <f t="shared" si="2"/>
        <v>116180.25</v>
      </c>
      <c r="L44" s="142">
        <f t="shared" si="2"/>
        <v>40696.11</v>
      </c>
      <c r="M44" s="148">
        <f t="shared" si="3"/>
        <v>207245.21</v>
      </c>
      <c r="N44" s="142">
        <f t="shared" si="3"/>
        <v>4177970.1549484753</v>
      </c>
      <c r="O44" s="148">
        <f t="shared" si="4"/>
        <v>1322814.7804578668</v>
      </c>
      <c r="P44" s="142">
        <f t="shared" si="4"/>
        <v>1219142.6546710571</v>
      </c>
    </row>
    <row r="45" spans="1:16" ht="15">
      <c r="A45" s="115"/>
      <c r="B45" s="122" t="s">
        <v>149</v>
      </c>
      <c r="C45" s="148">
        <f t="shared" si="2"/>
        <v>6182750.320000001</v>
      </c>
      <c r="D45" s="142">
        <f t="shared" si="2"/>
        <v>3056601.9299999997</v>
      </c>
      <c r="E45" s="148">
        <f t="shared" si="2"/>
        <v>4203493.465</v>
      </c>
      <c r="F45" s="142">
        <f t="shared" si="2"/>
        <v>7259713.449999999</v>
      </c>
      <c r="G45" s="148">
        <f t="shared" si="2"/>
        <v>31091037.940688916</v>
      </c>
      <c r="H45" s="142">
        <f t="shared" si="2"/>
        <v>111084032.22894184</v>
      </c>
      <c r="I45" s="148">
        <f t="shared" si="2"/>
        <v>22118521.896316867</v>
      </c>
      <c r="J45" s="142">
        <f t="shared" si="2"/>
        <v>441224.72</v>
      </c>
      <c r="K45" s="148">
        <f t="shared" si="2"/>
        <v>115900.69</v>
      </c>
      <c r="L45" s="142">
        <f t="shared" si="2"/>
        <v>40602.939999999995</v>
      </c>
      <c r="M45" s="148">
        <f t="shared" si="3"/>
        <v>206832.11</v>
      </c>
      <c r="N45" s="142">
        <f t="shared" si="3"/>
        <v>4172431.8185736514</v>
      </c>
      <c r="O45" s="148">
        <f t="shared" si="4"/>
        <v>1370796.6913858033</v>
      </c>
      <c r="P45" s="142">
        <f t="shared" si="4"/>
        <v>1287721.9672718996</v>
      </c>
    </row>
    <row r="46" spans="1:16" ht="15">
      <c r="A46" s="115"/>
      <c r="B46" s="122" t="s">
        <v>150</v>
      </c>
      <c r="C46" s="148">
        <f t="shared" si="2"/>
        <v>6167270.870000001</v>
      </c>
      <c r="D46" s="142">
        <f t="shared" si="2"/>
        <v>3048968.38</v>
      </c>
      <c r="E46" s="148">
        <f t="shared" si="2"/>
        <v>4193727.36</v>
      </c>
      <c r="F46" s="142">
        <f t="shared" si="2"/>
        <v>7242846.739999999</v>
      </c>
      <c r="G46" s="148">
        <f t="shared" si="2"/>
        <v>31098928.18005943</v>
      </c>
      <c r="H46" s="142">
        <f>+H13-H29</f>
        <v>116524029.73001988</v>
      </c>
      <c r="I46" s="148">
        <f t="shared" si="2"/>
        <v>23967331.61872954</v>
      </c>
      <c r="J46" s="142">
        <f t="shared" si="2"/>
        <v>440200.02</v>
      </c>
      <c r="K46" s="148">
        <f t="shared" si="2"/>
        <v>115621.13</v>
      </c>
      <c r="L46" s="142">
        <f t="shared" si="2"/>
        <v>40509.77</v>
      </c>
      <c r="M46" s="148">
        <f t="shared" si="3"/>
        <v>206419.01</v>
      </c>
      <c r="N46" s="142">
        <f t="shared" si="3"/>
        <v>4166893.4821988274</v>
      </c>
      <c r="O46" s="148">
        <f t="shared" si="4"/>
        <v>1386778.6023137397</v>
      </c>
      <c r="P46" s="142">
        <f t="shared" si="4"/>
        <v>2040059.9090758336</v>
      </c>
    </row>
    <row r="47" spans="1:16" ht="15">
      <c r="A47" s="115"/>
      <c r="B47" s="122" t="s">
        <v>151</v>
      </c>
      <c r="C47" s="148">
        <f t="shared" si="2"/>
        <v>6151791.420000001</v>
      </c>
      <c r="D47" s="142">
        <f t="shared" si="2"/>
        <v>3041334.8299999996</v>
      </c>
      <c r="E47" s="148">
        <f t="shared" si="2"/>
        <v>4183961.255</v>
      </c>
      <c r="F47" s="142">
        <f t="shared" si="2"/>
        <v>7225980.029999999</v>
      </c>
      <c r="G47" s="148">
        <f t="shared" si="2"/>
        <v>31061784.793726075</v>
      </c>
      <c r="H47" s="142">
        <f t="shared" si="2"/>
        <v>121611913.23109792</v>
      </c>
      <c r="I47" s="148">
        <f t="shared" si="2"/>
        <v>25790341.341142215</v>
      </c>
      <c r="J47" s="142">
        <f t="shared" si="2"/>
        <v>439175.32</v>
      </c>
      <c r="K47" s="148">
        <f t="shared" si="2"/>
        <v>115341.57</v>
      </c>
      <c r="L47" s="142">
        <f t="shared" si="2"/>
        <v>40416.6</v>
      </c>
      <c r="M47" s="148">
        <f t="shared" si="3"/>
        <v>206005.91</v>
      </c>
      <c r="N47" s="142">
        <f t="shared" si="3"/>
        <v>4161355.145824003</v>
      </c>
      <c r="O47" s="148">
        <f t="shared" si="4"/>
        <v>1434760.5132416761</v>
      </c>
      <c r="P47" s="142">
        <f t="shared" si="4"/>
        <v>3151017.624793787</v>
      </c>
    </row>
    <row r="48" spans="1:16" ht="15">
      <c r="A48" s="115"/>
      <c r="B48" s="122" t="s">
        <v>152</v>
      </c>
      <c r="C48" s="148">
        <f t="shared" si="2"/>
        <v>6136311.970000001</v>
      </c>
      <c r="D48" s="142">
        <f t="shared" si="2"/>
        <v>3033701.28</v>
      </c>
      <c r="E48" s="148">
        <f t="shared" si="2"/>
        <v>4174195.15</v>
      </c>
      <c r="F48" s="142">
        <f t="shared" si="2"/>
        <v>7209113.319999999</v>
      </c>
      <c r="G48" s="148">
        <f t="shared" si="2"/>
        <v>31020904.02010141</v>
      </c>
      <c r="H48" s="142">
        <f t="shared" si="2"/>
        <v>126340966.73217598</v>
      </c>
      <c r="I48" s="148">
        <f t="shared" si="2"/>
        <v>27562051.063554887</v>
      </c>
      <c r="J48" s="142">
        <f t="shared" si="2"/>
        <v>438150.62</v>
      </c>
      <c r="K48" s="148">
        <f t="shared" si="2"/>
        <v>115062.01000000001</v>
      </c>
      <c r="L48" s="142">
        <f t="shared" si="2"/>
        <v>40323.43</v>
      </c>
      <c r="M48" s="148">
        <f t="shared" si="3"/>
        <v>205592.81</v>
      </c>
      <c r="N48" s="142">
        <f t="shared" si="3"/>
        <v>4155816.809449179</v>
      </c>
      <c r="O48" s="148">
        <f t="shared" si="4"/>
        <v>1457742.4241696126</v>
      </c>
      <c r="P48" s="142">
        <f t="shared" si="4"/>
        <v>6223846.259452776</v>
      </c>
    </row>
    <row r="49" spans="1:16" ht="15">
      <c r="A49" s="115"/>
      <c r="B49" s="122" t="s">
        <v>153</v>
      </c>
      <c r="C49" s="148">
        <f t="shared" si="2"/>
        <v>6120832.520000001</v>
      </c>
      <c r="D49" s="142">
        <f t="shared" si="2"/>
        <v>3026067.7299999995</v>
      </c>
      <c r="E49" s="148">
        <f t="shared" si="2"/>
        <v>4164429.045</v>
      </c>
      <c r="F49" s="142">
        <f t="shared" si="2"/>
        <v>7192246.609999999</v>
      </c>
      <c r="G49" s="148">
        <f t="shared" si="2"/>
        <v>31012131.54703323</v>
      </c>
      <c r="H49" s="142">
        <f t="shared" si="2"/>
        <v>128973580.85537016</v>
      </c>
      <c r="I49" s="148">
        <f t="shared" si="2"/>
        <v>29350960.78596756</v>
      </c>
      <c r="J49" s="142">
        <f t="shared" si="2"/>
        <v>437125.92</v>
      </c>
      <c r="K49" s="148">
        <f t="shared" si="2"/>
        <v>114782.45</v>
      </c>
      <c r="L49" s="142">
        <f t="shared" si="2"/>
        <v>40230.259999999995</v>
      </c>
      <c r="M49" s="148">
        <f t="shared" si="3"/>
        <v>205179.71</v>
      </c>
      <c r="N49" s="142">
        <f t="shared" si="3"/>
        <v>4150278.473074355</v>
      </c>
      <c r="O49" s="148">
        <f t="shared" si="4"/>
        <v>10571487.862738183</v>
      </c>
      <c r="P49" s="142">
        <f t="shared" si="4"/>
        <v>14414171.074267419</v>
      </c>
    </row>
    <row r="50" spans="1:16" ht="15">
      <c r="A50" s="115"/>
      <c r="B50" s="122" t="s">
        <v>154</v>
      </c>
      <c r="C50" s="148">
        <f t="shared" si="2"/>
        <v>6105353.070000001</v>
      </c>
      <c r="D50" s="142">
        <f t="shared" si="2"/>
        <v>3018434.1799999997</v>
      </c>
      <c r="E50" s="148">
        <f t="shared" si="2"/>
        <v>4154662.94</v>
      </c>
      <c r="F50" s="142">
        <f t="shared" si="2"/>
        <v>7175379.899999999</v>
      </c>
      <c r="G50" s="148">
        <f t="shared" si="2"/>
        <v>30970885.605336916</v>
      </c>
      <c r="H50" s="142">
        <f t="shared" si="2"/>
        <v>132772259.37123907</v>
      </c>
      <c r="I50" s="148">
        <f t="shared" si="2"/>
        <v>30497970.508380234</v>
      </c>
      <c r="J50" s="142">
        <f t="shared" si="2"/>
        <v>436101.22</v>
      </c>
      <c r="K50" s="148">
        <f t="shared" si="2"/>
        <v>114502.89</v>
      </c>
      <c r="L50" s="142">
        <f t="shared" si="2"/>
        <v>40137.09</v>
      </c>
      <c r="M50" s="148">
        <f t="shared" si="3"/>
        <v>204766.61</v>
      </c>
      <c r="N50" s="142">
        <f t="shared" si="3"/>
        <v>4144740.136699531</v>
      </c>
      <c r="O50" s="148">
        <f t="shared" si="4"/>
        <v>10562981.602958225</v>
      </c>
      <c r="P50" s="142">
        <f t="shared" si="4"/>
        <v>17534865.042215012</v>
      </c>
    </row>
    <row r="51" spans="1:16" ht="15">
      <c r="A51" s="115"/>
      <c r="B51" s="122" t="s">
        <v>155</v>
      </c>
      <c r="C51" s="148">
        <f t="shared" si="2"/>
        <v>6089873.620000001</v>
      </c>
      <c r="D51" s="142">
        <f t="shared" si="2"/>
        <v>3010800.63</v>
      </c>
      <c r="E51" s="148">
        <f t="shared" si="2"/>
        <v>4144896.835</v>
      </c>
      <c r="F51" s="142">
        <f t="shared" si="2"/>
        <v>7158513.1899999995</v>
      </c>
      <c r="G51" s="148">
        <f t="shared" si="2"/>
        <v>30929629.66164134</v>
      </c>
      <c r="H51" s="142">
        <f t="shared" si="2"/>
        <v>137441046.79911742</v>
      </c>
      <c r="I51" s="148">
        <f t="shared" si="2"/>
        <v>31006280.230792906</v>
      </c>
      <c r="J51" s="142">
        <f t="shared" si="2"/>
        <v>435076.52</v>
      </c>
      <c r="K51" s="148">
        <f t="shared" si="2"/>
        <v>114223.33</v>
      </c>
      <c r="L51" s="142">
        <f t="shared" si="2"/>
        <v>40043.92</v>
      </c>
      <c r="M51" s="148">
        <f t="shared" si="3"/>
        <v>204353.51</v>
      </c>
      <c r="N51" s="142">
        <f t="shared" si="3"/>
        <v>4139201.8003247073</v>
      </c>
      <c r="O51" s="148">
        <f t="shared" si="4"/>
        <v>10576008.137165887</v>
      </c>
      <c r="P51" s="142">
        <f t="shared" si="4"/>
        <v>17498512.929404847</v>
      </c>
    </row>
    <row r="52" spans="1:16" ht="15">
      <c r="A52" s="115"/>
      <c r="B52" s="122" t="s">
        <v>156</v>
      </c>
      <c r="C52" s="148">
        <f t="shared" si="2"/>
        <v>6074394.170000001</v>
      </c>
      <c r="D52" s="142">
        <f t="shared" si="2"/>
        <v>3003167.0799999996</v>
      </c>
      <c r="E52" s="148">
        <f t="shared" si="2"/>
        <v>4135130.73</v>
      </c>
      <c r="F52" s="142">
        <f t="shared" si="2"/>
        <v>7141646.4799999995</v>
      </c>
      <c r="G52" s="148">
        <f t="shared" si="2"/>
        <v>30888265.79288496</v>
      </c>
      <c r="H52" s="142">
        <f t="shared" si="2"/>
        <v>141504130.3684465</v>
      </c>
      <c r="I52" s="148">
        <f t="shared" si="2"/>
        <v>32184706.357664786</v>
      </c>
      <c r="J52" s="142">
        <f t="shared" si="2"/>
        <v>434051.82</v>
      </c>
      <c r="K52" s="148">
        <f t="shared" si="2"/>
        <v>113943.77</v>
      </c>
      <c r="L52" s="142">
        <f t="shared" si="2"/>
        <v>39950.75</v>
      </c>
      <c r="M52" s="148">
        <f t="shared" si="3"/>
        <v>203940.41</v>
      </c>
      <c r="N52" s="142">
        <f t="shared" si="3"/>
        <v>4133663.463949883</v>
      </c>
      <c r="O52" s="148">
        <f t="shared" si="4"/>
        <v>10553912.451350335</v>
      </c>
      <c r="P52" s="142">
        <f t="shared" si="4"/>
        <v>17471283.368629515</v>
      </c>
    </row>
    <row r="53" spans="1:16" ht="15">
      <c r="A53" s="115"/>
      <c r="B53" s="122" t="s">
        <v>157</v>
      </c>
      <c r="C53" s="148">
        <f t="shared" si="2"/>
        <v>6058914.720000001</v>
      </c>
      <c r="D53" s="142">
        <f t="shared" si="2"/>
        <v>2995533.53</v>
      </c>
      <c r="E53" s="148">
        <f>+E20-E36</f>
        <v>4125364.625</v>
      </c>
      <c r="F53" s="142">
        <f t="shared" si="2"/>
        <v>7124779.77</v>
      </c>
      <c r="G53" s="148">
        <f t="shared" si="2"/>
        <v>30885865.454500813</v>
      </c>
      <c r="H53" s="142">
        <f t="shared" si="2"/>
        <v>145467218.9377756</v>
      </c>
      <c r="I53" s="148">
        <f t="shared" si="2"/>
        <v>43323448.88899587</v>
      </c>
      <c r="J53" s="142">
        <f t="shared" si="2"/>
        <v>433027.12</v>
      </c>
      <c r="K53" s="148">
        <f t="shared" si="2"/>
        <v>113664.21</v>
      </c>
      <c r="L53" s="142">
        <f t="shared" si="2"/>
        <v>39857.579999999994</v>
      </c>
      <c r="M53" s="148">
        <f t="shared" si="3"/>
        <v>203527.31</v>
      </c>
      <c r="N53" s="142">
        <f t="shared" si="3"/>
        <v>4128125.127575059</v>
      </c>
      <c r="O53" s="148">
        <f t="shared" si="4"/>
        <v>10531816.765534783</v>
      </c>
      <c r="P53" s="142">
        <f t="shared" si="4"/>
        <v>17719895.838370368</v>
      </c>
    </row>
    <row r="54" spans="1:16" ht="15">
      <c r="A54" s="115"/>
      <c r="B54" s="122" t="s">
        <v>158</v>
      </c>
      <c r="C54" s="148">
        <f t="shared" si="2"/>
        <v>6043435.2700000005</v>
      </c>
      <c r="D54" s="142">
        <f t="shared" si="2"/>
        <v>2987899.9799999995</v>
      </c>
      <c r="E54" s="148">
        <f t="shared" si="2"/>
        <v>4115598.52</v>
      </c>
      <c r="F54" s="142">
        <f t="shared" si="2"/>
        <v>7107913.06</v>
      </c>
      <c r="G54" s="148">
        <f t="shared" si="2"/>
        <v>30838643.185857788</v>
      </c>
      <c r="H54" s="142">
        <f t="shared" si="2"/>
        <v>149427218.5071047</v>
      </c>
      <c r="I54" s="148">
        <f t="shared" si="2"/>
        <v>54760591.42032695</v>
      </c>
      <c r="J54" s="142">
        <f t="shared" si="2"/>
        <v>432002.42</v>
      </c>
      <c r="K54" s="148">
        <f t="shared" si="2"/>
        <v>113384.65</v>
      </c>
      <c r="L54" s="142">
        <f t="shared" si="2"/>
        <v>39764.409999999996</v>
      </c>
      <c r="M54" s="148">
        <f t="shared" si="3"/>
        <v>203114.21</v>
      </c>
      <c r="N54" s="142">
        <f t="shared" si="3"/>
        <v>4122586.791200235</v>
      </c>
      <c r="O54" s="148">
        <f t="shared" si="4"/>
        <v>10509721.07971923</v>
      </c>
      <c r="P54" s="142">
        <f t="shared" si="4"/>
        <v>17705157.373484395</v>
      </c>
    </row>
    <row r="55" spans="1:16" ht="15">
      <c r="A55" s="118"/>
      <c r="B55" s="129" t="str">
        <f>+B38</f>
        <v>December 2013</v>
      </c>
      <c r="C55" s="148">
        <f t="shared" si="2"/>
        <v>6027955.82</v>
      </c>
      <c r="D55" s="142">
        <f t="shared" si="2"/>
        <v>2980266.4300000006</v>
      </c>
      <c r="E55" s="148">
        <f t="shared" si="2"/>
        <v>4105832.415</v>
      </c>
      <c r="F55" s="142">
        <f t="shared" si="2"/>
        <v>7091046.35</v>
      </c>
      <c r="G55" s="148">
        <f t="shared" si="2"/>
        <v>30793084.839876458</v>
      </c>
      <c r="H55" s="142">
        <f t="shared" si="2"/>
        <v>153153924.0764338</v>
      </c>
      <c r="I55" s="148">
        <f t="shared" si="2"/>
        <v>66793433.95165803</v>
      </c>
      <c r="J55" s="142">
        <f t="shared" si="2"/>
        <v>430977.72</v>
      </c>
      <c r="K55" s="148">
        <f t="shared" si="2"/>
        <v>113105.09</v>
      </c>
      <c r="L55" s="142">
        <f t="shared" si="2"/>
        <v>39671.24</v>
      </c>
      <c r="M55" s="148">
        <f t="shared" si="3"/>
        <v>202701.11</v>
      </c>
      <c r="N55" s="142">
        <f t="shared" si="3"/>
        <v>4117048.454825411</v>
      </c>
      <c r="O55" s="148">
        <f t="shared" si="4"/>
        <v>10487625.393903678</v>
      </c>
      <c r="P55" s="142">
        <f t="shared" si="4"/>
        <v>17678422.96288933</v>
      </c>
    </row>
    <row r="56" spans="1:16" ht="15">
      <c r="A56" s="120"/>
      <c r="B56" s="121" t="s">
        <v>159</v>
      </c>
      <c r="C56" s="139">
        <f>AVERAGE(C43:C55)</f>
        <v>6120832.520000001</v>
      </c>
      <c r="D56" s="140">
        <f>AVERAGE(D43:D55)</f>
        <v>3026067.7299999995</v>
      </c>
      <c r="E56" s="139">
        <f aca="true" t="shared" si="5" ref="E56:L56">AVERAGE(E43:E55)</f>
        <v>4164429.0449999995</v>
      </c>
      <c r="F56" s="140">
        <f t="shared" si="5"/>
        <v>7192246.6099999985</v>
      </c>
      <c r="G56" s="139">
        <f t="shared" si="5"/>
        <v>30990100.073947888</v>
      </c>
      <c r="H56" s="140">
        <f t="shared" si="5"/>
        <v>128294287.8301825</v>
      </c>
      <c r="I56" s="139">
        <f t="shared" si="5"/>
        <v>32719973.351060227</v>
      </c>
      <c r="J56" s="140">
        <f t="shared" si="5"/>
        <v>437125.92</v>
      </c>
      <c r="K56" s="139">
        <f t="shared" si="5"/>
        <v>114782.44999999998</v>
      </c>
      <c r="L56" s="140">
        <f t="shared" si="5"/>
        <v>40230.259999999995</v>
      </c>
      <c r="M56" s="139">
        <f>AVERAGE(M43:M55)</f>
        <v>205179.71</v>
      </c>
      <c r="N56" s="140">
        <f>AVERAGE(N43:N55)</f>
        <v>4150278.4730743547</v>
      </c>
      <c r="O56" s="139">
        <f>AVERAGE(O43:O55)</f>
        <v>6310867.628805303</v>
      </c>
      <c r="P56" s="140">
        <f>AVERAGE(P43:P55)</f>
        <v>10397176.142977811</v>
      </c>
    </row>
    <row r="57" spans="1:16" ht="15">
      <c r="A57" s="120"/>
      <c r="B57" s="125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15">
      <c r="A58" s="120"/>
      <c r="B58" s="13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</row>
    <row r="59" spans="1:16" ht="15">
      <c r="A59" s="131" t="s">
        <v>164</v>
      </c>
      <c r="B59" s="132" t="s">
        <v>38</v>
      </c>
      <c r="C59" s="155">
        <v>185753</v>
      </c>
      <c r="D59" s="156">
        <v>91603</v>
      </c>
      <c r="E59" s="157">
        <v>117193</v>
      </c>
      <c r="F59" s="156">
        <v>202401</v>
      </c>
      <c r="G59" s="157">
        <v>570814.3388754819</v>
      </c>
      <c r="H59" s="156">
        <v>766040</v>
      </c>
      <c r="I59" s="157">
        <v>119569</v>
      </c>
      <c r="J59" s="156">
        <v>12296</v>
      </c>
      <c r="K59" s="157">
        <v>3355</v>
      </c>
      <c r="L59" s="158">
        <v>1118</v>
      </c>
      <c r="M59" s="157">
        <v>4957</v>
      </c>
      <c r="N59" s="158">
        <v>66460</v>
      </c>
      <c r="O59" s="157">
        <v>154540</v>
      </c>
      <c r="P59" s="158">
        <v>185644</v>
      </c>
    </row>
    <row r="60" spans="1:16" ht="15">
      <c r="A60" s="118" t="s">
        <v>165</v>
      </c>
      <c r="B60" s="133" t="s">
        <v>166</v>
      </c>
      <c r="C60" s="153">
        <v>0</v>
      </c>
      <c r="D60" s="154">
        <v>0</v>
      </c>
      <c r="E60" s="159">
        <v>0</v>
      </c>
      <c r="F60" s="160">
        <v>0</v>
      </c>
      <c r="G60" s="159">
        <v>0</v>
      </c>
      <c r="H60" s="160">
        <v>0</v>
      </c>
      <c r="I60" s="159">
        <v>0</v>
      </c>
      <c r="J60" s="160">
        <v>0</v>
      </c>
      <c r="K60" s="159">
        <v>0</v>
      </c>
      <c r="L60" s="161">
        <v>0</v>
      </c>
      <c r="M60" s="159">
        <v>0</v>
      </c>
      <c r="N60" s="161">
        <v>0</v>
      </c>
      <c r="O60" s="159">
        <v>0</v>
      </c>
      <c r="P60" s="161">
        <v>0</v>
      </c>
    </row>
    <row r="61" spans="1:16" ht="15">
      <c r="A61" s="105"/>
      <c r="B61" s="121" t="s">
        <v>167</v>
      </c>
      <c r="C61" s="139">
        <f>+C59+C60</f>
        <v>185753</v>
      </c>
      <c r="D61" s="140">
        <f>+D59+D60</f>
        <v>91603</v>
      </c>
      <c r="E61" s="139">
        <f aca="true" t="shared" si="6" ref="E61:L61">+E59+E60</f>
        <v>117193</v>
      </c>
      <c r="F61" s="140">
        <f t="shared" si="6"/>
        <v>202401</v>
      </c>
      <c r="G61" s="139">
        <f t="shared" si="6"/>
        <v>570814.3388754819</v>
      </c>
      <c r="H61" s="140">
        <f t="shared" si="6"/>
        <v>766040</v>
      </c>
      <c r="I61" s="139">
        <f t="shared" si="6"/>
        <v>119569</v>
      </c>
      <c r="J61" s="140">
        <f t="shared" si="6"/>
        <v>12296</v>
      </c>
      <c r="K61" s="139">
        <f t="shared" si="6"/>
        <v>3355</v>
      </c>
      <c r="L61" s="140">
        <f t="shared" si="6"/>
        <v>1118</v>
      </c>
      <c r="M61" s="139">
        <f>+M59+M60</f>
        <v>4957</v>
      </c>
      <c r="N61" s="140">
        <f>+N59+N60</f>
        <v>66460</v>
      </c>
      <c r="O61" s="139">
        <f>+O59+O60</f>
        <v>154540</v>
      </c>
      <c r="P61" s="140">
        <f>+P59+P60</f>
        <v>185644</v>
      </c>
    </row>
    <row r="62" spans="5:7" ht="15">
      <c r="E62" s="134"/>
      <c r="G62" s="98"/>
    </row>
    <row r="63" s="162" customFormat="1" ht="12.75"/>
    <row r="64" s="162" customFormat="1" ht="12.75"/>
    <row r="65" s="162" customFormat="1" ht="12.75"/>
  </sheetData>
  <dataValidations count="1">
    <dataValidation type="list" allowBlank="1" showInputMessage="1" showErrorMessage="1" sqref="C9:P9">
      <formula1>$Q$6:$Q$7</formula1>
    </dataValidation>
  </dataValidations>
  <printOptions/>
  <pageMargins left="0.5" right="0.5" top="0.75" bottom="0.7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36"/>
  <sheetViews>
    <sheetView showGridLines="0" workbookViewId="0" topLeftCell="A1">
      <selection activeCell="D14" sqref="D14"/>
    </sheetView>
  </sheetViews>
  <sheetFormatPr defaultColWidth="8.88671875" defaultRowHeight="15"/>
  <cols>
    <col min="1" max="2" width="8.21484375" style="108" customWidth="1"/>
    <col min="3" max="3" width="7.77734375" style="108" customWidth="1"/>
    <col min="4" max="4" width="87.4453125" style="108" customWidth="1"/>
    <col min="5" max="16384" width="8.88671875" style="108" customWidth="1"/>
  </cols>
  <sheetData>
    <row r="1" spans="1:2" ht="12.75">
      <c r="A1" s="135" t="s">
        <v>168</v>
      </c>
      <c r="B1" s="135"/>
    </row>
    <row r="3" spans="1:4" ht="25.5">
      <c r="A3" s="172" t="s">
        <v>143</v>
      </c>
      <c r="B3" s="172" t="s">
        <v>215</v>
      </c>
      <c r="C3" s="172" t="s">
        <v>169</v>
      </c>
      <c r="D3" s="163" t="s">
        <v>170</v>
      </c>
    </row>
    <row r="4" spans="1:4" ht="12.75">
      <c r="A4" s="164">
        <v>1366</v>
      </c>
      <c r="B4" s="175">
        <v>2277</v>
      </c>
      <c r="C4" s="165"/>
      <c r="D4" s="166" t="s">
        <v>182</v>
      </c>
    </row>
    <row r="5" spans="1:4" ht="12.75">
      <c r="A5" s="164">
        <v>1366</v>
      </c>
      <c r="B5" s="164">
        <v>2280</v>
      </c>
      <c r="C5" s="167"/>
      <c r="D5" s="166" t="s">
        <v>183</v>
      </c>
    </row>
    <row r="6" spans="1:4" ht="12.75">
      <c r="A6" s="164">
        <v>1366</v>
      </c>
      <c r="B6" s="164">
        <v>2281</v>
      </c>
      <c r="C6" s="167"/>
      <c r="D6" s="166" t="s">
        <v>184</v>
      </c>
    </row>
    <row r="7" spans="1:4" ht="12.75">
      <c r="A7" s="164">
        <v>1456</v>
      </c>
      <c r="B7" s="164">
        <v>2490</v>
      </c>
      <c r="C7" s="167"/>
      <c r="D7" s="166" t="s">
        <v>185</v>
      </c>
    </row>
    <row r="8" spans="1:4" ht="25.5">
      <c r="A8" s="164">
        <v>1456</v>
      </c>
      <c r="B8" s="164">
        <v>2491</v>
      </c>
      <c r="C8" s="167"/>
      <c r="D8" s="166" t="s">
        <v>186</v>
      </c>
    </row>
    <row r="9" spans="1:4" ht="12.75">
      <c r="A9" s="164">
        <v>1457</v>
      </c>
      <c r="B9" s="164">
        <v>2303</v>
      </c>
      <c r="C9" s="167"/>
      <c r="D9" s="166" t="s">
        <v>187</v>
      </c>
    </row>
    <row r="10" spans="1:4" ht="12.75">
      <c r="A10" s="164">
        <v>1457</v>
      </c>
      <c r="B10" s="164">
        <v>2550</v>
      </c>
      <c r="C10" s="167"/>
      <c r="D10" s="166" t="s">
        <v>188</v>
      </c>
    </row>
    <row r="11" spans="1:4" ht="12.75">
      <c r="A11" s="164">
        <v>1457</v>
      </c>
      <c r="B11" s="164">
        <v>2552</v>
      </c>
      <c r="C11" s="167"/>
      <c r="D11" s="166" t="s">
        <v>189</v>
      </c>
    </row>
    <row r="12" spans="1:4" ht="12.75">
      <c r="A12" s="164">
        <v>1457</v>
      </c>
      <c r="B12" s="164">
        <v>2565</v>
      </c>
      <c r="C12" s="167"/>
      <c r="D12" s="166" t="s">
        <v>190</v>
      </c>
    </row>
    <row r="13" spans="1:4" ht="12.75">
      <c r="A13" s="164">
        <v>1953</v>
      </c>
      <c r="B13" s="164">
        <v>3834</v>
      </c>
      <c r="C13" s="167"/>
      <c r="D13" s="166" t="s">
        <v>191</v>
      </c>
    </row>
    <row r="14" spans="1:4" ht="25.5">
      <c r="A14" s="164">
        <v>279</v>
      </c>
      <c r="B14" s="164">
        <v>1098</v>
      </c>
      <c r="C14" s="167"/>
      <c r="D14" s="166" t="s">
        <v>192</v>
      </c>
    </row>
    <row r="15" spans="1:4" ht="12.75">
      <c r="A15" s="164">
        <v>286</v>
      </c>
      <c r="B15" s="164">
        <v>1104</v>
      </c>
      <c r="C15" s="167"/>
      <c r="D15" s="166" t="s">
        <v>193</v>
      </c>
    </row>
    <row r="16" spans="1:4" ht="12.75">
      <c r="A16" s="164">
        <v>286</v>
      </c>
      <c r="B16" s="164">
        <v>1105</v>
      </c>
      <c r="C16" s="167"/>
      <c r="D16" s="166" t="s">
        <v>194</v>
      </c>
    </row>
    <row r="17" spans="1:4" ht="12.75">
      <c r="A17" s="164">
        <v>286</v>
      </c>
      <c r="B17" s="164">
        <v>2640</v>
      </c>
      <c r="C17" s="167"/>
      <c r="D17" s="166" t="s">
        <v>195</v>
      </c>
    </row>
    <row r="18" spans="1:4" ht="12.75">
      <c r="A18" s="164">
        <v>286</v>
      </c>
      <c r="B18" s="164">
        <v>2641</v>
      </c>
      <c r="C18" s="167"/>
      <c r="D18" s="166" t="s">
        <v>196</v>
      </c>
    </row>
    <row r="19" spans="1:4" ht="12.75">
      <c r="A19" s="164">
        <v>286</v>
      </c>
      <c r="B19" s="164">
        <v>2976</v>
      </c>
      <c r="C19" s="167"/>
      <c r="D19" s="166" t="s">
        <v>197</v>
      </c>
    </row>
    <row r="20" spans="1:4" ht="12.75">
      <c r="A20" s="164">
        <v>1024</v>
      </c>
      <c r="B20" s="164">
        <v>1675</v>
      </c>
      <c r="C20" s="167"/>
      <c r="D20" s="166" t="s">
        <v>198</v>
      </c>
    </row>
    <row r="21" spans="1:4" ht="12.75">
      <c r="A21" s="164">
        <v>1024</v>
      </c>
      <c r="B21" s="164">
        <v>1676</v>
      </c>
      <c r="C21" s="167"/>
      <c r="D21" s="166" t="s">
        <v>199</v>
      </c>
    </row>
    <row r="22" spans="1:4" ht="12.75">
      <c r="A22" s="168">
        <v>1024</v>
      </c>
      <c r="B22" s="168">
        <v>1677</v>
      </c>
      <c r="C22" s="167"/>
      <c r="D22" s="169" t="s">
        <v>200</v>
      </c>
    </row>
    <row r="23" spans="1:4" ht="12.75">
      <c r="A23" s="168">
        <v>1024</v>
      </c>
      <c r="B23" s="168">
        <v>2647</v>
      </c>
      <c r="C23" s="167"/>
      <c r="D23" s="170" t="s">
        <v>201</v>
      </c>
    </row>
    <row r="24" spans="1:4" ht="12.75">
      <c r="A24" s="168">
        <v>1458</v>
      </c>
      <c r="B24" s="168">
        <v>2299</v>
      </c>
      <c r="C24" s="167"/>
      <c r="D24" s="170" t="s">
        <v>202</v>
      </c>
    </row>
    <row r="25" spans="1:4" ht="12.75">
      <c r="A25" s="168">
        <v>1458</v>
      </c>
      <c r="B25" s="168">
        <v>2553</v>
      </c>
      <c r="C25" s="167"/>
      <c r="D25" s="170" t="s">
        <v>203</v>
      </c>
    </row>
    <row r="26" spans="1:4" ht="12.75">
      <c r="A26" s="168">
        <v>1458</v>
      </c>
      <c r="B26" s="168">
        <v>2554</v>
      </c>
      <c r="C26" s="167"/>
      <c r="D26" s="170" t="s">
        <v>204</v>
      </c>
    </row>
    <row r="27" spans="1:4" ht="12.75">
      <c r="A27" s="168">
        <v>1458</v>
      </c>
      <c r="B27" s="168">
        <v>2566</v>
      </c>
      <c r="C27" s="167"/>
      <c r="D27" s="170" t="s">
        <v>205</v>
      </c>
    </row>
    <row r="28" spans="1:4" ht="12.75">
      <c r="A28" s="168">
        <v>2765</v>
      </c>
      <c r="B28" s="168">
        <v>4792</v>
      </c>
      <c r="C28" s="167"/>
      <c r="D28" s="170" t="s">
        <v>206</v>
      </c>
    </row>
    <row r="29" spans="1:4" ht="25.5">
      <c r="A29" s="168">
        <v>2109</v>
      </c>
      <c r="B29" s="168">
        <v>2825</v>
      </c>
      <c r="C29" s="167"/>
      <c r="D29" s="166" t="s">
        <v>214</v>
      </c>
    </row>
    <row r="30" spans="1:4" ht="25.5">
      <c r="A30" s="168">
        <v>2119</v>
      </c>
      <c r="B30" s="168">
        <v>2851</v>
      </c>
      <c r="C30" s="167"/>
      <c r="D30" s="171" t="s">
        <v>213</v>
      </c>
    </row>
    <row r="31" spans="1:4" ht="12.75">
      <c r="A31" s="168">
        <v>2178</v>
      </c>
      <c r="B31" s="168">
        <v>4021</v>
      </c>
      <c r="C31" s="167"/>
      <c r="D31" s="171" t="s">
        <v>207</v>
      </c>
    </row>
    <row r="32" spans="1:4" ht="25.5">
      <c r="A32" s="168">
        <v>2307</v>
      </c>
      <c r="B32" s="168">
        <v>4225</v>
      </c>
      <c r="C32" s="167"/>
      <c r="D32" s="171" t="s">
        <v>208</v>
      </c>
    </row>
    <row r="33" spans="1:4" ht="12.75">
      <c r="A33" s="168">
        <v>2307</v>
      </c>
      <c r="B33" s="168">
        <v>4226</v>
      </c>
      <c r="C33" s="167"/>
      <c r="D33" s="171" t="s">
        <v>209</v>
      </c>
    </row>
    <row r="34" spans="1:4" ht="12.75">
      <c r="A34" s="168">
        <v>2307</v>
      </c>
      <c r="B34" s="168">
        <v>4227</v>
      </c>
      <c r="C34" s="167"/>
      <c r="D34" s="166" t="s">
        <v>210</v>
      </c>
    </row>
    <row r="35" spans="1:4" ht="12.75">
      <c r="A35" s="173" t="s">
        <v>175</v>
      </c>
      <c r="B35" s="168">
        <v>4228</v>
      </c>
      <c r="C35" s="167"/>
      <c r="D35" s="166" t="s">
        <v>211</v>
      </c>
    </row>
    <row r="36" spans="1:4" ht="12.75">
      <c r="A36" s="173" t="s">
        <v>181</v>
      </c>
      <c r="B36" s="168">
        <v>2114</v>
      </c>
      <c r="C36" s="167"/>
      <c r="D36" s="166" t="s">
        <v>212</v>
      </c>
    </row>
  </sheetData>
  <printOptions/>
  <pageMargins left="0.25" right="0.25" top="1" bottom="0.5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BQ307"/>
  <sheetViews>
    <sheetView showGridLines="0" zoomScale="75" zoomScaleNormal="75" workbookViewId="0" topLeftCell="A1">
      <selection activeCell="A2" sqref="A2"/>
    </sheetView>
  </sheetViews>
  <sheetFormatPr defaultColWidth="8.88671875" defaultRowHeight="15"/>
  <cols>
    <col min="1" max="1" width="5.99609375" style="2" customWidth="1"/>
    <col min="2" max="2" width="1.4375" style="2" customWidth="1"/>
    <col min="3" max="3" width="16.4453125" style="2" customWidth="1"/>
    <col min="4" max="4" width="10.21484375" style="2" customWidth="1"/>
    <col min="5" max="5" width="14.6640625" style="2" customWidth="1"/>
    <col min="6" max="6" width="12.88671875" style="2" customWidth="1"/>
    <col min="7" max="7" width="13.5546875" style="2" customWidth="1"/>
    <col min="8" max="8" width="14.4453125" style="2" customWidth="1"/>
    <col min="9" max="9" width="12.3359375" style="2" customWidth="1"/>
    <col min="10" max="10" width="14.10546875" style="2" customWidth="1"/>
    <col min="11" max="11" width="14.6640625" style="2" bestFit="1" customWidth="1"/>
    <col min="12" max="12" width="13.10546875" style="2" bestFit="1" customWidth="1"/>
    <col min="13" max="13" width="12.6640625" style="2" customWidth="1"/>
    <col min="14" max="14" width="12.77734375" style="2" customWidth="1"/>
    <col min="15" max="15" width="12.4453125" style="2" customWidth="1"/>
    <col min="16" max="16" width="15.99609375" style="2" customWidth="1"/>
    <col min="17" max="17" width="12.3359375" style="2" customWidth="1"/>
    <col min="18" max="18" width="13.88671875" style="2" customWidth="1"/>
    <col min="19" max="19" width="1.88671875" style="2" customWidth="1"/>
    <col min="20" max="20" width="12.99609375" style="2" customWidth="1"/>
    <col min="21" max="21" width="11.3359375" style="2" bestFit="1" customWidth="1"/>
    <col min="22" max="16384" width="8.88671875" style="2" customWidth="1"/>
  </cols>
  <sheetData>
    <row r="1" ht="15">
      <c r="R1" s="3"/>
    </row>
    <row r="2" ht="15">
      <c r="R2" s="3"/>
    </row>
    <row r="4" ht="15">
      <c r="R4" s="3" t="s">
        <v>618</v>
      </c>
    </row>
    <row r="5" spans="3:69" ht="15">
      <c r="C5" s="17" t="s">
        <v>86</v>
      </c>
      <c r="D5" s="17"/>
      <c r="E5" s="17"/>
      <c r="F5" s="17"/>
      <c r="G5" s="17"/>
      <c r="H5" s="17"/>
      <c r="I5" s="17"/>
      <c r="J5" s="18" t="s">
        <v>1</v>
      </c>
      <c r="K5" s="18"/>
      <c r="L5" s="17"/>
      <c r="M5" s="17"/>
      <c r="N5" s="17"/>
      <c r="O5" s="19"/>
      <c r="Q5" s="20"/>
      <c r="R5" s="4" t="s">
        <v>108</v>
      </c>
      <c r="S5" s="21"/>
      <c r="T5" s="22"/>
      <c r="U5" s="22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3:69" ht="15">
      <c r="C6" s="17"/>
      <c r="D6" s="17"/>
      <c r="E6" s="17"/>
      <c r="F6" s="17"/>
      <c r="G6" s="17"/>
      <c r="H6" s="12" t="s">
        <v>4</v>
      </c>
      <c r="I6" s="12"/>
      <c r="J6" s="12" t="s">
        <v>27</v>
      </c>
      <c r="K6" s="12"/>
      <c r="L6" s="12"/>
      <c r="M6" s="12"/>
      <c r="N6" s="12"/>
      <c r="O6" s="19"/>
      <c r="Q6" s="20"/>
      <c r="R6" s="19"/>
      <c r="S6" s="21"/>
      <c r="T6" s="24"/>
      <c r="U6" s="22"/>
      <c r="V6" s="21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</row>
    <row r="7" spans="3:69" ht="1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Q7" s="20"/>
      <c r="R7" s="20" t="s">
        <v>28</v>
      </c>
      <c r="S7" s="21"/>
      <c r="T7" s="22"/>
      <c r="U7" s="22"/>
      <c r="V7" s="21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1:69" ht="15">
      <c r="A8" s="25"/>
      <c r="C8" s="20"/>
      <c r="D8" s="20"/>
      <c r="E8" s="20"/>
      <c r="F8" s="20"/>
      <c r="G8" s="20"/>
      <c r="H8" s="20"/>
      <c r="I8" s="20"/>
      <c r="J8" s="26" t="s">
        <v>107</v>
      </c>
      <c r="K8" s="26"/>
      <c r="L8" s="20"/>
      <c r="M8" s="20"/>
      <c r="N8" s="20"/>
      <c r="O8" s="20"/>
      <c r="P8" s="20"/>
      <c r="Q8" s="20"/>
      <c r="R8" s="20"/>
      <c r="S8" s="21"/>
      <c r="T8" s="22"/>
      <c r="U8" s="22"/>
      <c r="V8" s="21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1:69" ht="15">
      <c r="A9" s="25"/>
      <c r="C9" s="20"/>
      <c r="D9" s="20"/>
      <c r="E9" s="20"/>
      <c r="F9" s="20"/>
      <c r="G9" s="20"/>
      <c r="H9" s="20"/>
      <c r="I9" s="20"/>
      <c r="J9" s="27"/>
      <c r="K9" s="27"/>
      <c r="L9" s="20"/>
      <c r="M9" s="20"/>
      <c r="N9" s="20"/>
      <c r="O9" s="20"/>
      <c r="P9" s="20"/>
      <c r="Q9" s="20"/>
      <c r="R9" s="20"/>
      <c r="S9" s="21"/>
      <c r="T9" s="22"/>
      <c r="U9" s="22"/>
      <c r="V9" s="21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</row>
    <row r="10" spans="1:69" ht="15">
      <c r="A10" s="25"/>
      <c r="C10" s="20" t="s">
        <v>87</v>
      </c>
      <c r="D10" s="20"/>
      <c r="E10" s="20"/>
      <c r="F10" s="20"/>
      <c r="G10" s="20"/>
      <c r="H10" s="20"/>
      <c r="I10" s="20"/>
      <c r="J10" s="27"/>
      <c r="K10" s="27"/>
      <c r="L10" s="20"/>
      <c r="M10" s="20"/>
      <c r="N10" s="20"/>
      <c r="O10" s="20"/>
      <c r="P10" s="20"/>
      <c r="Q10" s="20"/>
      <c r="R10" s="20"/>
      <c r="S10" s="21"/>
      <c r="T10" s="22"/>
      <c r="U10" s="22"/>
      <c r="V10" s="2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ht="15">
      <c r="A11" s="25"/>
      <c r="C11" s="20" t="s">
        <v>619</v>
      </c>
      <c r="D11" s="20"/>
      <c r="E11" s="20"/>
      <c r="F11" s="20"/>
      <c r="G11" s="20"/>
      <c r="H11" s="20"/>
      <c r="I11" s="20"/>
      <c r="J11" s="27"/>
      <c r="K11" s="27"/>
      <c r="P11" s="20"/>
      <c r="Q11" s="20"/>
      <c r="R11" s="20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1:69" ht="15">
      <c r="A12" s="25"/>
      <c r="C12" s="20"/>
      <c r="D12" s="20"/>
      <c r="E12" s="20"/>
      <c r="F12" s="20"/>
      <c r="G12" s="20"/>
      <c r="H12" s="20"/>
      <c r="I12" s="20"/>
      <c r="J12" s="20"/>
      <c r="K12" s="20"/>
      <c r="P12" s="1"/>
      <c r="Q12" s="20"/>
      <c r="R12" s="20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3:69" ht="15">
      <c r="C13" s="28" t="s">
        <v>8</v>
      </c>
      <c r="D13" s="28"/>
      <c r="E13" s="28"/>
      <c r="F13" s="28"/>
      <c r="G13" s="28"/>
      <c r="H13" s="28" t="s">
        <v>9</v>
      </c>
      <c r="I13" s="28"/>
      <c r="J13" s="28" t="s">
        <v>10</v>
      </c>
      <c r="K13" s="28"/>
      <c r="L13" s="26" t="s">
        <v>11</v>
      </c>
      <c r="Q13" s="12"/>
      <c r="R13" s="26"/>
      <c r="S13" s="29"/>
      <c r="T13" s="26"/>
      <c r="U13" s="29"/>
      <c r="V13" s="3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ht="15.75">
      <c r="C14" s="14"/>
      <c r="D14" s="14"/>
      <c r="E14" s="14"/>
      <c r="F14" s="14"/>
      <c r="G14" s="14"/>
      <c r="H14" s="16" t="s">
        <v>0</v>
      </c>
      <c r="I14" s="16"/>
      <c r="J14" s="12"/>
      <c r="K14" s="12"/>
      <c r="Q14" s="12"/>
      <c r="S14" s="29"/>
      <c r="T14" s="31"/>
      <c r="U14" s="31"/>
      <c r="V14" s="30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1:69" ht="15.75">
      <c r="A15" s="25" t="s">
        <v>2</v>
      </c>
      <c r="C15" s="14"/>
      <c r="D15" s="14"/>
      <c r="E15" s="14"/>
      <c r="F15" s="14"/>
      <c r="G15" s="14"/>
      <c r="H15" s="32" t="s">
        <v>13</v>
      </c>
      <c r="I15" s="32"/>
      <c r="J15" s="33" t="s">
        <v>12</v>
      </c>
      <c r="K15" s="33"/>
      <c r="L15" s="33" t="s">
        <v>5</v>
      </c>
      <c r="Q15" s="12"/>
      <c r="S15" s="21"/>
      <c r="T15" s="34"/>
      <c r="U15" s="31"/>
      <c r="V15" s="3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9" ht="15.75">
      <c r="A16" s="25" t="s">
        <v>3</v>
      </c>
      <c r="C16" s="15"/>
      <c r="D16" s="15"/>
      <c r="E16" s="15"/>
      <c r="F16" s="15"/>
      <c r="G16" s="15"/>
      <c r="H16" s="12"/>
      <c r="I16" s="12"/>
      <c r="J16" s="12"/>
      <c r="K16" s="12"/>
      <c r="L16" s="12"/>
      <c r="Q16" s="12"/>
      <c r="R16" s="12"/>
      <c r="S16" s="21"/>
      <c r="T16" s="29"/>
      <c r="U16" s="29"/>
      <c r="V16" s="30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1:69" ht="15.75">
      <c r="A17" s="35"/>
      <c r="C17" s="14"/>
      <c r="D17" s="14"/>
      <c r="E17" s="14"/>
      <c r="F17" s="14"/>
      <c r="G17" s="14"/>
      <c r="H17" s="12"/>
      <c r="I17" s="12"/>
      <c r="J17" s="12"/>
      <c r="K17" s="12"/>
      <c r="L17" s="12"/>
      <c r="Q17" s="12"/>
      <c r="R17" s="12"/>
      <c r="S17" s="21"/>
      <c r="T17" s="29"/>
      <c r="U17" s="29"/>
      <c r="V17" s="30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69" ht="15">
      <c r="A18" s="36">
        <v>1</v>
      </c>
      <c r="C18" s="14" t="s">
        <v>29</v>
      </c>
      <c r="D18" s="14"/>
      <c r="E18" s="14"/>
      <c r="F18" s="14"/>
      <c r="G18" s="14"/>
      <c r="H18" s="13" t="s">
        <v>59</v>
      </c>
      <c r="I18" s="13"/>
      <c r="J18" s="405">
        <v>3015935881.680949</v>
      </c>
      <c r="K18" s="12"/>
      <c r="Q18" s="12"/>
      <c r="R18" s="12"/>
      <c r="S18" s="21"/>
      <c r="T18" s="29"/>
      <c r="U18" s="29"/>
      <c r="V18" s="30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69" ht="15">
      <c r="A19" s="36" t="s">
        <v>14</v>
      </c>
      <c r="C19" s="14" t="s">
        <v>620</v>
      </c>
      <c r="D19" s="14"/>
      <c r="E19" s="14"/>
      <c r="F19" s="14"/>
      <c r="G19" s="14"/>
      <c r="H19" s="13" t="s">
        <v>621</v>
      </c>
      <c r="I19" s="13"/>
      <c r="J19" s="406">
        <v>822307165.1690252</v>
      </c>
      <c r="K19" s="407"/>
      <c r="Q19" s="12"/>
      <c r="R19" s="12"/>
      <c r="S19" s="21"/>
      <c r="T19" s="29"/>
      <c r="U19" s="29"/>
      <c r="V19" s="30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ht="15">
      <c r="A20" s="36">
        <v>2</v>
      </c>
      <c r="C20" s="14" t="s">
        <v>30</v>
      </c>
      <c r="D20" s="14"/>
      <c r="E20" s="14"/>
      <c r="F20" s="14"/>
      <c r="G20" s="14"/>
      <c r="H20" s="13" t="s">
        <v>622</v>
      </c>
      <c r="I20" s="13"/>
      <c r="J20" s="408">
        <f>J18-J19</f>
        <v>2193628716.511924</v>
      </c>
      <c r="K20" s="409"/>
      <c r="Q20" s="12"/>
      <c r="R20" s="12"/>
      <c r="S20" s="21"/>
      <c r="T20" s="29"/>
      <c r="U20" s="29"/>
      <c r="V20" s="30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 ht="15">
      <c r="A21" s="36"/>
      <c r="H21" s="13"/>
      <c r="I21" s="13"/>
      <c r="Q21" s="12"/>
      <c r="R21" s="12"/>
      <c r="S21" s="21"/>
      <c r="T21" s="29"/>
      <c r="U21" s="29"/>
      <c r="V21" s="30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ht="15">
      <c r="A22" s="36"/>
      <c r="C22" s="14" t="s">
        <v>623</v>
      </c>
      <c r="D22" s="14"/>
      <c r="E22" s="14"/>
      <c r="F22" s="14"/>
      <c r="G22" s="14"/>
      <c r="H22" s="13"/>
      <c r="I22" s="13"/>
      <c r="J22" s="12"/>
      <c r="K22" s="12"/>
      <c r="L22" s="12"/>
      <c r="Q22" s="12"/>
      <c r="R22" s="12"/>
      <c r="S22" s="29"/>
      <c r="T22" s="29"/>
      <c r="U22" s="29"/>
      <c r="V22" s="30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 ht="15">
      <c r="A23" s="36">
        <v>3</v>
      </c>
      <c r="C23" s="14" t="s">
        <v>61</v>
      </c>
      <c r="D23" s="14"/>
      <c r="E23" s="14"/>
      <c r="F23" s="14"/>
      <c r="G23" s="14"/>
      <c r="H23" s="13" t="s">
        <v>60</v>
      </c>
      <c r="I23" s="13"/>
      <c r="J23" s="405">
        <v>68751800.22525635</v>
      </c>
      <c r="K23" s="12"/>
      <c r="Q23" s="12"/>
      <c r="R23" s="12"/>
      <c r="S23" s="29"/>
      <c r="T23" s="29"/>
      <c r="U23" s="29"/>
      <c r="V23" s="30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15">
      <c r="A24" s="36" t="s">
        <v>624</v>
      </c>
      <c r="C24" s="14" t="s">
        <v>625</v>
      </c>
      <c r="D24" s="14"/>
      <c r="E24" s="14"/>
      <c r="F24" s="14"/>
      <c r="G24" s="14"/>
      <c r="H24" s="13" t="s">
        <v>626</v>
      </c>
      <c r="I24" s="13"/>
      <c r="J24" s="405">
        <v>176838729.19354486</v>
      </c>
      <c r="K24" s="12"/>
      <c r="Q24" s="12"/>
      <c r="R24" s="12"/>
      <c r="S24" s="29"/>
      <c r="T24" s="29"/>
      <c r="U24" s="29"/>
      <c r="V24" s="30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1:69" ht="15">
      <c r="A25" s="36" t="s">
        <v>627</v>
      </c>
      <c r="C25" s="14" t="s">
        <v>628</v>
      </c>
      <c r="D25" s="14"/>
      <c r="E25" s="14"/>
      <c r="F25" s="14"/>
      <c r="G25" s="14"/>
      <c r="H25" s="13" t="s">
        <v>629</v>
      </c>
      <c r="I25" s="13"/>
      <c r="J25" s="405">
        <v>6853850</v>
      </c>
      <c r="K25" s="12"/>
      <c r="Q25" s="12"/>
      <c r="R25" s="12"/>
      <c r="S25" s="29"/>
      <c r="T25" s="29"/>
      <c r="U25" s="29"/>
      <c r="V25" s="30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15">
      <c r="A26" s="36" t="s">
        <v>630</v>
      </c>
      <c r="C26" s="14" t="s">
        <v>631</v>
      </c>
      <c r="D26" s="14"/>
      <c r="E26" s="14"/>
      <c r="F26" s="14"/>
      <c r="G26" s="14"/>
      <c r="H26" s="13" t="s">
        <v>632</v>
      </c>
      <c r="I26" s="13"/>
      <c r="J26" s="406">
        <v>119798357.36863329</v>
      </c>
      <c r="K26" s="407"/>
      <c r="Q26" s="12"/>
      <c r="R26" s="12"/>
      <c r="S26" s="29"/>
      <c r="T26" s="29"/>
      <c r="U26" s="29"/>
      <c r="V26" s="30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</row>
    <row r="27" spans="1:69" ht="15">
      <c r="A27" s="36" t="s">
        <v>633</v>
      </c>
      <c r="C27" s="14" t="s">
        <v>634</v>
      </c>
      <c r="D27" s="14"/>
      <c r="E27" s="14"/>
      <c r="F27" s="14"/>
      <c r="G27" s="14"/>
      <c r="H27" s="13" t="s">
        <v>635</v>
      </c>
      <c r="I27" s="13"/>
      <c r="J27" s="408">
        <f>J24-(J25+J26)</f>
        <v>50186521.82491158</v>
      </c>
      <c r="K27" s="12"/>
      <c r="Q27" s="12"/>
      <c r="R27" s="12"/>
      <c r="S27" s="29"/>
      <c r="T27" s="29"/>
      <c r="U27" s="29"/>
      <c r="V27" s="30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</row>
    <row r="28" spans="1:69" ht="15">
      <c r="A28" s="36"/>
      <c r="C28" s="14"/>
      <c r="D28" s="14"/>
      <c r="E28" s="14"/>
      <c r="F28" s="14"/>
      <c r="G28" s="14"/>
      <c r="H28" s="13"/>
      <c r="I28" s="13"/>
      <c r="J28" s="12"/>
      <c r="K28" s="12"/>
      <c r="Q28" s="12"/>
      <c r="R28" s="12"/>
      <c r="S28" s="29"/>
      <c r="T28" s="29"/>
      <c r="U28" s="29"/>
      <c r="V28" s="30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</row>
    <row r="29" spans="1:69" ht="15.75">
      <c r="A29" s="36">
        <v>4</v>
      </c>
      <c r="C29" s="15" t="s">
        <v>636</v>
      </c>
      <c r="D29" s="15"/>
      <c r="E29" s="15"/>
      <c r="F29" s="15"/>
      <c r="G29" s="14"/>
      <c r="H29" s="13" t="s">
        <v>637</v>
      </c>
      <c r="I29" s="13"/>
      <c r="J29" s="39">
        <f>IF(J27=0,0,J27/J19)</f>
        <v>0.06103135659117812</v>
      </c>
      <c r="K29" s="39"/>
      <c r="L29" s="410">
        <f>J29</f>
        <v>0.06103135659117812</v>
      </c>
      <c r="Q29" s="12"/>
      <c r="R29" s="12"/>
      <c r="S29" s="29"/>
      <c r="T29" s="29"/>
      <c r="U29" s="29"/>
      <c r="V29" s="30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</row>
    <row r="30" spans="1:69" ht="15">
      <c r="A30" s="36"/>
      <c r="C30" s="14"/>
      <c r="D30" s="14"/>
      <c r="E30" s="14"/>
      <c r="F30" s="14"/>
      <c r="G30" s="14"/>
      <c r="H30" s="13"/>
      <c r="I30" s="13"/>
      <c r="J30" s="12"/>
      <c r="K30" s="12"/>
      <c r="Q30" s="12"/>
      <c r="R30" s="12"/>
      <c r="S30" s="29"/>
      <c r="T30" s="29"/>
      <c r="U30" s="29"/>
      <c r="V30" s="30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</row>
    <row r="31" spans="1:69" ht="15">
      <c r="A31" s="36"/>
      <c r="C31" s="14"/>
      <c r="D31" s="14"/>
      <c r="E31" s="14"/>
      <c r="F31" s="14"/>
      <c r="G31" s="14"/>
      <c r="H31" s="13"/>
      <c r="I31" s="13"/>
      <c r="J31" s="12"/>
      <c r="K31" s="12"/>
      <c r="Q31" s="12"/>
      <c r="R31" s="12"/>
      <c r="S31" s="29"/>
      <c r="T31" s="29"/>
      <c r="U31" s="29"/>
      <c r="V31" s="30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ht="15.75">
      <c r="A32" s="36"/>
      <c r="C32" s="14" t="s">
        <v>638</v>
      </c>
      <c r="D32" s="14"/>
      <c r="E32" s="14"/>
      <c r="F32" s="14"/>
      <c r="G32" s="14"/>
      <c r="H32" s="13"/>
      <c r="I32" s="13"/>
      <c r="J32" s="37"/>
      <c r="K32" s="37"/>
      <c r="L32" s="38"/>
      <c r="Q32" s="12"/>
      <c r="R32" s="39"/>
      <c r="S32" s="40"/>
      <c r="T32" s="41"/>
      <c r="U32" s="29"/>
      <c r="V32" s="30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</row>
    <row r="33" spans="1:69" ht="15.75">
      <c r="A33" s="36" t="s">
        <v>639</v>
      </c>
      <c r="C33" s="14" t="s">
        <v>640</v>
      </c>
      <c r="D33" s="14"/>
      <c r="E33" s="14"/>
      <c r="F33" s="14"/>
      <c r="G33" s="14"/>
      <c r="H33" s="13" t="s">
        <v>641</v>
      </c>
      <c r="I33" s="13"/>
      <c r="J33" s="408">
        <f>J23-J27</f>
        <v>18565278.400344774</v>
      </c>
      <c r="K33" s="37"/>
      <c r="L33" s="38"/>
      <c r="Q33" s="12"/>
      <c r="R33" s="39"/>
      <c r="S33" s="40"/>
      <c r="T33" s="41"/>
      <c r="U33" s="29"/>
      <c r="V33" s="3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69" ht="15.75">
      <c r="A34" s="36" t="s">
        <v>642</v>
      </c>
      <c r="C34" s="14" t="s">
        <v>643</v>
      </c>
      <c r="D34" s="14"/>
      <c r="E34" s="14"/>
      <c r="F34" s="14"/>
      <c r="G34" s="14"/>
      <c r="H34" s="13" t="s">
        <v>644</v>
      </c>
      <c r="I34" s="13"/>
      <c r="J34" s="37">
        <f>IF(J33=0,0,J33/J18)</f>
        <v>0.006155727153588328</v>
      </c>
      <c r="K34" s="37"/>
      <c r="L34" s="38">
        <f>J34</f>
        <v>0.006155727153588328</v>
      </c>
      <c r="Q34" s="12"/>
      <c r="R34" s="39"/>
      <c r="S34" s="40"/>
      <c r="T34" s="41"/>
      <c r="U34" s="29"/>
      <c r="V34" s="3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</row>
    <row r="35" spans="1:69" ht="15.75">
      <c r="A35" s="36"/>
      <c r="C35" s="14"/>
      <c r="D35" s="14"/>
      <c r="E35" s="14"/>
      <c r="F35" s="14"/>
      <c r="G35" s="14"/>
      <c r="H35" s="13"/>
      <c r="I35" s="13"/>
      <c r="J35" s="37"/>
      <c r="K35" s="37"/>
      <c r="L35" s="38"/>
      <c r="Q35" s="12"/>
      <c r="R35" s="39"/>
      <c r="S35" s="40"/>
      <c r="T35" s="41"/>
      <c r="U35" s="29"/>
      <c r="V35" s="30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</row>
    <row r="36" spans="1:69" ht="15.75">
      <c r="A36" s="50"/>
      <c r="B36" s="23"/>
      <c r="C36" s="14" t="s">
        <v>91</v>
      </c>
      <c r="D36" s="14"/>
      <c r="E36" s="14"/>
      <c r="F36" s="14"/>
      <c r="G36" s="14"/>
      <c r="H36" s="43"/>
      <c r="I36" s="43"/>
      <c r="J36" s="12"/>
      <c r="K36" s="12"/>
      <c r="L36" s="12"/>
      <c r="N36" s="23"/>
      <c r="O36" s="23"/>
      <c r="Q36" s="12"/>
      <c r="R36" s="39"/>
      <c r="S36" s="40"/>
      <c r="T36" s="41"/>
      <c r="U36" s="29"/>
      <c r="V36" s="30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</row>
    <row r="37" spans="1:69" ht="15.75">
      <c r="A37" s="50" t="s">
        <v>48</v>
      </c>
      <c r="B37" s="23"/>
      <c r="C37" s="14" t="s">
        <v>88</v>
      </c>
      <c r="D37" s="14"/>
      <c r="E37" s="14"/>
      <c r="F37" s="14"/>
      <c r="G37" s="14"/>
      <c r="H37" s="13" t="s">
        <v>89</v>
      </c>
      <c r="I37" s="13"/>
      <c r="J37" s="405">
        <v>4045242.4631127543</v>
      </c>
      <c r="K37" s="12"/>
      <c r="L37" s="23"/>
      <c r="N37" s="23"/>
      <c r="O37" s="23"/>
      <c r="Q37" s="12"/>
      <c r="R37" s="39"/>
      <c r="S37" s="40"/>
      <c r="T37" s="41"/>
      <c r="U37" s="29"/>
      <c r="V37" s="30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ht="15.75">
      <c r="A38" s="50" t="s">
        <v>33</v>
      </c>
      <c r="B38" s="23"/>
      <c r="C38" s="14" t="s">
        <v>90</v>
      </c>
      <c r="D38" s="14"/>
      <c r="E38" s="14"/>
      <c r="F38" s="14"/>
      <c r="G38" s="14"/>
      <c r="H38" s="13" t="s">
        <v>64</v>
      </c>
      <c r="I38" s="13"/>
      <c r="J38" s="37">
        <f>IF(J37=0,0,J37/J18)</f>
        <v>0.001341289278622898</v>
      </c>
      <c r="K38" s="37"/>
      <c r="L38" s="38">
        <f>J38</f>
        <v>0.001341289278622898</v>
      </c>
      <c r="N38" s="23"/>
      <c r="O38" s="23"/>
      <c r="Q38" s="12"/>
      <c r="R38" s="39"/>
      <c r="S38" s="40"/>
      <c r="T38" s="41"/>
      <c r="U38" s="29"/>
      <c r="V38" s="30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69" ht="15.75">
      <c r="A39" s="36"/>
      <c r="C39" s="14"/>
      <c r="D39" s="14"/>
      <c r="E39" s="14"/>
      <c r="F39" s="14"/>
      <c r="G39" s="14"/>
      <c r="H39" s="13"/>
      <c r="I39" s="13"/>
      <c r="J39" s="37"/>
      <c r="K39" s="37"/>
      <c r="L39" s="38"/>
      <c r="Q39" s="12"/>
      <c r="R39" s="39"/>
      <c r="S39" s="40"/>
      <c r="T39" s="41"/>
      <c r="U39" s="29"/>
      <c r="V39" s="30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69" ht="15">
      <c r="A40" s="42"/>
      <c r="C40" s="14" t="s">
        <v>32</v>
      </c>
      <c r="D40" s="14"/>
      <c r="E40" s="14"/>
      <c r="F40" s="14"/>
      <c r="G40" s="14"/>
      <c r="H40" s="43"/>
      <c r="I40" s="43"/>
      <c r="J40" s="12"/>
      <c r="K40" s="12"/>
      <c r="L40" s="12"/>
      <c r="Q40" s="12"/>
      <c r="R40" s="12"/>
      <c r="S40" s="29"/>
      <c r="T40" s="12"/>
      <c r="U40" s="29"/>
      <c r="V40" s="30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69" ht="15.75">
      <c r="A41" s="42" t="s">
        <v>35</v>
      </c>
      <c r="C41" s="14" t="s">
        <v>34</v>
      </c>
      <c r="D41" s="14"/>
      <c r="E41" s="14"/>
      <c r="F41" s="14"/>
      <c r="G41" s="14"/>
      <c r="H41" s="13" t="s">
        <v>62</v>
      </c>
      <c r="I41" s="13"/>
      <c r="J41" s="405">
        <v>32992962.61505559</v>
      </c>
      <c r="K41" s="12"/>
      <c r="Q41" s="12"/>
      <c r="R41" s="44"/>
      <c r="S41" s="29"/>
      <c r="T41" s="45"/>
      <c r="U41" s="31"/>
      <c r="V41" s="30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ht="15.75">
      <c r="A42" s="42" t="s">
        <v>36</v>
      </c>
      <c r="C42" s="14" t="s">
        <v>78</v>
      </c>
      <c r="D42" s="14"/>
      <c r="E42" s="14"/>
      <c r="F42" s="14"/>
      <c r="G42" s="14"/>
      <c r="H42" s="13" t="s">
        <v>95</v>
      </c>
      <c r="I42" s="13"/>
      <c r="J42" s="37">
        <f>IF(J41=0,0,J41/J18)</f>
        <v>0.010939543779911784</v>
      </c>
      <c r="K42" s="37"/>
      <c r="L42" s="38">
        <f>J42</f>
        <v>0.010939543779911784</v>
      </c>
      <c r="Q42" s="12"/>
      <c r="R42" s="39"/>
      <c r="S42" s="29"/>
      <c r="T42" s="41"/>
      <c r="U42" s="31"/>
      <c r="V42" s="30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</row>
    <row r="43" spans="1:69" ht="15">
      <c r="A43" s="42"/>
      <c r="C43" s="14"/>
      <c r="D43" s="14"/>
      <c r="E43" s="14"/>
      <c r="F43" s="14"/>
      <c r="G43" s="14"/>
      <c r="H43" s="13"/>
      <c r="I43" s="13"/>
      <c r="J43" s="12"/>
      <c r="K43" s="12"/>
      <c r="L43" s="12"/>
      <c r="Q43" s="12"/>
      <c r="U43" s="29"/>
      <c r="V43" s="30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</row>
    <row r="44" spans="1:69" ht="15.75">
      <c r="A44" s="95" t="s">
        <v>37</v>
      </c>
      <c r="B44" s="46"/>
      <c r="C44" s="15" t="s">
        <v>645</v>
      </c>
      <c r="D44" s="15"/>
      <c r="E44" s="15"/>
      <c r="F44" s="15"/>
      <c r="G44" s="15"/>
      <c r="H44" s="16" t="s">
        <v>646</v>
      </c>
      <c r="I44" s="16"/>
      <c r="J44" s="48">
        <f>J34+J38+J42</f>
        <v>0.01843656021212301</v>
      </c>
      <c r="K44" s="48"/>
      <c r="L44" s="48">
        <f>L34+L38+L42</f>
        <v>0.01843656021212301</v>
      </c>
      <c r="Q44" s="12"/>
      <c r="U44" s="29"/>
      <c r="V44" s="30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69" ht="15">
      <c r="A45" s="42"/>
      <c r="C45" s="14"/>
      <c r="D45" s="14"/>
      <c r="E45" s="14"/>
      <c r="F45" s="14"/>
      <c r="G45" s="14"/>
      <c r="H45" s="13"/>
      <c r="I45" s="13"/>
      <c r="J45" s="12"/>
      <c r="K45" s="12"/>
      <c r="L45" s="12"/>
      <c r="Q45" s="12"/>
      <c r="R45" s="12"/>
      <c r="S45" s="29"/>
      <c r="T45" s="49"/>
      <c r="U45" s="29"/>
      <c r="V45" s="30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</row>
    <row r="46" spans="1:69" ht="15">
      <c r="A46" s="50"/>
      <c r="B46" s="51"/>
      <c r="C46" s="12" t="s">
        <v>39</v>
      </c>
      <c r="D46" s="12"/>
      <c r="E46" s="12"/>
      <c r="F46" s="12"/>
      <c r="G46" s="12"/>
      <c r="H46" s="13"/>
      <c r="I46" s="13"/>
      <c r="J46" s="12"/>
      <c r="K46" s="12"/>
      <c r="L46" s="12"/>
      <c r="Q46" s="52"/>
      <c r="R46" s="51"/>
      <c r="U46" s="31"/>
      <c r="V46" s="29" t="s">
        <v>4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</row>
    <row r="47" spans="1:69" ht="15">
      <c r="A47" s="42" t="s">
        <v>40</v>
      </c>
      <c r="B47" s="51"/>
      <c r="C47" s="12" t="s">
        <v>15</v>
      </c>
      <c r="D47" s="12"/>
      <c r="E47" s="12"/>
      <c r="F47" s="12"/>
      <c r="G47" s="12"/>
      <c r="H47" s="13" t="s">
        <v>66</v>
      </c>
      <c r="I47" s="13"/>
      <c r="J47" s="405">
        <v>81219907.2665867</v>
      </c>
      <c r="K47" s="12"/>
      <c r="L47" s="12"/>
      <c r="Q47" s="52"/>
      <c r="R47" s="51"/>
      <c r="U47" s="31"/>
      <c r="V47" s="29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69" ht="15">
      <c r="A48" s="42" t="s">
        <v>41</v>
      </c>
      <c r="B48" s="51"/>
      <c r="C48" s="12" t="s">
        <v>79</v>
      </c>
      <c r="D48" s="12"/>
      <c r="E48" s="12"/>
      <c r="F48" s="12"/>
      <c r="G48" s="12"/>
      <c r="H48" s="13" t="s">
        <v>65</v>
      </c>
      <c r="I48" s="13"/>
      <c r="J48" s="37">
        <f>IF(J47=0,0,J47/J20)</f>
        <v>0.037025366533190725</v>
      </c>
      <c r="K48" s="37"/>
      <c r="L48" s="38">
        <f>J48</f>
        <v>0.037025366533190725</v>
      </c>
      <c r="Q48" s="52"/>
      <c r="R48" s="51"/>
      <c r="S48" s="29"/>
      <c r="T48" s="29"/>
      <c r="U48" s="31"/>
      <c r="V48" s="29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</row>
    <row r="49" spans="1:69" ht="15">
      <c r="A49" s="42"/>
      <c r="C49" s="12"/>
      <c r="D49" s="12"/>
      <c r="E49" s="12"/>
      <c r="F49" s="12"/>
      <c r="G49" s="12"/>
      <c r="H49" s="13"/>
      <c r="I49" s="13"/>
      <c r="J49" s="12"/>
      <c r="K49" s="12"/>
      <c r="L49" s="12"/>
      <c r="Q49" s="12"/>
      <c r="S49" s="21"/>
      <c r="T49" s="29"/>
      <c r="U49" s="21"/>
      <c r="V49" s="30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1:69" ht="15">
      <c r="A50" s="42"/>
      <c r="C50" s="14" t="s">
        <v>16</v>
      </c>
      <c r="D50" s="14"/>
      <c r="E50" s="14"/>
      <c r="F50" s="14"/>
      <c r="G50" s="14"/>
      <c r="H50" s="11"/>
      <c r="I50" s="11"/>
      <c r="Q50" s="12"/>
      <c r="S50" s="29"/>
      <c r="T50" s="29"/>
      <c r="U50" s="29"/>
      <c r="V50" s="30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1:69" ht="15">
      <c r="A51" s="42" t="s">
        <v>42</v>
      </c>
      <c r="C51" s="14" t="s">
        <v>43</v>
      </c>
      <c r="D51" s="14"/>
      <c r="E51" s="14"/>
      <c r="F51" s="14"/>
      <c r="G51" s="14"/>
      <c r="H51" s="13" t="s">
        <v>44</v>
      </c>
      <c r="I51" s="13"/>
      <c r="J51" s="405">
        <v>162652001.56194785</v>
      </c>
      <c r="K51" s="12"/>
      <c r="L51" s="12"/>
      <c r="Q51" s="12"/>
      <c r="S51" s="29"/>
      <c r="T51" s="29"/>
      <c r="U51" s="29"/>
      <c r="V51" s="30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</row>
    <row r="52" spans="1:69" ht="15">
      <c r="A52" s="42" t="s">
        <v>93</v>
      </c>
      <c r="B52" s="51"/>
      <c r="C52" s="12" t="s">
        <v>80</v>
      </c>
      <c r="D52" s="12"/>
      <c r="E52" s="12"/>
      <c r="F52" s="12"/>
      <c r="G52" s="12"/>
      <c r="H52" s="13" t="s">
        <v>96</v>
      </c>
      <c r="I52" s="13"/>
      <c r="J52" s="53">
        <f>IF(J51=0,0,J51/J20)</f>
        <v>0.07414746184604104</v>
      </c>
      <c r="K52" s="53"/>
      <c r="L52" s="38">
        <f>J52</f>
        <v>0.07414746184604104</v>
      </c>
      <c r="Q52" s="12"/>
      <c r="T52" s="54"/>
      <c r="U52" s="31"/>
      <c r="V52" s="29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69" ht="15">
      <c r="A53" s="42"/>
      <c r="C53" s="14"/>
      <c r="D53" s="14"/>
      <c r="E53" s="14"/>
      <c r="F53" s="14"/>
      <c r="G53" s="14"/>
      <c r="H53" s="13"/>
      <c r="I53" s="13"/>
      <c r="J53" s="12"/>
      <c r="K53" s="12"/>
      <c r="L53" s="12"/>
      <c r="Q53" s="12"/>
      <c r="R53" s="11"/>
      <c r="S53" s="29"/>
      <c r="T53" s="29"/>
      <c r="U53" s="29"/>
      <c r="V53" s="30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</row>
    <row r="54" spans="1:69" ht="15.75">
      <c r="A54" s="95" t="s">
        <v>94</v>
      </c>
      <c r="B54" s="46"/>
      <c r="C54" s="15" t="s">
        <v>81</v>
      </c>
      <c r="D54" s="15"/>
      <c r="E54" s="15"/>
      <c r="F54" s="15"/>
      <c r="G54" s="15"/>
      <c r="H54" s="16" t="s">
        <v>97</v>
      </c>
      <c r="I54" s="16"/>
      <c r="J54" s="47"/>
      <c r="K54" s="47"/>
      <c r="L54" s="48">
        <f>L48+L52</f>
        <v>0.11117282837923176</v>
      </c>
      <c r="Q54" s="12"/>
      <c r="R54" s="11"/>
      <c r="S54" s="29"/>
      <c r="T54" s="29"/>
      <c r="U54" s="29"/>
      <c r="V54" s="30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7:69" ht="15">
      <c r="Q55" s="55"/>
      <c r="R55" s="55"/>
      <c r="S55" s="29"/>
      <c r="T55" s="29"/>
      <c r="U55" s="29"/>
      <c r="V55" s="30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ht="15">
      <c r="A56" s="25"/>
      <c r="C56" s="56"/>
      <c r="D56" s="56"/>
      <c r="E56" s="56"/>
      <c r="F56" s="56"/>
      <c r="G56" s="56"/>
      <c r="H56" s="56"/>
      <c r="I56" s="56"/>
      <c r="J56" s="12"/>
      <c r="K56" s="12"/>
      <c r="L56" s="56"/>
      <c r="M56" s="56"/>
      <c r="N56" s="56"/>
      <c r="O56" s="56"/>
      <c r="Q56" s="12"/>
      <c r="R56" s="12"/>
      <c r="S56" s="29"/>
      <c r="T56" s="29"/>
      <c r="U56" s="31"/>
      <c r="V56" s="29" t="s">
        <v>4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ht="15">
      <c r="R57" s="3"/>
    </row>
    <row r="58" ht="15">
      <c r="R58" s="3"/>
    </row>
    <row r="60" spans="1:69" ht="15">
      <c r="A60" s="25"/>
      <c r="C60" s="56"/>
      <c r="D60" s="56"/>
      <c r="E60" s="56"/>
      <c r="F60" s="56"/>
      <c r="G60" s="56"/>
      <c r="H60" s="56"/>
      <c r="I60" s="56"/>
      <c r="J60" s="12"/>
      <c r="K60" s="12"/>
      <c r="L60" s="56"/>
      <c r="M60" s="56"/>
      <c r="N60" s="56"/>
      <c r="O60" s="56"/>
      <c r="Q60" s="12"/>
      <c r="S60" s="29"/>
      <c r="T60" s="21"/>
      <c r="U60" s="29"/>
      <c r="V60" s="30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1:69" ht="15">
      <c r="A61" s="25"/>
      <c r="C61" s="14" t="str">
        <f>C5</f>
        <v>Formula Rate calculation</v>
      </c>
      <c r="D61" s="14"/>
      <c r="E61" s="14"/>
      <c r="F61" s="14"/>
      <c r="G61" s="14"/>
      <c r="H61" s="56"/>
      <c r="I61" s="56"/>
      <c r="J61" s="56" t="str">
        <f>J5</f>
        <v>     Rate Formula Template</v>
      </c>
      <c r="K61" s="56"/>
      <c r="L61" s="56"/>
      <c r="M61" s="56"/>
      <c r="N61" s="56"/>
      <c r="O61" s="56"/>
      <c r="Q61" s="12"/>
      <c r="R61" s="3" t="s">
        <v>618</v>
      </c>
      <c r="S61" s="29"/>
      <c r="T61" s="21"/>
      <c r="U61" s="29"/>
      <c r="V61" s="30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2" spans="1:69" ht="15">
      <c r="A62" s="25"/>
      <c r="C62" s="14"/>
      <c r="D62" s="14"/>
      <c r="E62" s="14"/>
      <c r="F62" s="14"/>
      <c r="G62" s="14"/>
      <c r="H62" s="56"/>
      <c r="I62" s="56"/>
      <c r="J62" s="56" t="str">
        <f>J6</f>
        <v> Utilizing Attachment O Data</v>
      </c>
      <c r="K62" s="56"/>
      <c r="L62" s="56"/>
      <c r="M62" s="56"/>
      <c r="N62" s="56"/>
      <c r="O62" s="56"/>
      <c r="P62" s="12"/>
      <c r="Q62" s="12"/>
      <c r="R62" s="59" t="str">
        <f>R5</f>
        <v>For  the 12 months ended 12/31/2013</v>
      </c>
      <c r="S62" s="29"/>
      <c r="T62" s="21"/>
      <c r="U62" s="29"/>
      <c r="V62" s="30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</row>
    <row r="63" spans="1:69" ht="14.25" customHeight="1">
      <c r="A63" s="2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Q63" s="12"/>
      <c r="R63" s="56" t="s">
        <v>45</v>
      </c>
      <c r="S63" s="29"/>
      <c r="T63" s="21"/>
      <c r="U63" s="29"/>
      <c r="V63" s="30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</row>
    <row r="64" spans="1:69" ht="15">
      <c r="A64" s="25"/>
      <c r="H64" s="56"/>
      <c r="I64" s="56"/>
      <c r="J64" s="56" t="str">
        <f>J8</f>
        <v>Northern States Power Companies</v>
      </c>
      <c r="K64" s="56"/>
      <c r="L64" s="56"/>
      <c r="M64" s="56"/>
      <c r="N64" s="56"/>
      <c r="O64" s="56"/>
      <c r="P64" s="56"/>
      <c r="Q64" s="12"/>
      <c r="R64" s="12"/>
      <c r="S64" s="29"/>
      <c r="T64" s="21"/>
      <c r="U64" s="29"/>
      <c r="V64" s="30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</row>
    <row r="65" spans="1:69" ht="15">
      <c r="A65" s="2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9"/>
      <c r="T65" s="21"/>
      <c r="U65" s="29"/>
      <c r="V65" s="30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</row>
    <row r="66" spans="1:69" ht="15.75">
      <c r="A66" s="25"/>
      <c r="C66" s="56"/>
      <c r="D66" s="56"/>
      <c r="E66" s="56"/>
      <c r="F66" s="56"/>
      <c r="G66" s="56"/>
      <c r="H66" s="15" t="s">
        <v>647</v>
      </c>
      <c r="I66" s="15"/>
      <c r="L66" s="20"/>
      <c r="M66" s="20"/>
      <c r="N66" s="20"/>
      <c r="O66" s="20"/>
      <c r="P66" s="20"/>
      <c r="Q66" s="12"/>
      <c r="R66" s="12"/>
      <c r="S66" s="29"/>
      <c r="T66" s="21"/>
      <c r="U66" s="29"/>
      <c r="V66" s="30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69" ht="15.75">
      <c r="A67" s="25"/>
      <c r="C67" s="56"/>
      <c r="D67" s="56"/>
      <c r="E67" s="56"/>
      <c r="F67" s="56"/>
      <c r="G67" s="56"/>
      <c r="H67" s="15"/>
      <c r="I67" s="15"/>
      <c r="L67" s="20"/>
      <c r="M67" s="20"/>
      <c r="N67" s="20"/>
      <c r="O67" s="20"/>
      <c r="P67" s="20"/>
      <c r="Q67" s="12"/>
      <c r="R67" s="12"/>
      <c r="S67" s="29"/>
      <c r="T67" s="21"/>
      <c r="U67" s="29"/>
      <c r="V67" s="30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</row>
    <row r="68" spans="1:69" ht="15.75">
      <c r="A68" s="411"/>
      <c r="C68" s="412" t="s">
        <v>8</v>
      </c>
      <c r="D68" s="412" t="s">
        <v>9</v>
      </c>
      <c r="E68" s="412" t="s">
        <v>10</v>
      </c>
      <c r="F68" s="412" t="s">
        <v>11</v>
      </c>
      <c r="G68" s="412" t="s">
        <v>296</v>
      </c>
      <c r="H68" s="412" t="s">
        <v>648</v>
      </c>
      <c r="I68" s="412" t="s">
        <v>649</v>
      </c>
      <c r="J68" s="412" t="s">
        <v>650</v>
      </c>
      <c r="K68" s="412" t="s">
        <v>651</v>
      </c>
      <c r="L68" s="412" t="s">
        <v>652</v>
      </c>
      <c r="M68" s="412" t="s">
        <v>653</v>
      </c>
      <c r="N68" s="412" t="s">
        <v>654</v>
      </c>
      <c r="O68" s="412" t="s">
        <v>655</v>
      </c>
      <c r="P68" s="412" t="s">
        <v>656</v>
      </c>
      <c r="Q68" s="412" t="s">
        <v>657</v>
      </c>
      <c r="R68" s="412" t="s">
        <v>658</v>
      </c>
      <c r="S68" s="29"/>
      <c r="T68" s="21"/>
      <c r="U68" s="29"/>
      <c r="V68" s="30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</row>
    <row r="69" spans="1:69" ht="85.5" customHeight="1">
      <c r="A69" s="61" t="s">
        <v>52</v>
      </c>
      <c r="B69" s="62"/>
      <c r="C69" s="63" t="s">
        <v>47</v>
      </c>
      <c r="D69" s="63" t="s">
        <v>51</v>
      </c>
      <c r="E69" s="63" t="s">
        <v>659</v>
      </c>
      <c r="F69" s="63" t="s">
        <v>660</v>
      </c>
      <c r="G69" s="63" t="s">
        <v>661</v>
      </c>
      <c r="H69" s="64" t="s">
        <v>662</v>
      </c>
      <c r="I69" s="64" t="s">
        <v>663</v>
      </c>
      <c r="J69" s="413" t="s">
        <v>664</v>
      </c>
      <c r="K69" s="65" t="s">
        <v>53</v>
      </c>
      <c r="L69" s="64" t="s">
        <v>74</v>
      </c>
      <c r="M69" s="64" t="s">
        <v>81</v>
      </c>
      <c r="N69" s="65" t="s">
        <v>54</v>
      </c>
      <c r="O69" s="64" t="s">
        <v>38</v>
      </c>
      <c r="P69" s="66" t="s">
        <v>58</v>
      </c>
      <c r="Q69" s="67" t="s">
        <v>56</v>
      </c>
      <c r="R69" s="66" t="s">
        <v>665</v>
      </c>
      <c r="S69" s="40"/>
      <c r="T69" s="21"/>
      <c r="U69" s="29"/>
      <c r="V69" s="30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1:69" ht="46.5" customHeight="1">
      <c r="A70" s="68"/>
      <c r="B70" s="69"/>
      <c r="C70" s="69"/>
      <c r="D70" s="69"/>
      <c r="E70" s="414" t="s">
        <v>6</v>
      </c>
      <c r="F70" s="69"/>
      <c r="G70" s="69" t="s">
        <v>666</v>
      </c>
      <c r="H70" s="414" t="s">
        <v>667</v>
      </c>
      <c r="I70" s="70" t="s">
        <v>668</v>
      </c>
      <c r="J70" s="414" t="s">
        <v>669</v>
      </c>
      <c r="K70" s="415" t="s">
        <v>670</v>
      </c>
      <c r="L70" s="414" t="s">
        <v>671</v>
      </c>
      <c r="M70" s="70" t="s">
        <v>101</v>
      </c>
      <c r="N70" s="71" t="s">
        <v>672</v>
      </c>
      <c r="O70" s="70" t="s">
        <v>69</v>
      </c>
      <c r="P70" s="71" t="s">
        <v>673</v>
      </c>
      <c r="Q70" s="72" t="s">
        <v>71</v>
      </c>
      <c r="R70" s="83" t="s">
        <v>674</v>
      </c>
      <c r="S70" s="29"/>
      <c r="T70" s="21"/>
      <c r="U70" s="29"/>
      <c r="V70" s="30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1:69" ht="15">
      <c r="A71" s="73" t="s">
        <v>675</v>
      </c>
      <c r="B71" s="20"/>
      <c r="C71" s="20"/>
      <c r="D71" s="20"/>
      <c r="E71" s="20"/>
      <c r="F71" s="20"/>
      <c r="G71" s="20"/>
      <c r="H71" s="20"/>
      <c r="I71" s="20"/>
      <c r="J71" s="20"/>
      <c r="K71" s="74"/>
      <c r="L71" s="20"/>
      <c r="M71" s="20"/>
      <c r="N71" s="74"/>
      <c r="O71" s="20"/>
      <c r="P71" s="74"/>
      <c r="Q71" s="12"/>
      <c r="R71" s="75"/>
      <c r="S71" s="29"/>
      <c r="T71" s="21"/>
      <c r="U71" s="29"/>
      <c r="V71" s="30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</row>
    <row r="72" spans="1:25" ht="15">
      <c r="A72" s="76" t="s">
        <v>14</v>
      </c>
      <c r="C72" s="2" t="s">
        <v>676</v>
      </c>
      <c r="D72" s="416">
        <v>1203</v>
      </c>
      <c r="E72" s="7">
        <v>239869489</v>
      </c>
      <c r="F72" s="7">
        <v>60972</v>
      </c>
      <c r="G72" s="38">
        <f>$L$29</f>
        <v>0.06103135659117812</v>
      </c>
      <c r="H72" s="417">
        <f>F72*G72</f>
        <v>3721.2038740773123</v>
      </c>
      <c r="I72" s="38">
        <f>$L$44</f>
        <v>0.01843656021212301</v>
      </c>
      <c r="J72" s="54">
        <f>E72*I72</f>
        <v>4422368.276999678</v>
      </c>
      <c r="K72" s="102">
        <f>H72+J72</f>
        <v>4426089.480873756</v>
      </c>
      <c r="L72" s="417">
        <f>E72-F72</f>
        <v>239808517</v>
      </c>
      <c r="M72" s="38">
        <f>$L$54</f>
        <v>0.11117282837923176</v>
      </c>
      <c r="N72" s="419">
        <f>L72*M72</f>
        <v>26660191.10431908</v>
      </c>
      <c r="O72" s="7">
        <v>293411</v>
      </c>
      <c r="P72" s="419">
        <f>K72+N72+O72</f>
        <v>31379691.585192837</v>
      </c>
      <c r="Q72" s="9">
        <v>0</v>
      </c>
      <c r="R72" s="420">
        <f>P72+Q72</f>
        <v>31379691.585192837</v>
      </c>
      <c r="S72" s="77"/>
      <c r="T72" s="77"/>
      <c r="U72" s="77"/>
      <c r="V72" s="77"/>
      <c r="W72" s="77"/>
      <c r="X72" s="77"/>
      <c r="Y72" s="77"/>
    </row>
    <row r="73" spans="1:25" ht="15">
      <c r="A73" s="76"/>
      <c r="D73" s="416"/>
      <c r="E73" s="417"/>
      <c r="F73" s="417"/>
      <c r="G73" s="38"/>
      <c r="H73" s="417"/>
      <c r="I73" s="38"/>
      <c r="K73" s="418"/>
      <c r="L73" s="417"/>
      <c r="M73" s="38"/>
      <c r="N73" s="419"/>
      <c r="O73" s="417"/>
      <c r="P73" s="419"/>
      <c r="Q73" s="421"/>
      <c r="R73" s="420"/>
      <c r="S73" s="77"/>
      <c r="T73" s="77"/>
      <c r="U73" s="77"/>
      <c r="V73" s="77"/>
      <c r="W73" s="77"/>
      <c r="X73" s="77"/>
      <c r="Y73" s="77"/>
    </row>
    <row r="74" spans="1:25" ht="15">
      <c r="A74" s="76"/>
      <c r="D74" s="416"/>
      <c r="E74" s="417"/>
      <c r="F74" s="417"/>
      <c r="G74" s="38"/>
      <c r="H74" s="417"/>
      <c r="I74" s="38"/>
      <c r="K74" s="418"/>
      <c r="L74" s="417"/>
      <c r="M74" s="38"/>
      <c r="N74" s="419"/>
      <c r="O74" s="417"/>
      <c r="P74" s="419"/>
      <c r="Q74" s="417"/>
      <c r="R74" s="420"/>
      <c r="S74" s="77"/>
      <c r="T74" s="77"/>
      <c r="U74" s="77"/>
      <c r="V74" s="77"/>
      <c r="W74" s="77"/>
      <c r="X74" s="77"/>
      <c r="Y74" s="77"/>
    </row>
    <row r="75" spans="1:25" s="54" customFormat="1" ht="15">
      <c r="A75" s="422"/>
      <c r="D75" s="423"/>
      <c r="K75" s="102"/>
      <c r="N75" s="102"/>
      <c r="O75" s="102"/>
      <c r="P75" s="102"/>
      <c r="R75" s="102"/>
      <c r="S75" s="424"/>
      <c r="T75" s="424"/>
      <c r="U75" s="424"/>
      <c r="V75" s="424"/>
      <c r="W75" s="424"/>
      <c r="X75" s="424"/>
      <c r="Y75" s="424"/>
    </row>
    <row r="76" spans="1:25" s="54" customFormat="1" ht="15">
      <c r="A76" s="422"/>
      <c r="D76" s="423"/>
      <c r="K76" s="102"/>
      <c r="N76" s="102"/>
      <c r="P76" s="102"/>
      <c r="R76" s="102"/>
      <c r="S76" s="424"/>
      <c r="T76" s="424"/>
      <c r="U76" s="424"/>
      <c r="V76" s="424"/>
      <c r="W76" s="424"/>
      <c r="X76" s="424"/>
      <c r="Y76" s="424"/>
    </row>
    <row r="77" spans="1:25" ht="15">
      <c r="A77" s="76"/>
      <c r="D77" s="416"/>
      <c r="K77" s="418"/>
      <c r="N77" s="418"/>
      <c r="P77" s="418"/>
      <c r="R77" s="418"/>
      <c r="S77" s="77"/>
      <c r="T77" s="77"/>
      <c r="U77" s="77"/>
      <c r="V77" s="77"/>
      <c r="W77" s="77"/>
      <c r="X77" s="77"/>
      <c r="Y77" s="77"/>
    </row>
    <row r="78" spans="1:25" ht="15">
      <c r="A78" s="76"/>
      <c r="D78" s="416"/>
      <c r="K78" s="418"/>
      <c r="N78" s="418"/>
      <c r="P78" s="418"/>
      <c r="R78" s="418"/>
      <c r="S78" s="77"/>
      <c r="T78" s="77"/>
      <c r="U78" s="77"/>
      <c r="V78" s="77"/>
      <c r="W78" s="77"/>
      <c r="X78" s="77"/>
      <c r="Y78" s="77"/>
    </row>
    <row r="79" spans="1:25" ht="15">
      <c r="A79" s="76"/>
      <c r="D79" s="416"/>
      <c r="K79" s="418"/>
      <c r="N79" s="418"/>
      <c r="P79" s="418"/>
      <c r="R79" s="418"/>
      <c r="S79" s="77"/>
      <c r="T79" s="77"/>
      <c r="U79" s="77"/>
      <c r="V79" s="77"/>
      <c r="W79" s="77"/>
      <c r="X79" s="77"/>
      <c r="Y79" s="77"/>
    </row>
    <row r="80" spans="1:25" ht="15">
      <c r="A80" s="76"/>
      <c r="C80" s="77"/>
      <c r="D80" s="425"/>
      <c r="E80" s="77"/>
      <c r="F80" s="77"/>
      <c r="G80" s="77"/>
      <c r="H80" s="77"/>
      <c r="I80" s="77"/>
      <c r="J80" s="77"/>
      <c r="K80" s="78"/>
      <c r="L80" s="77"/>
      <c r="M80" s="77"/>
      <c r="N80" s="78"/>
      <c r="O80" s="77"/>
      <c r="P80" s="78"/>
      <c r="Q80" s="77"/>
      <c r="R80" s="78"/>
      <c r="S80" s="77"/>
      <c r="T80" s="77"/>
      <c r="U80" s="77"/>
      <c r="V80" s="77"/>
      <c r="W80" s="77"/>
      <c r="X80" s="77"/>
      <c r="Y80" s="77"/>
    </row>
    <row r="81" spans="1:25" ht="15">
      <c r="A81" s="76"/>
      <c r="C81" s="77"/>
      <c r="D81" s="425"/>
      <c r="E81" s="77"/>
      <c r="F81" s="77"/>
      <c r="G81" s="77"/>
      <c r="H81" s="77"/>
      <c r="I81" s="77"/>
      <c r="J81" s="77"/>
      <c r="K81" s="78"/>
      <c r="L81" s="77"/>
      <c r="M81" s="77"/>
      <c r="N81" s="78"/>
      <c r="O81" s="77"/>
      <c r="P81" s="78"/>
      <c r="Q81" s="77"/>
      <c r="R81" s="78"/>
      <c r="S81" s="77"/>
      <c r="T81" s="77"/>
      <c r="U81" s="77"/>
      <c r="V81" s="77"/>
      <c r="W81" s="77"/>
      <c r="X81" s="77"/>
      <c r="Y81" s="77"/>
    </row>
    <row r="82" spans="1:25" ht="15">
      <c r="A82" s="76"/>
      <c r="C82" s="77"/>
      <c r="D82" s="425"/>
      <c r="E82" s="77"/>
      <c r="F82" s="77"/>
      <c r="G82" s="77"/>
      <c r="H82" s="77"/>
      <c r="I82" s="77"/>
      <c r="J82" s="77"/>
      <c r="K82" s="78"/>
      <c r="L82" s="77"/>
      <c r="M82" s="77"/>
      <c r="N82" s="78"/>
      <c r="O82" s="77"/>
      <c r="P82" s="78"/>
      <c r="Q82" s="77"/>
      <c r="R82" s="78"/>
      <c r="S82" s="77"/>
      <c r="T82" s="77"/>
      <c r="U82" s="77"/>
      <c r="V82" s="77"/>
      <c r="W82" s="77"/>
      <c r="X82" s="77"/>
      <c r="Y82" s="77"/>
    </row>
    <row r="83" spans="1:25" ht="15">
      <c r="A83" s="76"/>
      <c r="C83" s="77"/>
      <c r="D83" s="425"/>
      <c r="E83" s="77"/>
      <c r="F83" s="77"/>
      <c r="G83" s="77"/>
      <c r="H83" s="77"/>
      <c r="I83" s="77"/>
      <c r="J83" s="77"/>
      <c r="K83" s="78"/>
      <c r="L83" s="77"/>
      <c r="M83" s="77"/>
      <c r="N83" s="78"/>
      <c r="O83" s="77"/>
      <c r="P83" s="78"/>
      <c r="Q83" s="77"/>
      <c r="R83" s="78"/>
      <c r="S83" s="77"/>
      <c r="T83" s="77"/>
      <c r="U83" s="77"/>
      <c r="V83" s="77"/>
      <c r="W83" s="77"/>
      <c r="X83" s="77"/>
      <c r="Y83" s="77"/>
    </row>
    <row r="84" spans="1:25" ht="15">
      <c r="A84" s="76"/>
      <c r="C84" s="77"/>
      <c r="D84" s="425"/>
      <c r="E84" s="77"/>
      <c r="F84" s="77"/>
      <c r="G84" s="77"/>
      <c r="H84" s="77"/>
      <c r="I84" s="77"/>
      <c r="J84" s="77"/>
      <c r="K84" s="78"/>
      <c r="L84" s="77"/>
      <c r="M84" s="77"/>
      <c r="N84" s="78"/>
      <c r="O84" s="77"/>
      <c r="P84" s="78"/>
      <c r="Q84" s="77"/>
      <c r="R84" s="78"/>
      <c r="S84" s="77"/>
      <c r="T84" s="77"/>
      <c r="U84" s="77"/>
      <c r="V84" s="77"/>
      <c r="W84" s="77"/>
      <c r="X84" s="77"/>
      <c r="Y84" s="77"/>
    </row>
    <row r="85" spans="1:25" ht="15">
      <c r="A85" s="76"/>
      <c r="C85" s="77"/>
      <c r="D85" s="425"/>
      <c r="E85" s="77"/>
      <c r="F85" s="77"/>
      <c r="G85" s="77"/>
      <c r="H85" s="77"/>
      <c r="I85" s="77"/>
      <c r="J85" s="77"/>
      <c r="K85" s="78"/>
      <c r="L85" s="77"/>
      <c r="M85" s="77"/>
      <c r="N85" s="78"/>
      <c r="O85" s="77"/>
      <c r="P85" s="78"/>
      <c r="Q85" s="77"/>
      <c r="R85" s="78"/>
      <c r="S85" s="77"/>
      <c r="T85" s="77"/>
      <c r="U85" s="77"/>
      <c r="V85" s="77"/>
      <c r="W85" s="77"/>
      <c r="X85" s="77"/>
      <c r="Y85" s="77"/>
    </row>
    <row r="86" spans="1:25" ht="15">
      <c r="A86" s="76"/>
      <c r="C86" s="77"/>
      <c r="D86" s="425"/>
      <c r="E86" s="77"/>
      <c r="F86" s="77"/>
      <c r="G86" s="77"/>
      <c r="H86" s="77"/>
      <c r="I86" s="77"/>
      <c r="J86" s="77"/>
      <c r="K86" s="78"/>
      <c r="L86" s="77"/>
      <c r="M86" s="77"/>
      <c r="N86" s="78"/>
      <c r="O86" s="77"/>
      <c r="P86" s="78"/>
      <c r="Q86" s="77"/>
      <c r="R86" s="78"/>
      <c r="S86" s="77"/>
      <c r="T86" s="77"/>
      <c r="U86" s="77"/>
      <c r="V86" s="77"/>
      <c r="W86" s="77"/>
      <c r="X86" s="77"/>
      <c r="Y86" s="77"/>
    </row>
    <row r="87" spans="1:25" ht="15">
      <c r="A87" s="76"/>
      <c r="C87" s="77"/>
      <c r="D87" s="425"/>
      <c r="E87" s="77"/>
      <c r="F87" s="77"/>
      <c r="G87" s="77"/>
      <c r="H87" s="77"/>
      <c r="I87" s="77"/>
      <c r="J87" s="77"/>
      <c r="K87" s="78"/>
      <c r="L87" s="77"/>
      <c r="M87" s="77"/>
      <c r="N87" s="78"/>
      <c r="O87" s="77"/>
      <c r="P87" s="78"/>
      <c r="Q87" s="77"/>
      <c r="R87" s="78"/>
      <c r="S87" s="77"/>
      <c r="T87" s="77"/>
      <c r="U87" s="77"/>
      <c r="V87" s="77"/>
      <c r="W87" s="77"/>
      <c r="X87" s="77"/>
      <c r="Y87" s="77"/>
    </row>
    <row r="88" spans="1:25" ht="15">
      <c r="A88" s="76"/>
      <c r="C88" s="77"/>
      <c r="D88" s="425"/>
      <c r="E88" s="77"/>
      <c r="F88" s="77"/>
      <c r="G88" s="77"/>
      <c r="H88" s="77"/>
      <c r="I88" s="77"/>
      <c r="J88" s="77"/>
      <c r="K88" s="78"/>
      <c r="L88" s="77"/>
      <c r="M88" s="77"/>
      <c r="N88" s="78"/>
      <c r="O88" s="77"/>
      <c r="P88" s="78"/>
      <c r="Q88" s="77"/>
      <c r="R88" s="78"/>
      <c r="S88" s="77"/>
      <c r="T88" s="77"/>
      <c r="U88" s="77"/>
      <c r="V88" s="77"/>
      <c r="W88" s="77"/>
      <c r="X88" s="77"/>
      <c r="Y88" s="77"/>
    </row>
    <row r="89" spans="1:25" ht="15">
      <c r="A89" s="76"/>
      <c r="C89" s="77"/>
      <c r="D89" s="425"/>
      <c r="E89" s="77"/>
      <c r="F89" s="77"/>
      <c r="G89" s="77"/>
      <c r="H89" s="77"/>
      <c r="I89" s="77"/>
      <c r="J89" s="77"/>
      <c r="K89" s="78"/>
      <c r="L89" s="77"/>
      <c r="M89" s="77"/>
      <c r="N89" s="78"/>
      <c r="O89" s="77"/>
      <c r="P89" s="78"/>
      <c r="Q89" s="77"/>
      <c r="R89" s="78"/>
      <c r="S89" s="77"/>
      <c r="T89" s="77"/>
      <c r="U89" s="77"/>
      <c r="V89" s="77"/>
      <c r="W89" s="77"/>
      <c r="X89" s="77"/>
      <c r="Y89" s="77"/>
    </row>
    <row r="90" spans="1:25" ht="15">
      <c r="A90" s="76"/>
      <c r="C90" s="77"/>
      <c r="D90" s="425"/>
      <c r="E90" s="77"/>
      <c r="F90" s="77"/>
      <c r="G90" s="77"/>
      <c r="H90" s="77"/>
      <c r="I90" s="77"/>
      <c r="J90" s="77"/>
      <c r="K90" s="78"/>
      <c r="L90" s="77"/>
      <c r="M90" s="77"/>
      <c r="N90" s="78"/>
      <c r="O90" s="77"/>
      <c r="P90" s="78"/>
      <c r="Q90" s="77"/>
      <c r="R90" s="78"/>
      <c r="S90" s="77"/>
      <c r="T90" s="77"/>
      <c r="U90" s="77"/>
      <c r="V90" s="77"/>
      <c r="W90" s="77"/>
      <c r="X90" s="77"/>
      <c r="Y90" s="77"/>
    </row>
    <row r="91" spans="1:25" ht="15">
      <c r="A91" s="79"/>
      <c r="B91" s="10"/>
      <c r="C91" s="80"/>
      <c r="D91" s="80"/>
      <c r="E91" s="80"/>
      <c r="F91" s="80"/>
      <c r="G91" s="80"/>
      <c r="H91" s="80"/>
      <c r="I91" s="80"/>
      <c r="J91" s="80"/>
      <c r="K91" s="81"/>
      <c r="L91" s="80"/>
      <c r="M91" s="80"/>
      <c r="N91" s="81"/>
      <c r="O91" s="80"/>
      <c r="P91" s="81"/>
      <c r="Q91" s="80"/>
      <c r="R91" s="81"/>
      <c r="S91" s="77"/>
      <c r="T91" s="77"/>
      <c r="U91" s="77"/>
      <c r="V91" s="77"/>
      <c r="W91" s="77"/>
      <c r="X91" s="77"/>
      <c r="Y91" s="77"/>
    </row>
    <row r="92" spans="1:25" ht="15">
      <c r="A92" s="26" t="s">
        <v>55</v>
      </c>
      <c r="B92" s="51"/>
      <c r="C92" s="14" t="s">
        <v>677</v>
      </c>
      <c r="D92" s="14"/>
      <c r="E92" s="14"/>
      <c r="F92" s="14"/>
      <c r="G92" s="14"/>
      <c r="H92" s="43"/>
      <c r="I92" s="43"/>
      <c r="J92" s="12"/>
      <c r="K92" s="12"/>
      <c r="L92" s="12"/>
      <c r="M92" s="12"/>
      <c r="N92" s="12"/>
      <c r="O92" s="12"/>
      <c r="P92" s="84">
        <f>SUM(P72:P91)</f>
        <v>31379691.585192837</v>
      </c>
      <c r="Q92" s="84">
        <f>SUM(Q72:Q91)</f>
        <v>0</v>
      </c>
      <c r="R92" s="84">
        <f>SUM(R72:R91)</f>
        <v>31379691.585192837</v>
      </c>
      <c r="S92" s="77"/>
      <c r="T92" s="77"/>
      <c r="U92" s="77"/>
      <c r="V92" s="77"/>
      <c r="W92" s="77"/>
      <c r="X92" s="77"/>
      <c r="Y92" s="77"/>
    </row>
    <row r="93" spans="1:25" ht="15">
      <c r="A93" s="88"/>
      <c r="B93" s="77"/>
      <c r="C93" s="77"/>
      <c r="D93" s="77"/>
      <c r="E93" s="426">
        <f>SUM(E72)</f>
        <v>239869489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ht="15">
      <c r="A94" s="89">
        <v>3</v>
      </c>
      <c r="B94" s="77"/>
      <c r="C94" s="56" t="s">
        <v>72</v>
      </c>
      <c r="D94" s="56"/>
      <c r="E94" s="56"/>
      <c r="F94" s="56"/>
      <c r="G94" s="77"/>
      <c r="H94" s="77"/>
      <c r="I94" s="77"/>
      <c r="J94" s="77"/>
      <c r="K94" s="77"/>
      <c r="L94" s="77"/>
      <c r="M94" s="77"/>
      <c r="N94" s="77"/>
      <c r="O94" s="77"/>
      <c r="P94" s="84">
        <f>P92</f>
        <v>31379691.585192837</v>
      </c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ht="1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ht="15">
      <c r="A97" s="56" t="s">
        <v>17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ht="15.75" thickBot="1">
      <c r="A98" s="90" t="s">
        <v>18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ht="16.5" customHeight="1">
      <c r="A99" s="87" t="s">
        <v>19</v>
      </c>
      <c r="B99" s="86"/>
      <c r="C99" s="502" t="s">
        <v>678</v>
      </c>
      <c r="D99" s="502"/>
      <c r="E99" s="502"/>
      <c r="F99" s="502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77"/>
      <c r="T99" s="77"/>
      <c r="U99" s="77"/>
      <c r="V99" s="77"/>
      <c r="W99" s="77"/>
      <c r="X99" s="77"/>
      <c r="Y99" s="77"/>
    </row>
    <row r="100" spans="1:25" ht="31.5" customHeight="1">
      <c r="A100" s="87"/>
      <c r="B100" s="86"/>
      <c r="C100" s="502" t="s">
        <v>679</v>
      </c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2"/>
      <c r="R100" s="502"/>
      <c r="S100" s="77"/>
      <c r="T100" s="77"/>
      <c r="U100" s="77"/>
      <c r="V100" s="77"/>
      <c r="W100" s="77"/>
      <c r="X100" s="77"/>
      <c r="Y100" s="77"/>
    </row>
    <row r="101" spans="1:25" ht="16.5" customHeight="1">
      <c r="A101" s="87" t="s">
        <v>20</v>
      </c>
      <c r="B101" s="86"/>
      <c r="C101" s="502" t="s">
        <v>680</v>
      </c>
      <c r="D101" s="502"/>
      <c r="E101" s="502"/>
      <c r="F101" s="502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77"/>
      <c r="T101" s="77"/>
      <c r="U101" s="77"/>
      <c r="V101" s="77"/>
      <c r="W101" s="77"/>
      <c r="X101" s="77"/>
      <c r="Y101" s="77"/>
    </row>
    <row r="102" spans="1:25" ht="16.5" customHeight="1">
      <c r="A102" s="87" t="s">
        <v>21</v>
      </c>
      <c r="B102" s="86"/>
      <c r="C102" s="502" t="s">
        <v>681</v>
      </c>
      <c r="D102" s="502"/>
      <c r="E102" s="502"/>
      <c r="F102" s="502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77"/>
      <c r="T102" s="77"/>
      <c r="U102" s="77"/>
      <c r="V102" s="77"/>
      <c r="W102" s="77"/>
      <c r="X102" s="77"/>
      <c r="Y102" s="77"/>
    </row>
    <row r="103" spans="1:25" ht="16.5" customHeight="1">
      <c r="A103" s="87"/>
      <c r="B103" s="86"/>
      <c r="C103" s="502" t="s">
        <v>682</v>
      </c>
      <c r="D103" s="502"/>
      <c r="E103" s="502"/>
      <c r="F103" s="502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77"/>
      <c r="T103" s="77"/>
      <c r="U103" s="77"/>
      <c r="V103" s="77"/>
      <c r="W103" s="77"/>
      <c r="X103" s="77"/>
      <c r="Y103" s="77"/>
    </row>
    <row r="104" spans="1:25" ht="16.5" customHeight="1">
      <c r="A104" s="87" t="s">
        <v>22</v>
      </c>
      <c r="B104" s="86"/>
      <c r="C104" s="502" t="s">
        <v>683</v>
      </c>
      <c r="D104" s="502"/>
      <c r="E104" s="502"/>
      <c r="F104" s="502"/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  <c r="Q104" s="498"/>
      <c r="R104" s="498"/>
      <c r="S104" s="77"/>
      <c r="T104" s="77"/>
      <c r="U104" s="77"/>
      <c r="V104" s="77"/>
      <c r="W104" s="77"/>
      <c r="X104" s="77"/>
      <c r="Y104" s="77"/>
    </row>
    <row r="105" spans="1:25" ht="16.5" customHeight="1">
      <c r="A105" s="85" t="s">
        <v>23</v>
      </c>
      <c r="B105" s="86"/>
      <c r="C105" s="502" t="s">
        <v>76</v>
      </c>
      <c r="D105" s="502"/>
      <c r="E105" s="502"/>
      <c r="F105" s="502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77"/>
      <c r="T105" s="77"/>
      <c r="U105" s="77"/>
      <c r="V105" s="77"/>
      <c r="W105" s="77"/>
      <c r="X105" s="77"/>
      <c r="Y105" s="77"/>
    </row>
    <row r="106" spans="1:25" ht="16.5" customHeight="1">
      <c r="A106" s="85" t="s">
        <v>24</v>
      </c>
      <c r="B106" s="86"/>
      <c r="C106" s="502" t="s">
        <v>684</v>
      </c>
      <c r="D106" s="502"/>
      <c r="E106" s="502"/>
      <c r="F106" s="502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77"/>
      <c r="T106" s="77"/>
      <c r="U106" s="77"/>
      <c r="V106" s="77"/>
      <c r="W106" s="77"/>
      <c r="X106" s="77"/>
      <c r="Y106" s="77"/>
    </row>
    <row r="107" spans="1:25" ht="16.5" customHeight="1">
      <c r="A107" s="85" t="s">
        <v>25</v>
      </c>
      <c r="B107" s="86"/>
      <c r="C107" s="502" t="s">
        <v>685</v>
      </c>
      <c r="D107" s="502"/>
      <c r="E107" s="502"/>
      <c r="F107" s="502"/>
      <c r="G107" s="498"/>
      <c r="H107" s="498"/>
      <c r="I107" s="498"/>
      <c r="J107" s="498"/>
      <c r="K107" s="498"/>
      <c r="L107" s="498"/>
      <c r="M107" s="498"/>
      <c r="N107" s="498"/>
      <c r="O107" s="498"/>
      <c r="P107" s="498"/>
      <c r="Q107" s="498"/>
      <c r="R107" s="498"/>
      <c r="S107" s="77"/>
      <c r="T107" s="77"/>
      <c r="U107" s="77"/>
      <c r="V107" s="77"/>
      <c r="W107" s="77"/>
      <c r="X107" s="77"/>
      <c r="Y107" s="77"/>
    </row>
    <row r="108" spans="1:25" ht="16.5" customHeight="1">
      <c r="A108" s="96" t="s">
        <v>98</v>
      </c>
      <c r="B108" s="23"/>
      <c r="C108" s="502" t="s">
        <v>686</v>
      </c>
      <c r="D108" s="502"/>
      <c r="E108" s="502"/>
      <c r="F108" s="502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77"/>
      <c r="T108" s="77"/>
      <c r="U108" s="77"/>
      <c r="V108" s="77"/>
      <c r="W108" s="77"/>
      <c r="X108" s="77"/>
      <c r="Y108" s="77"/>
    </row>
    <row r="109" spans="1:25" ht="16.5" customHeight="1">
      <c r="A109" s="82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16.5" customHeight="1">
      <c r="A110" s="91"/>
      <c r="B110" s="92"/>
      <c r="C110" s="93"/>
      <c r="D110" s="93"/>
      <c r="E110" s="93"/>
      <c r="F110" s="93"/>
      <c r="G110" s="50"/>
      <c r="H110" s="43"/>
      <c r="I110" s="43"/>
      <c r="J110" s="12"/>
      <c r="K110" s="12"/>
      <c r="L110" s="56"/>
      <c r="M110" s="56"/>
      <c r="N110" s="37"/>
      <c r="O110" s="56"/>
      <c r="Q110" s="12"/>
      <c r="R110" s="94"/>
      <c r="S110" s="77"/>
      <c r="T110" s="77"/>
      <c r="U110" s="77"/>
      <c r="V110" s="77"/>
      <c r="W110" s="77"/>
      <c r="X110" s="77"/>
      <c r="Y110" s="77"/>
    </row>
    <row r="111" spans="1:25" ht="15.75">
      <c r="A111" s="91"/>
      <c r="B111" s="92"/>
      <c r="C111" s="93"/>
      <c r="D111" s="93"/>
      <c r="E111" s="93"/>
      <c r="F111" s="93"/>
      <c r="G111" s="50"/>
      <c r="H111" s="43"/>
      <c r="I111" s="43"/>
      <c r="J111" s="12"/>
      <c r="K111" s="12"/>
      <c r="L111" s="56"/>
      <c r="M111" s="56"/>
      <c r="N111" s="37"/>
      <c r="O111" s="56"/>
      <c r="Q111" s="12"/>
      <c r="R111" s="39"/>
      <c r="S111" s="77"/>
      <c r="T111" s="77"/>
      <c r="U111" s="77"/>
      <c r="V111" s="77"/>
      <c r="W111" s="77"/>
      <c r="X111" s="77"/>
      <c r="Y111" s="77"/>
    </row>
    <row r="112" spans="3:25" ht="1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3:25" ht="1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 spans="3:25" ht="1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3:25" ht="1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3:25" ht="1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 spans="3:25" ht="1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 spans="3:25" ht="1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3:25" ht="1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3:25" ht="1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3:25" ht="1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3:25" ht="1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3:25" ht="1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3:25" ht="1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3:25" ht="1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3:25" ht="1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3:25" ht="1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3:25" ht="1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3:25" ht="1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3:25" ht="1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3:25" ht="1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3:25" ht="1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3:25" ht="1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3:25" ht="1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3:25" ht="1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3:25" ht="1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3:25" ht="1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3:25" ht="1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3:25" ht="1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3:25" ht="1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3:25" ht="1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3:25" ht="1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3:25" ht="1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3:25" ht="1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3:25" ht="1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3:25" ht="1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3:25" ht="1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3:25" ht="1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3:25" ht="1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3:25" ht="1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3:25" ht="1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3:25" ht="1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3:25" ht="1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3:25" ht="1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3:25" ht="1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3:25" ht="1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3:25" ht="1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3:25" ht="1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3:25" ht="1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 spans="3:25" ht="1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3:25" ht="1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3:25" ht="1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3:25" ht="1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3:25" ht="1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3:25" ht="1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3:25" ht="1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3:25" ht="1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3:25" ht="1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3:25" ht="1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3:25" ht="1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3:25" ht="1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3:25" ht="1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3:25" ht="1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3:25" ht="1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3:25" ht="1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 spans="3:25" ht="1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 spans="3:25" ht="1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 spans="3:25" ht="1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 spans="3:25" ht="1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 spans="3:25" ht="1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 spans="3:25" ht="1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 spans="3:25" ht="1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 spans="3:25" ht="1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 spans="3:25" ht="1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 spans="3:25" ht="1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 spans="3:25" ht="1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 spans="3:25" ht="1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 spans="3:25" ht="1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 spans="3:25" ht="1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 spans="3:25" ht="1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 spans="3:25" ht="1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3:25" ht="1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 spans="3:25" ht="1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 spans="3:25" ht="1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 spans="3:25" ht="1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 spans="3:25" ht="1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 spans="3:25" ht="1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 spans="3:25" ht="1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 spans="3:25" ht="1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 spans="3:25" ht="1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 spans="3:25" ht="1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 spans="3:25" ht="1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 spans="3:25" ht="1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3:25" ht="1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 spans="3:25" ht="1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 spans="3:25" ht="1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 spans="3:25" ht="1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 spans="3:25" ht="1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 spans="3:25" ht="1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3:25" ht="1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 spans="3:25" ht="1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 spans="3:25" ht="1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 spans="3:25" ht="1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 spans="3:25" ht="1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 spans="3:25" ht="1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 spans="3:25" ht="1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 spans="3:25" ht="1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 spans="3:25" ht="1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 spans="3:25" ht="1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3:25" ht="1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3:25" ht="1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3:25" ht="1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3:25" ht="1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3:25" ht="1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3:25" ht="1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3:25" ht="1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3:25" ht="1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3:25" ht="1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3:25" ht="1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3:25" ht="1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 spans="3:25" ht="1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 spans="3:25" ht="1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 spans="3:25" ht="1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3:25" ht="1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 spans="3:25" ht="1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 spans="3:25" ht="1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 spans="3:25" ht="1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 spans="3:25" ht="1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 spans="3:25" ht="1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 spans="3:25" ht="1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 spans="3:25" ht="1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3:25" ht="1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 spans="3:25" ht="1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 spans="3:25" ht="1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 spans="3:25" ht="1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 spans="3:25" ht="1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 spans="3:25" ht="1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 spans="3:25" ht="1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 spans="3:25" ht="1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 spans="3:25" ht="1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 spans="3:25" ht="1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 spans="3:25" ht="1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3:25" ht="1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 spans="3:25" ht="1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 spans="3:25" ht="1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 spans="3:25" ht="1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3:25" ht="1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 spans="3:25" ht="1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 spans="3:25" ht="1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 spans="3:25" ht="1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3:25" ht="1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 spans="3:25" ht="1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 spans="3:25" ht="1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 spans="3:25" ht="1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 spans="3:25" ht="1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 spans="3:25" ht="1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 spans="3:25" ht="1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 spans="3:25" ht="1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 spans="3:25" ht="1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 spans="3:25" ht="1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 spans="3:25" ht="1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 spans="3:25" ht="1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 spans="3:25" ht="1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 spans="3:25" ht="1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 spans="3:25" ht="1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 spans="3:25" ht="1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 spans="3:25" ht="1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 spans="3:25" ht="1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 spans="3:25" ht="1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 spans="3:25" ht="1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 spans="3:25" ht="1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 spans="3:25" ht="1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 spans="3:25" ht="1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 spans="3:25" ht="1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 spans="3:25" ht="1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 spans="3:25" ht="1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 spans="3:25" ht="1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 spans="3:25" ht="1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 spans="3:25" ht="1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 spans="3:25" ht="1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 spans="3:25" ht="1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 spans="3:25" ht="1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 spans="3:25" ht="1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 spans="3:25" ht="1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 spans="3:25" ht="1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 spans="3:25" ht="1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 spans="3:25" ht="1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 spans="3:18" ht="1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3:18" ht="1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3:18" ht="1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3:18" ht="1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3:18" ht="1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3:18" ht="1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3:18" ht="1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3:18" ht="1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</sheetData>
  <mergeCells count="10">
    <mergeCell ref="C99:R99"/>
    <mergeCell ref="C100:R100"/>
    <mergeCell ref="C101:R101"/>
    <mergeCell ref="C102:R102"/>
    <mergeCell ref="C107:R107"/>
    <mergeCell ref="C108:R108"/>
    <mergeCell ref="C103:R103"/>
    <mergeCell ref="C104:R104"/>
    <mergeCell ref="C105:R105"/>
    <mergeCell ref="C106:R106"/>
  </mergeCells>
  <printOptions/>
  <pageMargins left="0.75" right="0.75" top="1" bottom="1" header="0.5" footer="0.5"/>
  <pageSetup fitToHeight="2" horizontalDpi="600" verticalDpi="600" orientation="landscape" scale="45" r:id="rId1"/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4"/>
  <sheetViews>
    <sheetView showGridLines="0" workbookViewId="0" topLeftCell="A1">
      <selection activeCell="A2" sqref="A2"/>
    </sheetView>
  </sheetViews>
  <sheetFormatPr defaultColWidth="8.88671875" defaultRowHeight="15"/>
  <cols>
    <col min="1" max="1" width="16.5546875" style="97" customWidth="1"/>
    <col min="2" max="2" width="25.5546875" style="97" customWidth="1"/>
    <col min="3" max="3" width="13.10546875" style="97" customWidth="1"/>
    <col min="4" max="4" width="8.77734375" style="97" customWidth="1"/>
    <col min="5" max="9" width="8.5546875" style="97" customWidth="1"/>
    <col min="10" max="11" width="8.5546875" style="97" hidden="1" customWidth="1"/>
    <col min="12" max="12" width="8.99609375" style="97" hidden="1" customWidth="1"/>
    <col min="13" max="13" width="7.10546875" style="97" hidden="1" customWidth="1"/>
    <col min="14" max="16384" width="8.88671875" style="97" customWidth="1"/>
  </cols>
  <sheetData>
    <row r="1" s="104" customFormat="1" ht="18">
      <c r="A1" s="103" t="s">
        <v>687</v>
      </c>
    </row>
    <row r="2" ht="15">
      <c r="A2" s="105"/>
    </row>
    <row r="3" spans="1:5" ht="15">
      <c r="A3" s="106" t="s">
        <v>140</v>
      </c>
      <c r="B3" s="427" t="s">
        <v>172</v>
      </c>
      <c r="C3" s="107"/>
      <c r="D3" s="107"/>
      <c r="E3" s="107"/>
    </row>
    <row r="4" spans="1:5" ht="15">
      <c r="A4" s="105"/>
      <c r="B4" s="107"/>
      <c r="C4" s="107"/>
      <c r="D4" s="107"/>
      <c r="E4" s="107"/>
    </row>
    <row r="5" spans="1:9" ht="15">
      <c r="A5" s="106" t="s">
        <v>141</v>
      </c>
      <c r="B5" s="428" t="s">
        <v>107</v>
      </c>
      <c r="C5" s="107"/>
      <c r="D5" s="429"/>
      <c r="E5" s="429"/>
      <c r="F5" s="430"/>
      <c r="G5" s="430"/>
      <c r="H5" s="430"/>
      <c r="I5" s="430"/>
    </row>
    <row r="6" spans="1:13" ht="15">
      <c r="A6" s="105"/>
      <c r="B6" s="107"/>
      <c r="C6" s="107"/>
      <c r="D6" s="429"/>
      <c r="E6" s="429"/>
      <c r="F6" s="430"/>
      <c r="G6" s="430"/>
      <c r="H6" s="430"/>
      <c r="I6" s="430"/>
      <c r="M6" s="108" t="s">
        <v>142</v>
      </c>
    </row>
    <row r="7" spans="1:13" ht="15">
      <c r="A7" s="109"/>
      <c r="B7" s="110" t="s">
        <v>143</v>
      </c>
      <c r="C7" s="138" t="s">
        <v>688</v>
      </c>
      <c r="D7" s="431"/>
      <c r="E7" s="431"/>
      <c r="F7" s="431"/>
      <c r="G7" s="431"/>
      <c r="H7" s="431"/>
      <c r="I7" s="431"/>
      <c r="J7" s="111"/>
      <c r="K7" s="111"/>
      <c r="L7" s="111"/>
      <c r="M7" s="112" t="s">
        <v>144</v>
      </c>
    </row>
    <row r="8" spans="1:12" ht="15">
      <c r="A8" s="109"/>
      <c r="B8" s="110" t="s">
        <v>145</v>
      </c>
      <c r="C8" s="111" t="s">
        <v>171</v>
      </c>
      <c r="D8" s="431"/>
      <c r="E8" s="431"/>
      <c r="F8" s="431"/>
      <c r="G8" s="431"/>
      <c r="H8" s="431"/>
      <c r="I8" s="431"/>
      <c r="J8" s="111"/>
      <c r="K8" s="111"/>
      <c r="L8" s="111"/>
    </row>
    <row r="9" spans="1:12" ht="15" customHeight="1">
      <c r="A9" s="109"/>
      <c r="B9" s="110" t="s">
        <v>146</v>
      </c>
      <c r="C9" s="111" t="s">
        <v>142</v>
      </c>
      <c r="D9" s="431" t="s">
        <v>144</v>
      </c>
      <c r="E9" s="431" t="s">
        <v>142</v>
      </c>
      <c r="F9" s="431" t="s">
        <v>142</v>
      </c>
      <c r="G9" s="431" t="s">
        <v>142</v>
      </c>
      <c r="H9" s="431" t="s">
        <v>142</v>
      </c>
      <c r="I9" s="431" t="s">
        <v>142</v>
      </c>
      <c r="J9" s="432" t="s">
        <v>142</v>
      </c>
      <c r="K9" s="432" t="s">
        <v>144</v>
      </c>
      <c r="L9" s="432" t="s">
        <v>144</v>
      </c>
    </row>
    <row r="10" spans="1:12" ht="15">
      <c r="A10" s="433" t="s">
        <v>147</v>
      </c>
      <c r="B10" s="434" t="str">
        <f>"December "&amp;B3-1</f>
        <v>December 2012</v>
      </c>
      <c r="C10" s="435">
        <v>139881253.7</v>
      </c>
      <c r="D10" s="436"/>
      <c r="E10" s="436"/>
      <c r="F10" s="436"/>
      <c r="G10" s="436"/>
      <c r="H10" s="436"/>
      <c r="I10" s="436"/>
      <c r="J10" s="437"/>
      <c r="K10" s="438"/>
      <c r="L10" s="439"/>
    </row>
    <row r="11" spans="1:12" ht="15">
      <c r="A11" s="440" t="s">
        <v>148</v>
      </c>
      <c r="B11" s="441" t="str">
        <f>"January "&amp;B3</f>
        <v>January 2013</v>
      </c>
      <c r="C11" s="442">
        <v>159037032.70000002</v>
      </c>
      <c r="D11" s="443"/>
      <c r="E11" s="444"/>
      <c r="F11" s="443"/>
      <c r="G11" s="444"/>
      <c r="H11" s="443"/>
      <c r="I11" s="444"/>
      <c r="J11" s="445"/>
      <c r="K11" s="446"/>
      <c r="L11" s="445"/>
    </row>
    <row r="12" spans="1:12" ht="15">
      <c r="A12" s="440"/>
      <c r="B12" s="447" t="s">
        <v>149</v>
      </c>
      <c r="C12" s="442">
        <v>178271461.7</v>
      </c>
      <c r="D12" s="443"/>
      <c r="E12" s="444"/>
      <c r="F12" s="443"/>
      <c r="G12" s="444"/>
      <c r="H12" s="443"/>
      <c r="I12" s="444"/>
      <c r="J12" s="445"/>
      <c r="K12" s="446"/>
      <c r="L12" s="445"/>
    </row>
    <row r="13" spans="1:12" ht="15">
      <c r="A13" s="440"/>
      <c r="B13" s="447" t="s">
        <v>150</v>
      </c>
      <c r="C13" s="442">
        <v>199465990.7</v>
      </c>
      <c r="D13" s="443"/>
      <c r="E13" s="444"/>
      <c r="F13" s="443"/>
      <c r="G13" s="444"/>
      <c r="H13" s="443"/>
      <c r="I13" s="444"/>
      <c r="J13" s="445"/>
      <c r="K13" s="446"/>
      <c r="L13" s="445"/>
    </row>
    <row r="14" spans="1:12" ht="15">
      <c r="A14" s="440"/>
      <c r="B14" s="447" t="s">
        <v>151</v>
      </c>
      <c r="C14" s="442">
        <v>212373204.70000002</v>
      </c>
      <c r="D14" s="443"/>
      <c r="E14" s="444"/>
      <c r="F14" s="443"/>
      <c r="G14" s="444"/>
      <c r="H14" s="443"/>
      <c r="I14" s="444"/>
      <c r="J14" s="445"/>
      <c r="K14" s="446"/>
      <c r="L14" s="445"/>
    </row>
    <row r="15" spans="1:12" ht="15">
      <c r="A15" s="440"/>
      <c r="B15" s="447" t="s">
        <v>152</v>
      </c>
      <c r="C15" s="442">
        <v>222885133.7</v>
      </c>
      <c r="D15" s="443"/>
      <c r="E15" s="444"/>
      <c r="F15" s="443"/>
      <c r="G15" s="444"/>
      <c r="H15" s="443"/>
      <c r="I15" s="444"/>
      <c r="J15" s="445"/>
      <c r="K15" s="446"/>
      <c r="L15" s="445"/>
    </row>
    <row r="16" spans="1:12" ht="15">
      <c r="A16" s="440"/>
      <c r="B16" s="447" t="s">
        <v>153</v>
      </c>
      <c r="C16" s="442">
        <v>236300547.7</v>
      </c>
      <c r="D16" s="443"/>
      <c r="E16" s="444"/>
      <c r="F16" s="443"/>
      <c r="G16" s="444"/>
      <c r="H16" s="443"/>
      <c r="I16" s="444"/>
      <c r="J16" s="445"/>
      <c r="K16" s="446"/>
      <c r="L16" s="445"/>
    </row>
    <row r="17" spans="1:12" ht="15">
      <c r="A17" s="440"/>
      <c r="B17" s="447" t="s">
        <v>154</v>
      </c>
      <c r="C17" s="442">
        <v>250936239.7</v>
      </c>
      <c r="D17" s="443"/>
      <c r="E17" s="444"/>
      <c r="F17" s="443"/>
      <c r="G17" s="444"/>
      <c r="H17" s="443"/>
      <c r="I17" s="444"/>
      <c r="J17" s="445"/>
      <c r="K17" s="446"/>
      <c r="L17" s="445"/>
    </row>
    <row r="18" spans="1:12" ht="15">
      <c r="A18" s="440"/>
      <c r="B18" s="447" t="s">
        <v>155</v>
      </c>
      <c r="C18" s="442">
        <v>266548498.7</v>
      </c>
      <c r="D18" s="443"/>
      <c r="E18" s="444"/>
      <c r="F18" s="443"/>
      <c r="G18" s="444"/>
      <c r="H18" s="443"/>
      <c r="I18" s="444"/>
      <c r="J18" s="445"/>
      <c r="K18" s="446"/>
      <c r="L18" s="445"/>
    </row>
    <row r="19" spans="1:12" ht="15">
      <c r="A19" s="440"/>
      <c r="B19" s="447" t="s">
        <v>156</v>
      </c>
      <c r="C19" s="442">
        <v>285356860.7</v>
      </c>
      <c r="D19" s="443"/>
      <c r="E19" s="444"/>
      <c r="F19" s="443"/>
      <c r="G19" s="444"/>
      <c r="H19" s="443"/>
      <c r="I19" s="444"/>
      <c r="J19" s="445"/>
      <c r="K19" s="446"/>
      <c r="L19" s="445"/>
    </row>
    <row r="20" spans="1:12" ht="15">
      <c r="A20" s="440"/>
      <c r="B20" s="447" t="s">
        <v>157</v>
      </c>
      <c r="C20" s="442">
        <v>305958489.7</v>
      </c>
      <c r="D20" s="443"/>
      <c r="E20" s="444"/>
      <c r="F20" s="443"/>
      <c r="G20" s="444"/>
      <c r="H20" s="443"/>
      <c r="I20" s="444"/>
      <c r="J20" s="445"/>
      <c r="K20" s="446"/>
      <c r="L20" s="445"/>
    </row>
    <row r="21" spans="1:12" ht="15">
      <c r="A21" s="440"/>
      <c r="B21" s="447" t="s">
        <v>158</v>
      </c>
      <c r="C21" s="442">
        <v>324268018.70000005</v>
      </c>
      <c r="D21" s="443"/>
      <c r="E21" s="444"/>
      <c r="F21" s="443"/>
      <c r="G21" s="444"/>
      <c r="H21" s="443"/>
      <c r="I21" s="444"/>
      <c r="J21" s="445"/>
      <c r="K21" s="446"/>
      <c r="L21" s="445"/>
    </row>
    <row r="22" spans="1:12" ht="15">
      <c r="A22" s="448"/>
      <c r="B22" s="449" t="str">
        <f>"December "&amp;B3</f>
        <v>December 2013</v>
      </c>
      <c r="C22" s="442">
        <v>337020622.7</v>
      </c>
      <c r="D22" s="443"/>
      <c r="E22" s="444"/>
      <c r="F22" s="443"/>
      <c r="G22" s="444"/>
      <c r="H22" s="443"/>
      <c r="I22" s="444"/>
      <c r="J22" s="445"/>
      <c r="K22" s="446"/>
      <c r="L22" s="445"/>
    </row>
    <row r="23" spans="1:12" ht="15">
      <c r="A23" s="120"/>
      <c r="B23" s="121" t="s">
        <v>159</v>
      </c>
      <c r="C23" s="450">
        <f>AVERAGE(C10:C22)</f>
        <v>239869488.8538461</v>
      </c>
      <c r="D23" s="451"/>
      <c r="E23" s="451"/>
      <c r="F23" s="451"/>
      <c r="G23" s="451"/>
      <c r="H23" s="451"/>
      <c r="I23" s="451"/>
      <c r="J23" s="452"/>
      <c r="K23" s="453"/>
      <c r="L23" s="454"/>
    </row>
    <row r="24" spans="1:12" ht="15">
      <c r="A24" s="120"/>
      <c r="B24" s="121"/>
      <c r="C24" s="455"/>
      <c r="D24" s="456"/>
      <c r="E24" s="456"/>
      <c r="F24" s="456"/>
      <c r="G24" s="456"/>
      <c r="H24" s="456"/>
      <c r="I24" s="456"/>
      <c r="J24" s="457"/>
      <c r="K24" s="455"/>
      <c r="L24" s="457"/>
    </row>
    <row r="25" spans="1:12" ht="15">
      <c r="A25" s="120"/>
      <c r="B25" s="121"/>
      <c r="C25" s="455"/>
      <c r="D25" s="456"/>
      <c r="E25" s="456"/>
      <c r="F25" s="456"/>
      <c r="G25" s="456"/>
      <c r="H25" s="456"/>
      <c r="I25" s="456"/>
      <c r="J25" s="457"/>
      <c r="K25" s="455"/>
      <c r="L25" s="457"/>
    </row>
    <row r="26" spans="1:12" ht="15">
      <c r="A26" s="433" t="s">
        <v>160</v>
      </c>
      <c r="B26" s="434" t="str">
        <f>B10</f>
        <v>December 2012</v>
      </c>
      <c r="C26" s="435">
        <v>851.9976420870908</v>
      </c>
      <c r="D26" s="436"/>
      <c r="E26" s="436"/>
      <c r="F26" s="436"/>
      <c r="G26" s="436"/>
      <c r="H26" s="436"/>
      <c r="I26" s="436"/>
      <c r="J26" s="437"/>
      <c r="K26" s="438"/>
      <c r="L26" s="439"/>
    </row>
    <row r="27" spans="1:12" ht="15">
      <c r="A27" s="440" t="s">
        <v>161</v>
      </c>
      <c r="B27" s="441" t="str">
        <f>B11</f>
        <v>January 2013</v>
      </c>
      <c r="C27" s="442">
        <v>1902.2946746150915</v>
      </c>
      <c r="D27" s="443"/>
      <c r="E27" s="444"/>
      <c r="F27" s="443"/>
      <c r="G27" s="444"/>
      <c r="H27" s="443"/>
      <c r="I27" s="444"/>
      <c r="J27" s="445"/>
      <c r="K27" s="446"/>
      <c r="L27" s="445"/>
    </row>
    <row r="28" spans="1:12" ht="15">
      <c r="A28" s="440" t="s">
        <v>689</v>
      </c>
      <c r="B28" s="458" t="s">
        <v>149</v>
      </c>
      <c r="C28" s="442">
        <v>3812.6337841636914</v>
      </c>
      <c r="D28" s="443"/>
      <c r="E28" s="444"/>
      <c r="F28" s="443"/>
      <c r="G28" s="444"/>
      <c r="H28" s="443"/>
      <c r="I28" s="444"/>
      <c r="J28" s="445"/>
      <c r="K28" s="446"/>
      <c r="L28" s="445"/>
    </row>
    <row r="29" spans="1:12" ht="15">
      <c r="A29" s="440"/>
      <c r="B29" s="458" t="s">
        <v>150</v>
      </c>
      <c r="C29" s="442">
        <v>5942.962270396312</v>
      </c>
      <c r="D29" s="443"/>
      <c r="E29" s="444"/>
      <c r="F29" s="443"/>
      <c r="G29" s="444"/>
      <c r="H29" s="443"/>
      <c r="I29" s="444"/>
      <c r="J29" s="445"/>
      <c r="K29" s="446"/>
      <c r="L29" s="445"/>
    </row>
    <row r="30" spans="1:12" ht="15">
      <c r="A30" s="440"/>
      <c r="B30" s="458" t="s">
        <v>151</v>
      </c>
      <c r="C30" s="442">
        <v>8233.095951398318</v>
      </c>
      <c r="D30" s="443"/>
      <c r="E30" s="444"/>
      <c r="F30" s="443"/>
      <c r="G30" s="444"/>
      <c r="H30" s="443"/>
      <c r="I30" s="444"/>
      <c r="J30" s="445"/>
      <c r="K30" s="446"/>
      <c r="L30" s="445"/>
    </row>
    <row r="31" spans="1:12" ht="15">
      <c r="A31" s="440"/>
      <c r="B31" s="458" t="s">
        <v>152</v>
      </c>
      <c r="C31" s="442">
        <v>11886.944448660426</v>
      </c>
      <c r="D31" s="443"/>
      <c r="E31" s="444"/>
      <c r="F31" s="443"/>
      <c r="G31" s="444"/>
      <c r="H31" s="443"/>
      <c r="I31" s="444"/>
      <c r="J31" s="445"/>
      <c r="K31" s="446"/>
      <c r="L31" s="445"/>
    </row>
    <row r="32" spans="1:12" ht="15">
      <c r="A32" s="440"/>
      <c r="B32" s="458" t="s">
        <v>153</v>
      </c>
      <c r="C32" s="442">
        <v>17494.82908164519</v>
      </c>
      <c r="D32" s="443"/>
      <c r="E32" s="444"/>
      <c r="F32" s="443"/>
      <c r="G32" s="444"/>
      <c r="H32" s="443"/>
      <c r="I32" s="444"/>
      <c r="J32" s="445"/>
      <c r="K32" s="446"/>
      <c r="L32" s="445"/>
    </row>
    <row r="33" spans="1:12" ht="15">
      <c r="A33" s="440"/>
      <c r="B33" s="458" t="s">
        <v>154</v>
      </c>
      <c r="C33" s="442">
        <v>34120.61567269248</v>
      </c>
      <c r="D33" s="443"/>
      <c r="E33" s="444"/>
      <c r="F33" s="443"/>
      <c r="G33" s="444"/>
      <c r="H33" s="443"/>
      <c r="I33" s="444"/>
      <c r="J33" s="445"/>
      <c r="K33" s="446"/>
      <c r="L33" s="445"/>
    </row>
    <row r="34" spans="1:12" ht="15">
      <c r="A34" s="440"/>
      <c r="B34" s="458" t="s">
        <v>155</v>
      </c>
      <c r="C34" s="442">
        <v>61093.944499889505</v>
      </c>
      <c r="D34" s="443"/>
      <c r="E34" s="444"/>
      <c r="F34" s="443"/>
      <c r="G34" s="444"/>
      <c r="H34" s="443"/>
      <c r="I34" s="444"/>
      <c r="J34" s="445"/>
      <c r="K34" s="446"/>
      <c r="L34" s="445"/>
    </row>
    <row r="35" spans="1:12" ht="15">
      <c r="A35" s="440"/>
      <c r="B35" s="458" t="s">
        <v>156</v>
      </c>
      <c r="C35" s="442">
        <v>88936.56389077159</v>
      </c>
      <c r="D35" s="443"/>
      <c r="E35" s="444"/>
      <c r="F35" s="443"/>
      <c r="G35" s="444"/>
      <c r="H35" s="443"/>
      <c r="I35" s="444"/>
      <c r="J35" s="445"/>
      <c r="K35" s="446"/>
      <c r="L35" s="445"/>
    </row>
    <row r="36" spans="1:12" ht="15">
      <c r="A36" s="440"/>
      <c r="B36" s="458" t="s">
        <v>157</v>
      </c>
      <c r="C36" s="442">
        <v>117677.8805848837</v>
      </c>
      <c r="D36" s="443"/>
      <c r="E36" s="444"/>
      <c r="F36" s="443"/>
      <c r="G36" s="444"/>
      <c r="H36" s="443"/>
      <c r="I36" s="444"/>
      <c r="J36" s="445"/>
      <c r="K36" s="446"/>
      <c r="L36" s="445"/>
    </row>
    <row r="37" spans="1:12" ht="15">
      <c r="A37" s="440"/>
      <c r="B37" s="458" t="s">
        <v>158</v>
      </c>
      <c r="C37" s="442">
        <v>146417.9203840367</v>
      </c>
      <c r="D37" s="443"/>
      <c r="E37" s="444"/>
      <c r="F37" s="443"/>
      <c r="G37" s="444"/>
      <c r="H37" s="443"/>
      <c r="I37" s="444"/>
      <c r="J37" s="445"/>
      <c r="K37" s="446"/>
      <c r="L37" s="445"/>
    </row>
    <row r="38" spans="1:12" ht="15">
      <c r="A38" s="448"/>
      <c r="B38" s="449" t="str">
        <f>+B22</f>
        <v>December 2013</v>
      </c>
      <c r="C38" s="442">
        <v>294263.08344922523</v>
      </c>
      <c r="D38" s="443"/>
      <c r="E38" s="444"/>
      <c r="F38" s="443"/>
      <c r="G38" s="444"/>
      <c r="H38" s="443"/>
      <c r="I38" s="444"/>
      <c r="J38" s="445"/>
      <c r="K38" s="446"/>
      <c r="L38" s="445"/>
    </row>
    <row r="39" spans="1:12" ht="15">
      <c r="A39" s="120"/>
      <c r="B39" s="121" t="s">
        <v>159</v>
      </c>
      <c r="C39" s="450">
        <f>AVERAGE(C26:C38)</f>
        <v>60971.90510265117</v>
      </c>
      <c r="D39" s="451"/>
      <c r="E39" s="451"/>
      <c r="F39" s="451"/>
      <c r="G39" s="451"/>
      <c r="H39" s="451"/>
      <c r="I39" s="451"/>
      <c r="J39" s="452"/>
      <c r="K39" s="453"/>
      <c r="L39" s="454"/>
    </row>
    <row r="40" spans="1:12" s="98" customFormat="1" ht="15">
      <c r="A40" s="123"/>
      <c r="B40" s="124"/>
      <c r="C40" s="459"/>
      <c r="D40" s="456"/>
      <c r="E40" s="456"/>
      <c r="F40" s="456"/>
      <c r="G40" s="456"/>
      <c r="H40" s="456"/>
      <c r="I40" s="456"/>
      <c r="J40" s="459"/>
      <c r="K40" s="459"/>
      <c r="L40" s="459"/>
    </row>
    <row r="41" spans="1:12" ht="15">
      <c r="A41" s="120"/>
      <c r="B41" s="125"/>
      <c r="C41" s="460"/>
      <c r="D41" s="461"/>
      <c r="E41" s="461"/>
      <c r="F41" s="461"/>
      <c r="G41" s="461"/>
      <c r="H41" s="461"/>
      <c r="I41" s="461"/>
      <c r="J41" s="460"/>
      <c r="K41" s="460"/>
      <c r="L41" s="460"/>
    </row>
    <row r="42" spans="1:12" ht="15">
      <c r="A42" s="120"/>
      <c r="B42" s="126"/>
      <c r="C42" s="125"/>
      <c r="D42" s="462"/>
      <c r="E42" s="462"/>
      <c r="F42" s="462"/>
      <c r="G42" s="462"/>
      <c r="H42" s="462"/>
      <c r="I42" s="462"/>
      <c r="J42" s="125"/>
      <c r="K42" s="125"/>
      <c r="L42" s="125"/>
    </row>
    <row r="43" spans="1:12" ht="15">
      <c r="A43" s="433" t="s">
        <v>162</v>
      </c>
      <c r="B43" s="463" t="str">
        <f>B10</f>
        <v>December 2012</v>
      </c>
      <c r="C43" s="435">
        <f aca="true" t="shared" si="0" ref="C43:C55">+C10-C26</f>
        <v>139880401.7023579</v>
      </c>
      <c r="D43" s="436"/>
      <c r="E43" s="436"/>
      <c r="F43" s="436"/>
      <c r="G43" s="436"/>
      <c r="H43" s="436"/>
      <c r="I43" s="436"/>
      <c r="J43" s="464"/>
      <c r="K43" s="465"/>
      <c r="L43" s="466"/>
    </row>
    <row r="44" spans="1:12" ht="15">
      <c r="A44" s="440" t="s">
        <v>690</v>
      </c>
      <c r="B44" s="467" t="str">
        <f>B11</f>
        <v>January 2013</v>
      </c>
      <c r="C44" s="442">
        <f t="shared" si="0"/>
        <v>159035130.4053254</v>
      </c>
      <c r="D44" s="443"/>
      <c r="E44" s="444"/>
      <c r="F44" s="443"/>
      <c r="G44" s="444"/>
      <c r="H44" s="443"/>
      <c r="I44" s="444"/>
      <c r="J44" s="468"/>
      <c r="K44" s="469"/>
      <c r="L44" s="468"/>
    </row>
    <row r="45" spans="1:12" ht="15">
      <c r="A45" s="440"/>
      <c r="B45" s="458" t="s">
        <v>149</v>
      </c>
      <c r="C45" s="442">
        <f t="shared" si="0"/>
        <v>178267649.0662158</v>
      </c>
      <c r="D45" s="443"/>
      <c r="E45" s="444"/>
      <c r="F45" s="443"/>
      <c r="G45" s="444"/>
      <c r="H45" s="443"/>
      <c r="I45" s="444"/>
      <c r="J45" s="468"/>
      <c r="K45" s="469"/>
      <c r="L45" s="468"/>
    </row>
    <row r="46" spans="1:12" ht="15">
      <c r="A46" s="440"/>
      <c r="B46" s="458" t="s">
        <v>150</v>
      </c>
      <c r="C46" s="442">
        <f t="shared" si="0"/>
        <v>199460047.73772958</v>
      </c>
      <c r="D46" s="443"/>
      <c r="E46" s="444"/>
      <c r="F46" s="443"/>
      <c r="G46" s="444"/>
      <c r="H46" s="443"/>
      <c r="I46" s="444"/>
      <c r="J46" s="468"/>
      <c r="K46" s="469"/>
      <c r="L46" s="468"/>
    </row>
    <row r="47" spans="1:12" ht="15">
      <c r="A47" s="440"/>
      <c r="B47" s="458" t="s">
        <v>151</v>
      </c>
      <c r="C47" s="442">
        <f t="shared" si="0"/>
        <v>212364971.6040486</v>
      </c>
      <c r="D47" s="443"/>
      <c r="E47" s="444"/>
      <c r="F47" s="443"/>
      <c r="G47" s="444"/>
      <c r="H47" s="443"/>
      <c r="I47" s="444"/>
      <c r="J47" s="468"/>
      <c r="K47" s="469"/>
      <c r="L47" s="468"/>
    </row>
    <row r="48" spans="1:12" ht="15">
      <c r="A48" s="440"/>
      <c r="B48" s="458" t="s">
        <v>152</v>
      </c>
      <c r="C48" s="442">
        <f t="shared" si="0"/>
        <v>222873246.75555134</v>
      </c>
      <c r="D48" s="443"/>
      <c r="E48" s="444"/>
      <c r="F48" s="443"/>
      <c r="G48" s="444"/>
      <c r="H48" s="443"/>
      <c r="I48" s="444"/>
      <c r="J48" s="468"/>
      <c r="K48" s="469"/>
      <c r="L48" s="468"/>
    </row>
    <row r="49" spans="1:12" ht="15">
      <c r="A49" s="440"/>
      <c r="B49" s="458" t="s">
        <v>153</v>
      </c>
      <c r="C49" s="442">
        <f t="shared" si="0"/>
        <v>236283052.87091833</v>
      </c>
      <c r="D49" s="443"/>
      <c r="E49" s="444"/>
      <c r="F49" s="443"/>
      <c r="G49" s="444"/>
      <c r="H49" s="443"/>
      <c r="I49" s="444"/>
      <c r="J49" s="468"/>
      <c r="K49" s="469"/>
      <c r="L49" s="468"/>
    </row>
    <row r="50" spans="1:12" ht="15">
      <c r="A50" s="440"/>
      <c r="B50" s="458" t="s">
        <v>154</v>
      </c>
      <c r="C50" s="442">
        <f t="shared" si="0"/>
        <v>250902119.0843273</v>
      </c>
      <c r="D50" s="443"/>
      <c r="E50" s="444"/>
      <c r="F50" s="443"/>
      <c r="G50" s="444"/>
      <c r="H50" s="443"/>
      <c r="I50" s="444"/>
      <c r="J50" s="468"/>
      <c r="K50" s="469"/>
      <c r="L50" s="468"/>
    </row>
    <row r="51" spans="1:12" ht="15">
      <c r="A51" s="440"/>
      <c r="B51" s="458" t="s">
        <v>155</v>
      </c>
      <c r="C51" s="442">
        <f t="shared" si="0"/>
        <v>266487404.7555001</v>
      </c>
      <c r="D51" s="443"/>
      <c r="E51" s="444"/>
      <c r="F51" s="443"/>
      <c r="G51" s="444"/>
      <c r="H51" s="443"/>
      <c r="I51" s="444"/>
      <c r="J51" s="468"/>
      <c r="K51" s="469"/>
      <c r="L51" s="468"/>
    </row>
    <row r="52" spans="1:12" ht="15">
      <c r="A52" s="440"/>
      <c r="B52" s="458" t="s">
        <v>156</v>
      </c>
      <c r="C52" s="442">
        <f t="shared" si="0"/>
        <v>285267924.13610923</v>
      </c>
      <c r="D52" s="443"/>
      <c r="E52" s="444"/>
      <c r="F52" s="443"/>
      <c r="G52" s="444"/>
      <c r="H52" s="443"/>
      <c r="I52" s="444"/>
      <c r="J52" s="468"/>
      <c r="K52" s="469"/>
      <c r="L52" s="468"/>
    </row>
    <row r="53" spans="1:12" ht="15">
      <c r="A53" s="440"/>
      <c r="B53" s="458" t="s">
        <v>157</v>
      </c>
      <c r="C53" s="442">
        <f t="shared" si="0"/>
        <v>305840811.8194151</v>
      </c>
      <c r="D53" s="443"/>
      <c r="E53" s="444"/>
      <c r="F53" s="443"/>
      <c r="G53" s="444"/>
      <c r="H53" s="443"/>
      <c r="I53" s="444"/>
      <c r="J53" s="468"/>
      <c r="K53" s="469"/>
      <c r="L53" s="468"/>
    </row>
    <row r="54" spans="1:12" ht="15">
      <c r="A54" s="440"/>
      <c r="B54" s="458" t="s">
        <v>158</v>
      </c>
      <c r="C54" s="442">
        <f t="shared" si="0"/>
        <v>324121600.779616</v>
      </c>
      <c r="D54" s="443"/>
      <c r="E54" s="444"/>
      <c r="F54" s="443"/>
      <c r="G54" s="444"/>
      <c r="H54" s="443"/>
      <c r="I54" s="444"/>
      <c r="J54" s="468"/>
      <c r="K54" s="469"/>
      <c r="L54" s="468"/>
    </row>
    <row r="55" spans="1:12" ht="15">
      <c r="A55" s="448"/>
      <c r="B55" s="470" t="str">
        <f>+B38</f>
        <v>December 2013</v>
      </c>
      <c r="C55" s="442">
        <f t="shared" si="0"/>
        <v>336726359.61655074</v>
      </c>
      <c r="D55" s="443"/>
      <c r="E55" s="444"/>
      <c r="F55" s="443"/>
      <c r="G55" s="444"/>
      <c r="H55" s="443"/>
      <c r="I55" s="444"/>
      <c r="J55" s="468"/>
      <c r="K55" s="469"/>
      <c r="L55" s="468"/>
    </row>
    <row r="56" spans="1:12" ht="15">
      <c r="A56" s="120"/>
      <c r="B56" s="121" t="s">
        <v>159</v>
      </c>
      <c r="C56" s="450">
        <f>AVERAGE(C43:C55)</f>
        <v>239808516.9487435</v>
      </c>
      <c r="D56" s="451"/>
      <c r="E56" s="451"/>
      <c r="F56" s="451"/>
      <c r="G56" s="451"/>
      <c r="H56" s="451"/>
      <c r="I56" s="451"/>
      <c r="J56" s="452"/>
      <c r="K56" s="453"/>
      <c r="L56" s="454"/>
    </row>
    <row r="57" spans="1:12" ht="15">
      <c r="A57" s="120"/>
      <c r="B57" s="125"/>
      <c r="C57" s="471"/>
      <c r="D57" s="456"/>
      <c r="E57" s="456"/>
      <c r="F57" s="456"/>
      <c r="G57" s="456"/>
      <c r="H57" s="456"/>
      <c r="I57" s="456"/>
      <c r="J57" s="471"/>
      <c r="K57" s="471"/>
      <c r="L57" s="471"/>
    </row>
    <row r="58" spans="1:12" ht="15">
      <c r="A58" s="120"/>
      <c r="B58" s="130"/>
      <c r="C58" s="472"/>
      <c r="D58" s="473"/>
      <c r="E58" s="473"/>
      <c r="F58" s="473"/>
      <c r="G58" s="473"/>
      <c r="H58" s="473"/>
      <c r="I58" s="473"/>
      <c r="J58" s="472"/>
      <c r="K58" s="472"/>
      <c r="L58" s="472"/>
    </row>
    <row r="59" spans="1:12" ht="15">
      <c r="A59" s="474" t="s">
        <v>164</v>
      </c>
      <c r="B59" s="475" t="s">
        <v>38</v>
      </c>
      <c r="C59" s="476">
        <v>293411</v>
      </c>
      <c r="D59" s="451"/>
      <c r="E59" s="451"/>
      <c r="F59" s="451"/>
      <c r="G59" s="451"/>
      <c r="H59" s="451"/>
      <c r="I59" s="451"/>
      <c r="J59" s="477"/>
      <c r="K59" s="478"/>
      <c r="L59" s="479"/>
    </row>
    <row r="60" spans="1:12" ht="15">
      <c r="A60" s="448" t="s">
        <v>691</v>
      </c>
      <c r="B60" s="480" t="s">
        <v>166</v>
      </c>
      <c r="C60" s="481">
        <v>0</v>
      </c>
      <c r="D60" s="443"/>
      <c r="E60" s="444"/>
      <c r="F60" s="444"/>
      <c r="G60" s="444"/>
      <c r="H60" s="444"/>
      <c r="I60" s="444"/>
      <c r="J60" s="482"/>
      <c r="K60" s="483"/>
      <c r="L60" s="484"/>
    </row>
    <row r="61" spans="1:12" ht="15">
      <c r="A61" s="105"/>
      <c r="B61" s="121" t="s">
        <v>167</v>
      </c>
      <c r="C61" s="450">
        <f>+C59+C60</f>
        <v>293411</v>
      </c>
      <c r="D61" s="451"/>
      <c r="E61" s="451"/>
      <c r="F61" s="451"/>
      <c r="G61" s="451"/>
      <c r="H61" s="451"/>
      <c r="I61" s="451"/>
      <c r="J61" s="452"/>
      <c r="K61" s="453"/>
      <c r="L61" s="454"/>
    </row>
    <row r="62" spans="4:9" ht="15">
      <c r="D62" s="430"/>
      <c r="E62" s="430"/>
      <c r="F62" s="430"/>
      <c r="G62" s="430"/>
      <c r="H62" s="430"/>
      <c r="I62" s="430"/>
    </row>
    <row r="63" spans="4:9" ht="15">
      <c r="D63" s="430"/>
      <c r="E63" s="430"/>
      <c r="F63" s="430"/>
      <c r="G63" s="430"/>
      <c r="H63" s="430"/>
      <c r="I63" s="430"/>
    </row>
    <row r="64" spans="4:9" ht="15">
      <c r="D64" s="430"/>
      <c r="E64" s="430"/>
      <c r="F64" s="430"/>
      <c r="G64" s="430"/>
      <c r="H64" s="430"/>
      <c r="I64" s="430"/>
    </row>
  </sheetData>
  <dataValidations count="1">
    <dataValidation type="list" allowBlank="1" showInputMessage="1" showErrorMessage="1" sqref="C9:L9">
      <formula1>$M$6:$M$7</formula1>
    </dataValidation>
  </dataValidation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39"/>
  <sheetViews>
    <sheetView showGridLines="0" workbookViewId="0" topLeftCell="A1">
      <selection activeCell="A2" sqref="A2"/>
    </sheetView>
  </sheetViews>
  <sheetFormatPr defaultColWidth="8.88671875" defaultRowHeight="15"/>
  <cols>
    <col min="1" max="1" width="8.88671875" style="108" customWidth="1"/>
    <col min="2" max="2" width="9.4453125" style="108" bestFit="1" customWidth="1"/>
    <col min="3" max="3" width="8.77734375" style="108" customWidth="1"/>
    <col min="4" max="4" width="57.21484375" style="108" customWidth="1"/>
    <col min="5" max="16384" width="8.88671875" style="108" customWidth="1"/>
  </cols>
  <sheetData>
    <row r="1" ht="12.75">
      <c r="A1" s="135" t="s">
        <v>692</v>
      </c>
    </row>
    <row r="3" spans="1:4" ht="25.5">
      <c r="A3" s="485" t="s">
        <v>143</v>
      </c>
      <c r="B3" s="486" t="s">
        <v>169</v>
      </c>
      <c r="C3" s="486" t="s">
        <v>215</v>
      </c>
      <c r="D3" s="485" t="s">
        <v>170</v>
      </c>
    </row>
    <row r="4" spans="1:4" ht="12.75">
      <c r="A4" s="487">
        <v>1203</v>
      </c>
      <c r="B4" s="488">
        <v>41654</v>
      </c>
      <c r="C4" s="487">
        <v>1897</v>
      </c>
      <c r="D4" s="489" t="s">
        <v>693</v>
      </c>
    </row>
    <row r="5" spans="1:4" ht="12.75">
      <c r="A5" s="490">
        <v>1203</v>
      </c>
      <c r="B5" s="491">
        <v>41654</v>
      </c>
      <c r="C5" s="490">
        <v>4224</v>
      </c>
      <c r="D5" s="492" t="s">
        <v>693</v>
      </c>
    </row>
    <row r="6" spans="1:4" ht="12.75">
      <c r="A6" s="490">
        <v>1203</v>
      </c>
      <c r="B6" s="491">
        <v>41760</v>
      </c>
      <c r="C6" s="490">
        <v>5471</v>
      </c>
      <c r="D6" s="492" t="s">
        <v>694</v>
      </c>
    </row>
    <row r="7" spans="1:4" ht="12.75">
      <c r="A7" s="490">
        <v>1203</v>
      </c>
      <c r="B7" s="491">
        <v>41760</v>
      </c>
      <c r="C7" s="490">
        <v>5470</v>
      </c>
      <c r="D7" s="492" t="s">
        <v>694</v>
      </c>
    </row>
    <row r="8" spans="1:4" ht="12.75">
      <c r="A8" s="490">
        <v>1203</v>
      </c>
      <c r="B8" s="491">
        <v>41760</v>
      </c>
      <c r="C8" s="490">
        <v>5469</v>
      </c>
      <c r="D8" s="492" t="s">
        <v>694</v>
      </c>
    </row>
    <row r="9" spans="1:4" ht="12.75">
      <c r="A9" s="490">
        <v>1203</v>
      </c>
      <c r="B9" s="491">
        <v>41760</v>
      </c>
      <c r="C9" s="490">
        <v>5472</v>
      </c>
      <c r="D9" s="492" t="s">
        <v>694</v>
      </c>
    </row>
    <row r="10" spans="1:4" ht="12.75">
      <c r="A10" s="490">
        <v>1203</v>
      </c>
      <c r="B10" s="491">
        <v>41821</v>
      </c>
      <c r="C10" s="490">
        <v>7082</v>
      </c>
      <c r="D10" s="492" t="s">
        <v>695</v>
      </c>
    </row>
    <row r="11" spans="1:4" ht="12.75">
      <c r="A11" s="492"/>
      <c r="B11" s="492"/>
      <c r="C11" s="492"/>
      <c r="D11" s="492"/>
    </row>
    <row r="12" spans="1:4" ht="12.75">
      <c r="A12" s="492"/>
      <c r="B12" s="492"/>
      <c r="C12" s="492"/>
      <c r="D12" s="492"/>
    </row>
    <row r="13" spans="1:4" ht="12.75">
      <c r="A13" s="492"/>
      <c r="B13" s="492"/>
      <c r="C13" s="492"/>
      <c r="D13" s="492"/>
    </row>
    <row r="14" spans="1:4" ht="12.75">
      <c r="A14" s="492"/>
      <c r="B14" s="492"/>
      <c r="C14" s="492"/>
      <c r="D14" s="492"/>
    </row>
    <row r="15" spans="1:4" ht="12.75">
      <c r="A15" s="492"/>
      <c r="B15" s="492"/>
      <c r="C15" s="492"/>
      <c r="D15" s="492"/>
    </row>
    <row r="16" spans="1:4" ht="12.75">
      <c r="A16" s="492"/>
      <c r="B16" s="492"/>
      <c r="C16" s="492"/>
      <c r="D16" s="492"/>
    </row>
    <row r="17" spans="1:4" ht="12.75">
      <c r="A17" s="492"/>
      <c r="B17" s="492"/>
      <c r="C17" s="492"/>
      <c r="D17" s="492"/>
    </row>
    <row r="18" spans="1:4" ht="12.75">
      <c r="A18" s="492"/>
      <c r="B18" s="492"/>
      <c r="C18" s="492"/>
      <c r="D18" s="492"/>
    </row>
    <row r="19" spans="1:4" ht="12.75">
      <c r="A19" s="492"/>
      <c r="B19" s="492"/>
      <c r="C19" s="492"/>
      <c r="D19" s="492"/>
    </row>
    <row r="20" spans="1:4" ht="12.75">
      <c r="A20" s="492"/>
      <c r="B20" s="492"/>
      <c r="C20" s="492"/>
      <c r="D20" s="492"/>
    </row>
    <row r="21" spans="1:4" ht="12.75">
      <c r="A21" s="492"/>
      <c r="B21" s="492"/>
      <c r="C21" s="492"/>
      <c r="D21" s="492"/>
    </row>
    <row r="22" spans="1:4" ht="12.75">
      <c r="A22" s="492"/>
      <c r="B22" s="492"/>
      <c r="C22" s="492"/>
      <c r="D22" s="492"/>
    </row>
    <row r="23" spans="1:4" ht="12.75">
      <c r="A23" s="492"/>
      <c r="B23" s="492"/>
      <c r="C23" s="492"/>
      <c r="D23" s="492"/>
    </row>
    <row r="24" spans="1:4" ht="12.75">
      <c r="A24" s="492"/>
      <c r="B24" s="492"/>
      <c r="C24" s="492"/>
      <c r="D24" s="492"/>
    </row>
    <row r="25" spans="1:4" ht="12.75">
      <c r="A25" s="492"/>
      <c r="B25" s="492"/>
      <c r="C25" s="492"/>
      <c r="D25" s="492"/>
    </row>
    <row r="26" spans="1:4" ht="12.75">
      <c r="A26" s="492"/>
      <c r="B26" s="492"/>
      <c r="C26" s="492"/>
      <c r="D26" s="492"/>
    </row>
    <row r="27" spans="1:4" ht="12.75">
      <c r="A27" s="492"/>
      <c r="B27" s="492"/>
      <c r="C27" s="492"/>
      <c r="D27" s="492"/>
    </row>
    <row r="28" spans="1:4" ht="12.75">
      <c r="A28" s="492"/>
      <c r="B28" s="492"/>
      <c r="C28" s="492"/>
      <c r="D28" s="492"/>
    </row>
    <row r="29" spans="1:4" ht="12.75">
      <c r="A29" s="492"/>
      <c r="B29" s="492"/>
      <c r="C29" s="492"/>
      <c r="D29" s="492"/>
    </row>
    <row r="30" spans="1:4" ht="12.75">
      <c r="A30" s="492"/>
      <c r="B30" s="492"/>
      <c r="C30" s="492"/>
      <c r="D30" s="492"/>
    </row>
    <row r="31" spans="1:4" ht="12.75">
      <c r="A31" s="492"/>
      <c r="B31" s="492"/>
      <c r="C31" s="492"/>
      <c r="D31" s="492"/>
    </row>
    <row r="32" spans="1:4" ht="12.75">
      <c r="A32" s="492"/>
      <c r="B32" s="492"/>
      <c r="C32" s="492"/>
      <c r="D32" s="492"/>
    </row>
    <row r="33" spans="1:4" ht="12.75">
      <c r="A33" s="492"/>
      <c r="B33" s="492"/>
      <c r="C33" s="492"/>
      <c r="D33" s="492"/>
    </row>
    <row r="34" spans="1:4" ht="12.75">
      <c r="A34" s="492"/>
      <c r="B34" s="492"/>
      <c r="C34" s="492"/>
      <c r="D34" s="492"/>
    </row>
    <row r="35" spans="1:4" ht="12.75">
      <c r="A35" s="492"/>
      <c r="B35" s="492"/>
      <c r="C35" s="492"/>
      <c r="D35" s="492"/>
    </row>
    <row r="36" spans="1:4" ht="12.75">
      <c r="A36" s="492"/>
      <c r="B36" s="492"/>
      <c r="C36" s="492"/>
      <c r="D36" s="492"/>
    </row>
    <row r="37" spans="1:4" ht="12.75">
      <c r="A37" s="492"/>
      <c r="B37" s="492"/>
      <c r="C37" s="492"/>
      <c r="D37" s="492"/>
    </row>
    <row r="38" spans="1:4" ht="12.75">
      <c r="A38" s="492"/>
      <c r="B38" s="492"/>
      <c r="C38" s="492"/>
      <c r="D38" s="492"/>
    </row>
    <row r="39" spans="1:4" ht="12.75">
      <c r="A39" s="492"/>
      <c r="B39" s="492"/>
      <c r="C39" s="492"/>
      <c r="D39" s="49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Hodgson</dc:creator>
  <cp:keywords/>
  <dc:description/>
  <cp:lastModifiedBy>Thomas Kramer</cp:lastModifiedBy>
  <cp:lastPrinted>2012-12-27T16:56:51Z</cp:lastPrinted>
  <dcterms:created xsi:type="dcterms:W3CDTF">2009-07-01T14:12:33Z</dcterms:created>
  <dcterms:modified xsi:type="dcterms:W3CDTF">2013-01-24T16:15:33Z</dcterms:modified>
  <cp:category/>
  <cp:version/>
  <cp:contentType/>
  <cp:contentStatus/>
</cp:coreProperties>
</file>